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6135\"/>
    </mc:Choice>
  </mc:AlternateContent>
  <xr:revisionPtr revIDLastSave="0" documentId="13_ncr:1_{2BF8B7CA-AB98-4749-BB2C-353B195F1D68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externalReferences>
    <externalReference r:id="rId7"/>
  </externalReference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8" i="1" l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Z305" i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36" i="1"/>
  <c r="A136" i="1" s="1"/>
  <c r="C136" i="1" s="1"/>
  <c r="K121" i="1"/>
  <c r="A121" i="1" s="1"/>
  <c r="B121" i="1" s="1"/>
  <c r="K129" i="1"/>
  <c r="A129" i="1" s="1"/>
  <c r="C129" i="1" s="1"/>
  <c r="K132" i="1"/>
  <c r="A132" i="1" s="1"/>
  <c r="D132" i="1" s="1"/>
  <c r="K137" i="1"/>
  <c r="A137" i="1" s="1"/>
  <c r="B137" i="1" s="1"/>
  <c r="K144" i="1"/>
  <c r="A144" i="1" s="1"/>
  <c r="C144" i="1" s="1"/>
  <c r="K149" i="1"/>
  <c r="A149" i="1" s="1"/>
  <c r="D149" i="1" s="1"/>
  <c r="K118" i="1"/>
  <c r="A118" i="1" s="1"/>
  <c r="B118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22" i="1"/>
  <c r="A122" i="1" s="1"/>
  <c r="D122" i="1" s="1"/>
  <c r="K142" i="1"/>
  <c r="A142" i="1" s="1"/>
  <c r="D142" i="1" s="1"/>
  <c r="K128" i="1"/>
  <c r="A128" i="1" s="1"/>
  <c r="B128" i="1" s="1"/>
  <c r="K131" i="1"/>
  <c r="A131" i="1" s="1"/>
  <c r="D131" i="1" s="1"/>
  <c r="K138" i="1"/>
  <c r="A138" i="1" s="1"/>
  <c r="D138" i="1" s="1"/>
  <c r="K133" i="1"/>
  <c r="A133" i="1" s="1"/>
  <c r="D133" i="1" s="1"/>
  <c r="K126" i="1"/>
  <c r="A126" i="1" s="1"/>
  <c r="B126" i="1" s="1"/>
  <c r="D119" i="1"/>
  <c r="K143" i="1"/>
  <c r="A143" i="1" s="1"/>
  <c r="D143" i="1" s="1"/>
  <c r="K146" i="1"/>
  <c r="A146" i="1" s="1"/>
  <c r="C146" i="1" s="1"/>
  <c r="W285" i="1"/>
  <c r="H130" i="1" s="1"/>
  <c r="K127" i="1"/>
  <c r="A127" i="1" s="1"/>
  <c r="D127" i="1" s="1"/>
  <c r="W274" i="1"/>
  <c r="H119" i="1" s="1"/>
  <c r="D130" i="1"/>
  <c r="C130" i="1"/>
  <c r="B130" i="1"/>
  <c r="B119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B145" i="1"/>
  <c r="C148" i="1"/>
  <c r="C145" i="1"/>
  <c r="C137" i="1"/>
  <c r="D137" i="1"/>
  <c r="B129" i="1"/>
  <c r="D125" i="1"/>
  <c r="D121" i="1"/>
  <c r="B125" i="1"/>
  <c r="C140" i="1"/>
  <c r="C141" i="1"/>
  <c r="D118" i="1"/>
  <c r="D129" i="1"/>
  <c r="C132" i="1"/>
  <c r="C143" i="1"/>
  <c r="B141" i="1"/>
  <c r="B131" i="1"/>
  <c r="C149" i="1"/>
  <c r="C131" i="1"/>
  <c r="B123" i="1"/>
  <c r="B122" i="1"/>
  <c r="C123" i="1"/>
  <c r="C122" i="1"/>
  <c r="C118" i="1"/>
  <c r="B139" i="1"/>
  <c r="B143" i="1"/>
  <c r="C139" i="1"/>
  <c r="B147" i="1"/>
  <c r="B138" i="1"/>
  <c r="C138" i="1"/>
  <c r="C124" i="1"/>
  <c r="D134" i="1"/>
  <c r="C142" i="1"/>
  <c r="C134" i="1"/>
  <c r="C121" i="1"/>
  <c r="C135" i="1"/>
  <c r="B135" i="1"/>
  <c r="B140" i="1"/>
  <c r="B127" i="1"/>
  <c r="B142" i="1"/>
  <c r="C147" i="1"/>
  <c r="B136" i="1"/>
  <c r="C127" i="1"/>
  <c r="B149" i="1"/>
  <c r="B148" i="1"/>
  <c r="D126" i="1"/>
  <c r="B132" i="1"/>
  <c r="C126" i="1"/>
  <c r="B120" i="1"/>
  <c r="D120" i="1"/>
  <c r="D124" i="1"/>
  <c r="D136" i="1"/>
  <c r="D128" i="1"/>
  <c r="B146" i="1"/>
  <c r="C128" i="1"/>
  <c r="B133" i="1"/>
  <c r="D146" i="1"/>
  <c r="C133" i="1"/>
  <c r="D144" i="1"/>
  <c r="B144" i="1"/>
  <c r="P223" i="1" l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T272" i="1" l="1"/>
  <c r="E117" i="1" s="1"/>
  <c r="S272" i="1"/>
  <c r="R272" i="1"/>
  <c r="Q272" i="1"/>
  <c r="Z272" i="1"/>
  <c r="X272" i="1"/>
  <c r="I117" i="1" s="1"/>
  <c r="J117" i="1"/>
  <c r="V272" i="1"/>
  <c r="G117" i="1" s="1"/>
  <c r="U272" i="1"/>
  <c r="F117" i="1" s="1"/>
  <c r="X271" i="1"/>
  <c r="I116" i="1" s="1"/>
  <c r="U271" i="1"/>
  <c r="F116" i="1" s="1"/>
  <c r="T271" i="1"/>
  <c r="E116" i="1" s="1"/>
  <c r="V271" i="1"/>
  <c r="G116" i="1" s="1"/>
  <c r="J116" i="1"/>
  <c r="Z271" i="1"/>
  <c r="S271" i="1"/>
  <c r="R271" i="1"/>
  <c r="Q271" i="1"/>
  <c r="Q270" i="1"/>
  <c r="Z270" i="1"/>
  <c r="X270" i="1"/>
  <c r="I115" i="1" s="1"/>
  <c r="T270" i="1"/>
  <c r="E115" i="1" s="1"/>
  <c r="V270" i="1"/>
  <c r="G115" i="1" s="1"/>
  <c r="U270" i="1"/>
  <c r="F115" i="1" s="1"/>
  <c r="J115" i="1"/>
  <c r="S270" i="1"/>
  <c r="R270" i="1"/>
  <c r="Q269" i="1"/>
  <c r="X269" i="1"/>
  <c r="I114" i="1" s="1"/>
  <c r="U269" i="1"/>
  <c r="F114" i="1" s="1"/>
  <c r="V269" i="1"/>
  <c r="G114" i="1" s="1"/>
  <c r="T269" i="1"/>
  <c r="E114" i="1" s="1"/>
  <c r="J114" i="1"/>
  <c r="S269" i="1"/>
  <c r="Z269" i="1"/>
  <c r="R269" i="1"/>
  <c r="Q268" i="1"/>
  <c r="X268" i="1"/>
  <c r="I113" i="1" s="1"/>
  <c r="V268" i="1"/>
  <c r="G113" i="1" s="1"/>
  <c r="T268" i="1"/>
  <c r="E113" i="1" s="1"/>
  <c r="U268" i="1"/>
  <c r="F113" i="1" s="1"/>
  <c r="S268" i="1"/>
  <c r="J113" i="1"/>
  <c r="R268" i="1"/>
  <c r="Z268" i="1"/>
  <c r="X267" i="1"/>
  <c r="I112" i="1" s="1"/>
  <c r="V267" i="1"/>
  <c r="G112" i="1" s="1"/>
  <c r="Z267" i="1"/>
  <c r="U267" i="1"/>
  <c r="F112" i="1" s="1"/>
  <c r="T267" i="1"/>
  <c r="E112" i="1" s="1"/>
  <c r="S267" i="1"/>
  <c r="R267" i="1"/>
  <c r="J112" i="1"/>
  <c r="Q267" i="1"/>
  <c r="J111" i="1"/>
  <c r="X266" i="1"/>
  <c r="I111" i="1" s="1"/>
  <c r="V266" i="1"/>
  <c r="G111" i="1" s="1"/>
  <c r="U266" i="1"/>
  <c r="F111" i="1" s="1"/>
  <c r="Z266" i="1"/>
  <c r="T266" i="1"/>
  <c r="E111" i="1" s="1"/>
  <c r="S266" i="1"/>
  <c r="R266" i="1"/>
  <c r="Q266" i="1"/>
  <c r="Q265" i="1"/>
  <c r="J110" i="1"/>
  <c r="X265" i="1"/>
  <c r="I110" i="1" s="1"/>
  <c r="V265" i="1"/>
  <c r="G110" i="1" s="1"/>
  <c r="U265" i="1"/>
  <c r="F110" i="1" s="1"/>
  <c r="Z265" i="1"/>
  <c r="T265" i="1"/>
  <c r="E110" i="1" s="1"/>
  <c r="S265" i="1"/>
  <c r="R265" i="1"/>
  <c r="X264" i="1"/>
  <c r="I109" i="1" s="1"/>
  <c r="J109" i="1"/>
  <c r="V264" i="1"/>
  <c r="G109" i="1" s="1"/>
  <c r="U264" i="1"/>
  <c r="F109" i="1" s="1"/>
  <c r="T264" i="1"/>
  <c r="E109" i="1" s="1"/>
  <c r="S264" i="1"/>
  <c r="R264" i="1"/>
  <c r="Q264" i="1"/>
  <c r="Z264" i="1"/>
  <c r="Q263" i="1"/>
  <c r="X263" i="1"/>
  <c r="I108" i="1" s="1"/>
  <c r="R263" i="1"/>
  <c r="V263" i="1"/>
  <c r="G108" i="1" s="1"/>
  <c r="J108" i="1"/>
  <c r="U263" i="1"/>
  <c r="F108" i="1" s="1"/>
  <c r="Z263" i="1"/>
  <c r="T263" i="1"/>
  <c r="E108" i="1" s="1"/>
  <c r="S263" i="1"/>
  <c r="Q262" i="1"/>
  <c r="X262" i="1"/>
  <c r="I107" i="1" s="1"/>
  <c r="Z262" i="1"/>
  <c r="V262" i="1"/>
  <c r="G107" i="1" s="1"/>
  <c r="T262" i="1"/>
  <c r="E107" i="1" s="1"/>
  <c r="U262" i="1"/>
  <c r="F107" i="1" s="1"/>
  <c r="J107" i="1"/>
  <c r="S262" i="1"/>
  <c r="R262" i="1"/>
  <c r="Q261" i="1"/>
  <c r="X261" i="1"/>
  <c r="I106" i="1" s="1"/>
  <c r="V261" i="1"/>
  <c r="G106" i="1" s="1"/>
  <c r="U261" i="1"/>
  <c r="F106" i="1" s="1"/>
  <c r="T261" i="1"/>
  <c r="E106" i="1" s="1"/>
  <c r="J106" i="1"/>
  <c r="S261" i="1"/>
  <c r="R261" i="1"/>
  <c r="Z261" i="1"/>
  <c r="Q260" i="1"/>
  <c r="Z260" i="1"/>
  <c r="X260" i="1"/>
  <c r="I105" i="1" s="1"/>
  <c r="V260" i="1"/>
  <c r="G105" i="1" s="1"/>
  <c r="U260" i="1"/>
  <c r="F105" i="1" s="1"/>
  <c r="T260" i="1"/>
  <c r="E105" i="1" s="1"/>
  <c r="S260" i="1"/>
  <c r="J105" i="1"/>
  <c r="R260" i="1"/>
  <c r="Q259" i="1"/>
  <c r="X259" i="1"/>
  <c r="I104" i="1" s="1"/>
  <c r="V259" i="1"/>
  <c r="G104" i="1" s="1"/>
  <c r="U259" i="1"/>
  <c r="F104" i="1" s="1"/>
  <c r="Z259" i="1"/>
  <c r="T259" i="1"/>
  <c r="E104" i="1" s="1"/>
  <c r="S259" i="1"/>
  <c r="R259" i="1"/>
  <c r="J104" i="1"/>
  <c r="Z258" i="1"/>
  <c r="X258" i="1"/>
  <c r="I103" i="1" s="1"/>
  <c r="V258" i="1"/>
  <c r="G103" i="1" s="1"/>
  <c r="U258" i="1"/>
  <c r="F103" i="1" s="1"/>
  <c r="T258" i="1"/>
  <c r="E103" i="1" s="1"/>
  <c r="S258" i="1"/>
  <c r="J103" i="1"/>
  <c r="R258" i="1"/>
  <c r="Q258" i="1"/>
  <c r="Q257" i="1"/>
  <c r="X257" i="1"/>
  <c r="I102" i="1" s="1"/>
  <c r="V257" i="1"/>
  <c r="G102" i="1" s="1"/>
  <c r="U257" i="1"/>
  <c r="F102" i="1" s="1"/>
  <c r="T257" i="1"/>
  <c r="E102" i="1" s="1"/>
  <c r="Z257" i="1"/>
  <c r="J102" i="1"/>
  <c r="S257" i="1"/>
  <c r="R257" i="1"/>
  <c r="Q256" i="1"/>
  <c r="X256" i="1"/>
  <c r="I101" i="1" s="1"/>
  <c r="J101" i="1"/>
  <c r="V256" i="1"/>
  <c r="G101" i="1" s="1"/>
  <c r="U256" i="1"/>
  <c r="F101" i="1" s="1"/>
  <c r="T256" i="1"/>
  <c r="E101" i="1" s="1"/>
  <c r="S256" i="1"/>
  <c r="Z256" i="1"/>
  <c r="R256" i="1"/>
  <c r="Q255" i="1"/>
  <c r="X255" i="1"/>
  <c r="I100" i="1" s="1"/>
  <c r="V255" i="1"/>
  <c r="G100" i="1" s="1"/>
  <c r="J100" i="1"/>
  <c r="U255" i="1"/>
  <c r="F100" i="1" s="1"/>
  <c r="Z255" i="1"/>
  <c r="T255" i="1"/>
  <c r="E100" i="1" s="1"/>
  <c r="S255" i="1"/>
  <c r="R255" i="1"/>
  <c r="X254" i="1"/>
  <c r="I99" i="1" s="1"/>
  <c r="V254" i="1"/>
  <c r="G99" i="1" s="1"/>
  <c r="U254" i="1"/>
  <c r="F99" i="1" s="1"/>
  <c r="J99" i="1"/>
  <c r="T254" i="1"/>
  <c r="E99" i="1" s="1"/>
  <c r="Z254" i="1"/>
  <c r="S254" i="1"/>
  <c r="Q254" i="1"/>
  <c r="R254" i="1"/>
  <c r="Q253" i="1"/>
  <c r="X253" i="1"/>
  <c r="I98" i="1" s="1"/>
  <c r="U253" i="1"/>
  <c r="F98" i="1" s="1"/>
  <c r="J98" i="1"/>
  <c r="V253" i="1"/>
  <c r="G98" i="1" s="1"/>
  <c r="T253" i="1"/>
  <c r="E98" i="1" s="1"/>
  <c r="Z253" i="1"/>
  <c r="S253" i="1"/>
  <c r="R253" i="1"/>
  <c r="Q252" i="1"/>
  <c r="X252" i="1"/>
  <c r="I97" i="1" s="1"/>
  <c r="V252" i="1"/>
  <c r="G97" i="1" s="1"/>
  <c r="T252" i="1"/>
  <c r="E97" i="1" s="1"/>
  <c r="U252" i="1"/>
  <c r="F97" i="1" s="1"/>
  <c r="Z252" i="1"/>
  <c r="S252" i="1"/>
  <c r="J97" i="1"/>
  <c r="R252" i="1"/>
  <c r="Q251" i="1"/>
  <c r="X251" i="1"/>
  <c r="I96" i="1" s="1"/>
  <c r="U251" i="1"/>
  <c r="F96" i="1" s="1"/>
  <c r="V251" i="1"/>
  <c r="G96" i="1" s="1"/>
  <c r="T251" i="1"/>
  <c r="E96" i="1" s="1"/>
  <c r="Z251" i="1"/>
  <c r="S251" i="1"/>
  <c r="R251" i="1"/>
  <c r="J96" i="1"/>
  <c r="Q250" i="1"/>
  <c r="J95" i="1"/>
  <c r="Z250" i="1"/>
  <c r="X250" i="1"/>
  <c r="I95" i="1" s="1"/>
  <c r="V250" i="1"/>
  <c r="G95" i="1" s="1"/>
  <c r="U250" i="1"/>
  <c r="F95" i="1" s="1"/>
  <c r="T250" i="1"/>
  <c r="E95" i="1" s="1"/>
  <c r="S250" i="1"/>
  <c r="R250" i="1"/>
  <c r="Z249" i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72" i="1" l="1"/>
  <c r="H117" i="1" s="1"/>
  <c r="K117" i="1"/>
  <c r="A117" i="1" s="1"/>
  <c r="C117" i="1" s="1"/>
  <c r="W271" i="1"/>
  <c r="H116" i="1" s="1"/>
  <c r="K116" i="1"/>
  <c r="A116" i="1" s="1"/>
  <c r="B116" i="1" s="1"/>
  <c r="W270" i="1"/>
  <c r="H115" i="1" s="1"/>
  <c r="K115" i="1"/>
  <c r="A115" i="1" s="1"/>
  <c r="B115" i="1" s="1"/>
  <c r="K114" i="1"/>
  <c r="A114" i="1" s="1"/>
  <c r="B114" i="1" s="1"/>
  <c r="W269" i="1"/>
  <c r="H114" i="1" s="1"/>
  <c r="W268" i="1"/>
  <c r="H113" i="1" s="1"/>
  <c r="K113" i="1"/>
  <c r="A113" i="1" s="1"/>
  <c r="D113" i="1" s="1"/>
  <c r="W267" i="1"/>
  <c r="H112" i="1" s="1"/>
  <c r="K112" i="1"/>
  <c r="A112" i="1" s="1"/>
  <c r="B112" i="1" s="1"/>
  <c r="W266" i="1"/>
  <c r="H111" i="1" s="1"/>
  <c r="K111" i="1"/>
  <c r="A111" i="1" s="1"/>
  <c r="D111" i="1" s="1"/>
  <c r="W265" i="1"/>
  <c r="H110" i="1" s="1"/>
  <c r="K110" i="1"/>
  <c r="A110" i="1" s="1"/>
  <c r="D110" i="1" s="1"/>
  <c r="W264" i="1"/>
  <c r="H109" i="1" s="1"/>
  <c r="K109" i="1"/>
  <c r="A109" i="1" s="1"/>
  <c r="C109" i="1" s="1"/>
  <c r="W263" i="1"/>
  <c r="H108" i="1" s="1"/>
  <c r="K108" i="1"/>
  <c r="A108" i="1" s="1"/>
  <c r="D108" i="1" s="1"/>
  <c r="W262" i="1"/>
  <c r="H107" i="1" s="1"/>
  <c r="K107" i="1"/>
  <c r="A107" i="1" s="1"/>
  <c r="D107" i="1" s="1"/>
  <c r="K106" i="1"/>
  <c r="A106" i="1" s="1"/>
  <c r="C106" i="1" s="1"/>
  <c r="W261" i="1"/>
  <c r="H106" i="1" s="1"/>
  <c r="W260" i="1"/>
  <c r="H105" i="1" s="1"/>
  <c r="K105" i="1"/>
  <c r="A105" i="1" s="1"/>
  <c r="C105" i="1" s="1"/>
  <c r="W259" i="1"/>
  <c r="H104" i="1" s="1"/>
  <c r="K104" i="1"/>
  <c r="A104" i="1" s="1"/>
  <c r="C104" i="1" s="1"/>
  <c r="K103" i="1"/>
  <c r="A103" i="1" s="1"/>
  <c r="C103" i="1" s="1"/>
  <c r="W258" i="1"/>
  <c r="H103" i="1" s="1"/>
  <c r="W257" i="1"/>
  <c r="H102" i="1" s="1"/>
  <c r="K102" i="1"/>
  <c r="A102" i="1" s="1"/>
  <c r="B102" i="1" s="1"/>
  <c r="W256" i="1"/>
  <c r="H101" i="1" s="1"/>
  <c r="K101" i="1"/>
  <c r="A101" i="1" s="1"/>
  <c r="D101" i="1" s="1"/>
  <c r="K100" i="1"/>
  <c r="A100" i="1" s="1"/>
  <c r="D100" i="1" s="1"/>
  <c r="W255" i="1"/>
  <c r="H100" i="1" s="1"/>
  <c r="W254" i="1"/>
  <c r="H99" i="1" s="1"/>
  <c r="K99" i="1"/>
  <c r="A99" i="1" s="1"/>
  <c r="D99" i="1" s="1"/>
  <c r="W253" i="1"/>
  <c r="H98" i="1" s="1"/>
  <c r="K98" i="1"/>
  <c r="A98" i="1" s="1"/>
  <c r="D98" i="1" s="1"/>
  <c r="W252" i="1"/>
  <c r="H97" i="1" s="1"/>
  <c r="K97" i="1"/>
  <c r="A97" i="1" s="1"/>
  <c r="B97" i="1" s="1"/>
  <c r="W251" i="1"/>
  <c r="H96" i="1" s="1"/>
  <c r="K96" i="1"/>
  <c r="A96" i="1" s="1"/>
  <c r="D96" i="1" s="1"/>
  <c r="W250" i="1"/>
  <c r="H95" i="1" s="1"/>
  <c r="K95" i="1"/>
  <c r="A95" i="1" s="1"/>
  <c r="B95" i="1" s="1"/>
  <c r="W246" i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D117" i="1" l="1"/>
  <c r="B117" i="1"/>
  <c r="D116" i="1"/>
  <c r="C116" i="1"/>
  <c r="C115" i="1"/>
  <c r="D115" i="1"/>
  <c r="C114" i="1"/>
  <c r="D114" i="1"/>
  <c r="B113" i="1"/>
  <c r="C113" i="1"/>
  <c r="D112" i="1"/>
  <c r="C112" i="1"/>
  <c r="C111" i="1"/>
  <c r="B111" i="1"/>
  <c r="B110" i="1"/>
  <c r="C110" i="1"/>
  <c r="D109" i="1"/>
  <c r="B109" i="1"/>
  <c r="B108" i="1"/>
  <c r="C108" i="1"/>
  <c r="B107" i="1"/>
  <c r="C107" i="1"/>
  <c r="B106" i="1"/>
  <c r="D106" i="1"/>
  <c r="B105" i="1"/>
  <c r="D105" i="1"/>
  <c r="B104" i="1"/>
  <c r="D104" i="1"/>
  <c r="D103" i="1"/>
  <c r="B103" i="1"/>
  <c r="C102" i="1"/>
  <c r="D102" i="1"/>
  <c r="B101" i="1"/>
  <c r="C101" i="1"/>
  <c r="B100" i="1"/>
  <c r="C100" i="1"/>
  <c r="C99" i="1"/>
  <c r="B99" i="1"/>
  <c r="C98" i="1"/>
  <c r="B98" i="1"/>
  <c r="C97" i="1"/>
  <c r="D97" i="1"/>
  <c r="B96" i="1"/>
  <c r="C96" i="1"/>
  <c r="C95" i="1"/>
  <c r="D95" i="1"/>
  <c r="C94" i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E322" i="1" l="1"/>
  <c r="M8" i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IX106" i="1" l="1"/>
  <c r="Y36" i="1"/>
  <c r="V36" i="1" s="1"/>
  <c r="Y15" i="1"/>
  <c r="V15" i="1" s="1"/>
  <c r="G317" i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BP63" i="1" s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116" i="1" l="1"/>
  <c r="IX115" i="1"/>
  <c r="IX110" i="1"/>
  <c r="IX109" i="1"/>
  <c r="IX107" i="1"/>
  <c r="IS113" i="1"/>
  <c r="IX103" i="1"/>
  <c r="IX36" i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V54" i="1" s="1"/>
  <c r="G356" i="1"/>
  <c r="Y22" i="1"/>
  <c r="IX22" i="1" s="1"/>
  <c r="G324" i="1"/>
  <c r="Y16" i="1"/>
  <c r="V16" i="1" s="1"/>
  <c r="G318" i="1"/>
  <c r="Y49" i="1"/>
  <c r="V49" i="1" s="1"/>
  <c r="G351" i="1"/>
  <c r="Y29" i="1"/>
  <c r="V29" i="1" s="1"/>
  <c r="G331" i="1"/>
  <c r="Y21" i="1"/>
  <c r="IX21" i="1" s="1"/>
  <c r="G323" i="1"/>
  <c r="Y25" i="1"/>
  <c r="V25" i="1" s="1"/>
  <c r="G327" i="1"/>
  <c r="Y12" i="1"/>
  <c r="V12" i="1" s="1"/>
  <c r="G314" i="1"/>
  <c r="Y38" i="1"/>
  <c r="V38" i="1" s="1"/>
  <c r="G340" i="1"/>
  <c r="Y46" i="1"/>
  <c r="IX46" i="1" s="1"/>
  <c r="G348" i="1"/>
  <c r="Y43" i="1"/>
  <c r="V43" i="1" s="1"/>
  <c r="G345" i="1"/>
  <c r="Y50" i="1"/>
  <c r="V50" i="1" s="1"/>
  <c r="G352" i="1"/>
  <c r="Y13" i="1"/>
  <c r="V13" i="1" s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V26" i="1" s="1"/>
  <c r="G328" i="1"/>
  <c r="Y18" i="1"/>
  <c r="V18" i="1" s="1"/>
  <c r="G320" i="1"/>
  <c r="Y40" i="1"/>
  <c r="V40" i="1" s="1"/>
  <c r="G342" i="1"/>
  <c r="Y32" i="1"/>
  <c r="IX32" i="1" s="1"/>
  <c r="G334" i="1"/>
  <c r="Y24" i="1"/>
  <c r="V24" i="1" s="1"/>
  <c r="G326" i="1"/>
  <c r="Y28" i="1"/>
  <c r="V28" i="1" s="1"/>
  <c r="G330" i="1"/>
  <c r="Y34" i="1"/>
  <c r="V34" i="1" s="1"/>
  <c r="G336" i="1"/>
  <c r="Y17" i="1"/>
  <c r="V17" i="1" s="1"/>
  <c r="G319" i="1"/>
  <c r="Y14" i="1"/>
  <c r="IS20" i="1" s="1"/>
  <c r="G316" i="1"/>
  <c r="Y53" i="1"/>
  <c r="V53" i="1" s="1"/>
  <c r="G355" i="1"/>
  <c r="Y44" i="1"/>
  <c r="V44" i="1" s="1"/>
  <c r="G346" i="1"/>
  <c r="Y31" i="1"/>
  <c r="V31" i="1" s="1"/>
  <c r="G333" i="1"/>
  <c r="Y45" i="1"/>
  <c r="IS51" i="1" s="1"/>
  <c r="G347" i="1"/>
  <c r="Y37" i="1"/>
  <c r="V37" i="1" s="1"/>
  <c r="G339" i="1"/>
  <c r="Y30" i="1"/>
  <c r="V30" i="1" s="1"/>
  <c r="G332" i="1"/>
  <c r="Y27" i="1"/>
  <c r="G329" i="1"/>
  <c r="Y41" i="1"/>
  <c r="IS47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GY78" i="1"/>
  <c r="BP78" i="1"/>
  <c r="GH123" i="1"/>
  <c r="BP123" i="1"/>
  <c r="BO91" i="1"/>
  <c r="BP91" i="1"/>
  <c r="BB125" i="1"/>
  <c r="BP125" i="1"/>
  <c r="CD93" i="1"/>
  <c r="BP93" i="1"/>
  <c r="BM68" i="1"/>
  <c r="CS92" i="1"/>
  <c r="BP92" i="1"/>
  <c r="CZ129" i="1"/>
  <c r="BP129" i="1"/>
  <c r="CH89" i="1"/>
  <c r="BP89" i="1"/>
  <c r="EL128" i="1"/>
  <c r="BP128" i="1"/>
  <c r="EI103" i="1"/>
  <c r="BP103" i="1"/>
  <c r="DD71" i="1"/>
  <c r="BD117" i="1"/>
  <c r="BP117" i="1"/>
  <c r="BG85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GL119" i="1"/>
  <c r="BP119" i="1"/>
  <c r="EO118" i="1"/>
  <c r="BP118" i="1"/>
  <c r="GW99" i="1"/>
  <c r="BP99" i="1"/>
  <c r="CR101" i="1"/>
  <c r="BP101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X16" i="1"/>
  <c r="IS109" i="1"/>
  <c r="IX94" i="1"/>
  <c r="IX64" i="1"/>
  <c r="V97" i="1"/>
  <c r="IX17" i="1"/>
  <c r="IX60" i="1"/>
  <c r="IX73" i="1"/>
  <c r="IX91" i="1"/>
  <c r="IS87" i="1"/>
  <c r="IX68" i="1"/>
  <c r="IX42" i="1"/>
  <c r="IX27" i="1"/>
  <c r="IX82" i="1"/>
  <c r="V102" i="1"/>
  <c r="IS37" i="1"/>
  <c r="IS106" i="1"/>
  <c r="IX45" i="1"/>
  <c r="IX61" i="1"/>
  <c r="IX95" i="1"/>
  <c r="IS75" i="1"/>
  <c r="IS110" i="1"/>
  <c r="IX38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IS52" i="1"/>
  <c r="AC25" i="1"/>
  <c r="AC86" i="1"/>
  <c r="Q90" i="1"/>
  <c r="Q96" i="1"/>
  <c r="Y16" i="4"/>
  <c r="Y15" i="4"/>
  <c r="X14" i="4"/>
  <c r="X15" i="4"/>
  <c r="V15" i="4"/>
  <c r="IS81" i="1"/>
  <c r="IX67" i="1"/>
  <c r="IS40" i="1"/>
  <c r="V93" i="1"/>
  <c r="IX93" i="1"/>
  <c r="IS16" i="1"/>
  <c r="IS21" i="1"/>
  <c r="IS45" i="1"/>
  <c r="IX29" i="1"/>
  <c r="IX118" i="1"/>
  <c r="IX80" i="1"/>
  <c r="IS101" i="1"/>
  <c r="IS80" i="1"/>
  <c r="IX66" i="1"/>
  <c r="IS17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X54" i="1"/>
  <c r="IS63" i="1"/>
  <c r="IS42" i="1"/>
  <c r="IX39" i="1"/>
  <c r="IS39" i="1"/>
  <c r="IS100" i="1"/>
  <c r="IX79" i="1"/>
  <c r="AQ97" i="1"/>
  <c r="IW97" i="1"/>
  <c r="IG97" i="1" s="1"/>
  <c r="AQ82" i="1"/>
  <c r="IX117" i="1"/>
  <c r="IS118" i="1"/>
  <c r="IX102" i="1"/>
  <c r="IS66" i="1"/>
  <c r="IS44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ET54" i="1" s="1"/>
  <c r="Q17" i="1"/>
  <c r="E319" i="1" s="1"/>
  <c r="CQ122" i="1"/>
  <c r="BG70" i="1"/>
  <c r="DB70" i="1"/>
  <c r="DC102" i="1"/>
  <c r="GM70" i="1"/>
  <c r="Q40" i="1"/>
  <c r="AQ57" i="1"/>
  <c r="Q38" i="1"/>
  <c r="R32" i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1" i="1"/>
  <c r="BE111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BS114" i="1"/>
  <c r="DB114" i="1"/>
  <c r="CO114" i="1"/>
  <c r="R113" i="1"/>
  <c r="X113" i="1" s="1"/>
  <c r="IR121" i="1" s="1"/>
  <c r="Q95" i="1"/>
  <c r="V78" i="1"/>
  <c r="R62" i="1"/>
  <c r="X62" i="1" s="1"/>
  <c r="AF54" i="1"/>
  <c r="AI54" i="1" s="1"/>
  <c r="AZ14" i="1"/>
  <c r="GM14" i="1" s="1"/>
  <c r="DE14" i="1"/>
  <c r="Q102" i="1"/>
  <c r="AD54" i="1"/>
  <c r="AH54" i="1" s="1"/>
  <c r="AE97" i="1"/>
  <c r="AC54" i="1"/>
  <c r="GW82" i="1"/>
  <c r="AZ96" i="1"/>
  <c r="GN65" i="1"/>
  <c r="AE75" i="1"/>
  <c r="AF47" i="1"/>
  <c r="AI47" i="1" s="1"/>
  <c r="R95" i="1"/>
  <c r="X95" i="1" s="1"/>
  <c r="AE47" i="1"/>
  <c r="ET47" i="1" s="1"/>
  <c r="R85" i="1"/>
  <c r="X85" i="1" s="1"/>
  <c r="IW85" i="1" s="1"/>
  <c r="IG85" i="1" s="1"/>
  <c r="BM97" i="1"/>
  <c r="AD75" i="1"/>
  <c r="AH75" i="1" s="1"/>
  <c r="AF97" i="1"/>
  <c r="R75" i="1"/>
  <c r="X75" i="1" s="1"/>
  <c r="V79" i="1"/>
  <c r="BV82" i="1"/>
  <c r="AF75" i="1"/>
  <c r="AM75" i="1" s="1"/>
  <c r="AF83" i="1"/>
  <c r="AI83" i="1" s="1"/>
  <c r="DG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BZ70" i="1"/>
  <c r="EU70" i="1"/>
  <c r="EY70" i="1" s="1"/>
  <c r="BI70" i="1"/>
  <c r="AZ70" i="1"/>
  <c r="GJ70" i="1"/>
  <c r="DD70" i="1"/>
  <c r="DI70" i="1"/>
  <c r="BE78" i="1"/>
  <c r="BW102" i="1"/>
  <c r="BJ70" i="1"/>
  <c r="BZ102" i="1"/>
  <c r="HI70" i="1"/>
  <c r="Q45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DK86" i="1" s="1"/>
  <c r="AF95" i="1"/>
  <c r="AM95" i="1" s="1"/>
  <c r="GL86" i="1"/>
  <c r="AZ86" i="1"/>
  <c r="GM86" i="1" s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DJ86" i="1" s="1"/>
  <c r="AF46" i="1"/>
  <c r="AI46" i="1" s="1"/>
  <c r="Q108" i="1"/>
  <c r="GJ86" i="1"/>
  <c r="GK86" i="1" s="1"/>
  <c r="AZ54" i="1"/>
  <c r="V68" i="1"/>
  <c r="V101" i="1"/>
  <c r="AD46" i="1"/>
  <c r="AH46" i="1" s="1"/>
  <c r="BT86" i="1"/>
  <c r="DE86" i="1"/>
  <c r="BZ86" i="1"/>
  <c r="CI86" i="1"/>
  <c r="Q100" i="1"/>
  <c r="AC46" i="1"/>
  <c r="DD86" i="1"/>
  <c r="DB86" i="1"/>
  <c r="DI86" i="1" s="1"/>
  <c r="DT86" i="1" s="1"/>
  <c r="AC32" i="1"/>
  <c r="AE112" i="1"/>
  <c r="EU86" i="1"/>
  <c r="EY86" i="1" s="1"/>
  <c r="AF39" i="1"/>
  <c r="AM39" i="1" s="1"/>
  <c r="R65" i="1"/>
  <c r="X65" i="1" s="1"/>
  <c r="R69" i="1"/>
  <c r="X69" i="1" s="1"/>
  <c r="IW69" i="1" s="1"/>
  <c r="IG69" i="1" s="1"/>
  <c r="Q110" i="1"/>
  <c r="AC88" i="1"/>
  <c r="V70" i="1"/>
  <c r="BG86" i="1"/>
  <c r="HI86" i="1"/>
  <c r="AZ112" i="1"/>
  <c r="GM112" i="1" s="1"/>
  <c r="DB112" i="1"/>
  <c r="BZ112" i="1"/>
  <c r="Q111" i="1"/>
  <c r="V110" i="1"/>
  <c r="R110" i="1"/>
  <c r="X110" i="1" s="1"/>
  <c r="AM102" i="1"/>
  <c r="ET102" i="1"/>
  <c r="BH102" i="1"/>
  <c r="DF102" i="1"/>
  <c r="BD102" i="1"/>
  <c r="BF102" i="1"/>
  <c r="BI102" i="1" s="1"/>
  <c r="DB102" i="1"/>
  <c r="R98" i="1"/>
  <c r="X98" i="1" s="1"/>
  <c r="V91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AD39" i="1"/>
  <c r="AH39" i="1" s="1"/>
  <c r="BG106" i="1"/>
  <c r="CN92" i="1"/>
  <c r="DG92" i="1"/>
  <c r="EH93" i="1"/>
  <c r="CS125" i="1"/>
  <c r="BY93" i="1"/>
  <c r="CV129" i="1"/>
  <c r="CM125" i="1"/>
  <c r="BD106" i="1"/>
  <c r="GM92" i="1"/>
  <c r="FB92" i="1"/>
  <c r="FJ93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Y92" i="1"/>
  <c r="BE92" i="1"/>
  <c r="BM92" i="1"/>
  <c r="CF125" i="1"/>
  <c r="CT125" i="1"/>
  <c r="DB106" i="1"/>
  <c r="BT106" i="1"/>
  <c r="GA92" i="1"/>
  <c r="CX92" i="1"/>
  <c r="EH92" i="1"/>
  <c r="GJ106" i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BG74" i="1"/>
  <c r="GJ74" i="1"/>
  <c r="HI74" i="1"/>
  <c r="DG74" i="1"/>
  <c r="DH74" i="1"/>
  <c r="DJ74" i="1"/>
  <c r="EU74" i="1"/>
  <c r="EY74" i="1" s="1"/>
  <c r="CD71" i="1"/>
  <c r="GX74" i="1"/>
  <c r="FB115" i="1"/>
  <c r="DO115" i="1"/>
  <c r="AZ74" i="1"/>
  <c r="BM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BD88" i="1"/>
  <c r="DH88" i="1" s="1"/>
  <c r="DB88" i="1"/>
  <c r="GW88" i="1"/>
  <c r="GV88" i="1" s="1"/>
  <c r="DJ88" i="1"/>
  <c r="DF88" i="1"/>
  <c r="BV88" i="1"/>
  <c r="DC88" i="1"/>
  <c r="BH88" i="1"/>
  <c r="DG88" i="1"/>
  <c r="BT88" i="1"/>
  <c r="CO88" i="1"/>
  <c r="DK88" i="1"/>
  <c r="AZ88" i="1"/>
  <c r="BS88" i="1"/>
  <c r="BI88" i="1"/>
  <c r="DE88" i="1"/>
  <c r="DI88" i="1" s="1"/>
  <c r="BW88" i="1"/>
  <c r="BG88" i="1"/>
  <c r="BY88" i="1"/>
  <c r="GL88" i="1"/>
  <c r="HI88" i="1"/>
  <c r="DD88" i="1"/>
  <c r="BZ88" i="1"/>
  <c r="CI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N71" i="1"/>
  <c r="BP71" i="1" s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AZ106" i="1"/>
  <c r="GM106" i="1" s="1"/>
  <c r="BY106" i="1"/>
  <c r="BW106" i="1"/>
  <c r="BZ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CJ129" i="1"/>
  <c r="CQ129" i="1"/>
  <c r="CL125" i="1"/>
  <c r="CP125" i="1"/>
  <c r="GW106" i="1"/>
  <c r="GL106" i="1"/>
  <c r="DE106" i="1"/>
  <c r="DI106" i="1" s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HI129" i="1"/>
  <c r="FK89" i="1"/>
  <c r="DF106" i="1"/>
  <c r="DJ106" i="1" s="1"/>
  <c r="DG106" i="1"/>
  <c r="CU125" i="1"/>
  <c r="AE21" i="1"/>
  <c r="DD106" i="1"/>
  <c r="CI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HD129" i="1"/>
  <c r="GT129" i="1"/>
  <c r="AZ125" i="1"/>
  <c r="CK125" i="1"/>
  <c r="HI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CY129" i="1"/>
  <c r="GP128" i="1"/>
  <c r="CQ125" i="1"/>
  <c r="BH106" i="1"/>
  <c r="BV106" i="1"/>
  <c r="GV74" i="1"/>
  <c r="GW74" i="1"/>
  <c r="DC74" i="1"/>
  <c r="BY74" i="1"/>
  <c r="CR129" i="1"/>
  <c r="CX129" i="1"/>
  <c r="GX125" i="1"/>
  <c r="CN129" i="1"/>
  <c r="CG125" i="1"/>
  <c r="DA125" i="1"/>
  <c r="D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EQ125" i="1"/>
  <c r="R49" i="1"/>
  <c r="AD43" i="1"/>
  <c r="V59" i="1"/>
  <c r="V60" i="1"/>
  <c r="Q12" i="1"/>
  <c r="E314" i="1" s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D67" i="1"/>
  <c r="BY67" i="1"/>
  <c r="GW67" i="1"/>
  <c r="BF67" i="1"/>
  <c r="BZ67" i="1"/>
  <c r="BN67" i="1"/>
  <c r="BP67" i="1" s="1"/>
  <c r="ET67" i="1"/>
  <c r="CD67" i="1"/>
  <c r="CO67" i="1"/>
  <c r="BJ67" i="1"/>
  <c r="DE67" i="1"/>
  <c r="DH67" i="1"/>
  <c r="BI67" i="1"/>
  <c r="DI67" i="1"/>
  <c r="GU67" i="1"/>
  <c r="EU58" i="1"/>
  <c r="GL58" i="1"/>
  <c r="BI58" i="1"/>
  <c r="BG58" i="1"/>
  <c r="DE58" i="1"/>
  <c r="DF58" i="1"/>
  <c r="DH58" i="1"/>
  <c r="BV58" i="1"/>
  <c r="BM58" i="1"/>
  <c r="BT58" i="1"/>
  <c r="ET58" i="1"/>
  <c r="BY58" i="1"/>
  <c r="CO58" i="1"/>
  <c r="GM58" i="1"/>
  <c r="GU58" i="1"/>
  <c r="DC58" i="1"/>
  <c r="DT58" i="1"/>
  <c r="EY58" i="1"/>
  <c r="GK58" i="1"/>
  <c r="GX58" i="1"/>
  <c r="BN58" i="1"/>
  <c r="BP58" i="1" s="1"/>
  <c r="BH58" i="1"/>
  <c r="GW58" i="1"/>
  <c r="AZ58" i="1"/>
  <c r="BD58" i="1"/>
  <c r="DJ58" i="1"/>
  <c r="DI58" i="1"/>
  <c r="DB58" i="1"/>
  <c r="BL58" i="1"/>
  <c r="ES58" i="1"/>
  <c r="GJ58" i="1"/>
  <c r="DG58" i="1"/>
  <c r="BJ58" i="1"/>
  <c r="BO58" i="1" s="1"/>
  <c r="HI58" i="1"/>
  <c r="FK58" i="1"/>
  <c r="CI58" i="1"/>
  <c r="DD58" i="1"/>
  <c r="CD58" i="1"/>
  <c r="DG33" i="1"/>
  <c r="BF32" i="1"/>
  <c r="DE32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K58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ET59" i="1" s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DC73" i="1"/>
  <c r="BT73" i="1"/>
  <c r="BI73" i="1"/>
  <c r="BV73" i="1"/>
  <c r="BS73" i="1"/>
  <c r="GV73" i="1"/>
  <c r="GX73" i="1" s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DK73" i="1"/>
  <c r="DT73" i="1" s="1"/>
  <c r="BN73" i="1"/>
  <c r="BP73" i="1" s="1"/>
  <c r="CF73" i="1" s="1"/>
  <c r="CL73" i="1" s="1"/>
  <c r="BJ73" i="1"/>
  <c r="BO73" i="1" s="1"/>
  <c r="AZ73" i="1"/>
  <c r="DD73" i="1"/>
  <c r="BY73" i="1"/>
  <c r="BK73" i="1"/>
  <c r="CD73" i="1"/>
  <c r="BD73" i="1"/>
  <c r="BW73" i="1"/>
  <c r="GL73" i="1"/>
  <c r="HI73" i="1"/>
  <c r="BM73" i="1"/>
  <c r="FK73" i="1"/>
  <c r="EY73" i="1"/>
  <c r="GM73" i="1"/>
  <c r="ET73" i="1"/>
  <c r="BQ73" i="1"/>
  <c r="CG73" i="1" s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F104" i="1"/>
  <c r="BG104" i="1"/>
  <c r="CO104" i="1"/>
  <c r="DC104" i="1"/>
  <c r="BZ72" i="1"/>
  <c r="BO72" i="1"/>
  <c r="EY72" i="1"/>
  <c r="DK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DT72" i="1" s="1"/>
  <c r="BN72" i="1"/>
  <c r="BP72" i="1" s="1"/>
  <c r="CF72" i="1" s="1"/>
  <c r="CL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Q72" i="1" s="1"/>
  <c r="CG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B104" i="1"/>
  <c r="AZ104" i="1"/>
  <c r="GM104" i="1" s="1"/>
  <c r="CD119" i="1"/>
  <c r="DZ119" i="1"/>
  <c r="EL119" i="1"/>
  <c r="CO55" i="1"/>
  <c r="BG55" i="1"/>
  <c r="ES73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GL104" i="1"/>
  <c r="BS104" i="1"/>
  <c r="CI104" i="1"/>
  <c r="BY104" i="1"/>
  <c r="GJ104" i="1"/>
  <c r="GK104" i="1" s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T87" i="1"/>
  <c r="BG87" i="1"/>
  <c r="BS87" i="1"/>
  <c r="HI87" i="1"/>
  <c r="DG87" i="1"/>
  <c r="BY87" i="1"/>
  <c r="GW87" i="1"/>
  <c r="BZ87" i="1"/>
  <c r="CO87" i="1"/>
  <c r="BD87" i="1"/>
  <c r="DH87" i="1" s="1"/>
  <c r="CI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CK119" i="1"/>
  <c r="FU119" i="1"/>
  <c r="FP119" i="1"/>
  <c r="EW77" i="1"/>
  <c r="BF87" i="1"/>
  <c r="BI87" i="1" s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DD104" i="1"/>
  <c r="CZ119" i="1"/>
  <c r="CQ119" i="1"/>
  <c r="EV119" i="1"/>
  <c r="EE119" i="1"/>
  <c r="GW23" i="1"/>
  <c r="FG77" i="1"/>
  <c r="GL87" i="1"/>
  <c r="GV87" i="1" s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B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S86" i="1"/>
  <c r="CD86" i="1" s="1"/>
  <c r="CO86" i="1"/>
  <c r="BF86" i="1"/>
  <c r="BI86" i="1"/>
  <c r="BY86" i="1"/>
  <c r="BH86" i="1"/>
  <c r="BD86" i="1"/>
  <c r="DH86" i="1" s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GM54" i="1"/>
  <c r="BS54" i="1"/>
  <c r="GW54" i="1"/>
  <c r="GV54" i="1" s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BW70" i="1"/>
  <c r="ES70" i="1"/>
  <c r="DK70" i="1"/>
  <c r="CD70" i="1"/>
  <c r="BD70" i="1"/>
  <c r="BG102" i="1"/>
  <c r="CI102" i="1"/>
  <c r="GL102" i="1"/>
  <c r="BY102" i="1"/>
  <c r="EU102" i="1"/>
  <c r="EY102" i="1" s="1"/>
  <c r="DE102" i="1"/>
  <c r="DI102" i="1" s="1"/>
  <c r="DD102" i="1"/>
  <c r="GX70" i="1"/>
  <c r="GK70" i="1"/>
  <c r="EU112" i="1"/>
  <c r="EY112" i="1" s="1"/>
  <c r="DC70" i="1"/>
  <c r="DT70" i="1"/>
  <c r="BY70" i="1"/>
  <c r="DG112" i="1"/>
  <c r="BV70" i="1"/>
  <c r="BT102" i="1"/>
  <c r="DG102" i="1"/>
  <c r="BL70" i="1"/>
  <c r="DJ70" i="1"/>
  <c r="DE70" i="1"/>
  <c r="CO102" i="1"/>
  <c r="BV102" i="1"/>
  <c r="ES102" i="1"/>
  <c r="CI78" i="1"/>
  <c r="BF70" i="1"/>
  <c r="CI70" i="1"/>
  <c r="GW102" i="1"/>
  <c r="GJ102" i="1"/>
  <c r="GK102" i="1" s="1"/>
  <c r="BN70" i="1"/>
  <c r="BP70" i="1" s="1"/>
  <c r="CF70" i="1" s="1"/>
  <c r="CL70" i="1" s="1"/>
  <c r="FK70" i="1"/>
  <c r="DH70" i="1"/>
  <c r="BH70" i="1"/>
  <c r="DF70" i="1"/>
  <c r="CO70" i="1"/>
  <c r="BS70" i="1"/>
  <c r="AZ102" i="1"/>
  <c r="GV70" i="1"/>
  <c r="GU70" i="1"/>
  <c r="CH78" i="1"/>
  <c r="BM70" i="1"/>
  <c r="BQ70" i="1" s="1"/>
  <c r="ET70" i="1"/>
  <c r="BK70" i="1"/>
  <c r="BS102" i="1"/>
  <c r="HI102" i="1"/>
  <c r="DH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AZ87" i="1"/>
  <c r="GM87" i="1" s="1"/>
  <c r="AE86" i="1"/>
  <c r="ET86" i="1" s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FK71" i="1" s="1"/>
  <c r="GV71" i="1"/>
  <c r="Q69" i="1"/>
  <c r="GL68" i="1"/>
  <c r="GU68" i="1"/>
  <c r="DJ68" i="1"/>
  <c r="BT68" i="1"/>
  <c r="BN68" i="1"/>
  <c r="BP68" i="1" s="1"/>
  <c r="GX68" i="1"/>
  <c r="EU68" i="1"/>
  <c r="DF68" i="1"/>
  <c r="BK68" i="1"/>
  <c r="DH68" i="1"/>
  <c r="BV68" i="1"/>
  <c r="DI68" i="1"/>
  <c r="DT68" i="1" s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EU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DF81" i="1"/>
  <c r="DG81" i="1"/>
  <c r="GW81" i="1"/>
  <c r="HI81" i="1"/>
  <c r="GL81" i="1"/>
  <c r="AZ81" i="1"/>
  <c r="GM81" i="1" s="1"/>
  <c r="GJ81" i="1"/>
  <c r="GK81" i="1" s="1"/>
  <c r="BZ81" i="1"/>
  <c r="DC81" i="1"/>
  <c r="DJ81" i="1" s="1"/>
  <c r="BG81" i="1"/>
  <c r="CO81" i="1"/>
  <c r="DB81" i="1"/>
  <c r="BS81" i="1"/>
  <c r="BF81" i="1"/>
  <c r="BI81" i="1" s="1"/>
  <c r="BW81" i="1"/>
  <c r="BD81" i="1"/>
  <c r="DH81" i="1" s="1"/>
  <c r="BT81" i="1"/>
  <c r="CI81" i="1"/>
  <c r="DD81" i="1"/>
  <c r="BV81" i="1"/>
  <c r="GW100" i="1"/>
  <c r="BG100" i="1"/>
  <c r="CI100" i="1"/>
  <c r="CO100" i="1"/>
  <c r="DD100" i="1"/>
  <c r="BS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HG80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BN85" i="1"/>
  <c r="BP85" i="1" s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DI85" i="1"/>
  <c r="BS85" i="1"/>
  <c r="BH81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BY81" i="1"/>
  <c r="DE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BZ95" i="1"/>
  <c r="GM80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K80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DK53" i="1" s="1"/>
  <c r="BG53" i="1"/>
  <c r="DF53" i="1"/>
  <c r="AZ53" i="1"/>
  <c r="CO53" i="1"/>
  <c r="ES53" i="1"/>
  <c r="FK53" i="1" s="1"/>
  <c r="BY53" i="1"/>
  <c r="EY53" i="1"/>
  <c r="BD53" i="1"/>
  <c r="DH53" i="1" s="1"/>
  <c r="BZ53" i="1"/>
  <c r="BF53" i="1"/>
  <c r="BI53" i="1" s="1"/>
  <c r="ET53" i="1"/>
  <c r="BS53" i="1"/>
  <c r="BH53" i="1"/>
  <c r="GW53" i="1"/>
  <c r="DD53" i="1"/>
  <c r="DC53" i="1"/>
  <c r="HI53" i="1"/>
  <c r="DJ53" i="1"/>
  <c r="BL53" i="1"/>
  <c r="DB53" i="1"/>
  <c r="BV53" i="1"/>
  <c r="DE53" i="1"/>
  <c r="DI53" i="1" s="1"/>
  <c r="GJ53" i="1"/>
  <c r="GL53" i="1"/>
  <c r="GV53" i="1" s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BF50" i="1"/>
  <c r="BI50" i="1" s="1"/>
  <c r="AZ47" i="1"/>
  <c r="GM47" i="1" s="1"/>
  <c r="DE114" i="1"/>
  <c r="DI114" i="1" s="1"/>
  <c r="BY114" i="1"/>
  <c r="CI114" i="1"/>
  <c r="GL82" i="1"/>
  <c r="GV82" i="1" s="1"/>
  <c r="BS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BP69" i="1" s="1"/>
  <c r="ES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CC123" i="1"/>
  <c r="CT123" i="1"/>
  <c r="EU59" i="1"/>
  <c r="EY59" i="1" s="1"/>
  <c r="GW59" i="1"/>
  <c r="BZ59" i="1"/>
  <c r="DH59" i="1"/>
  <c r="DG59" i="1"/>
  <c r="AZ59" i="1"/>
  <c r="GM59" i="1" s="1"/>
  <c r="GJ59" i="1"/>
  <c r="DF59" i="1"/>
  <c r="DB59" i="1"/>
  <c r="GL59" i="1"/>
  <c r="GV59" i="1" s="1"/>
  <c r="BW59" i="1"/>
  <c r="ES59" i="1"/>
  <c r="CO59" i="1"/>
  <c r="BY59" i="1"/>
  <c r="CI59" i="1"/>
  <c r="BS59" i="1"/>
  <c r="BV59" i="1"/>
  <c r="HI59" i="1"/>
  <c r="BD59" i="1"/>
  <c r="BH59" i="1"/>
  <c r="DC59" i="1"/>
  <c r="BG59" i="1"/>
  <c r="BF59" i="1"/>
  <c r="DE59" i="1"/>
  <c r="DI59" i="1" s="1"/>
  <c r="DT59" i="1" s="1"/>
  <c r="DJ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DD114" i="1"/>
  <c r="BD114" i="1"/>
  <c r="BG114" i="1"/>
  <c r="BF114" i="1"/>
  <c r="DB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EA123" i="1"/>
  <c r="HC123" i="1"/>
  <c r="BY123" i="1"/>
  <c r="BI123" i="1"/>
  <c r="DC123" i="1"/>
  <c r="EU64" i="1"/>
  <c r="DK91" i="1"/>
  <c r="DK114" i="1"/>
  <c r="DF47" i="1"/>
  <c r="DF114" i="1"/>
  <c r="DH114" i="1"/>
  <c r="DC114" i="1"/>
  <c r="DJ114" i="1" s="1"/>
  <c r="DG114" i="1"/>
  <c r="GJ82" i="1"/>
  <c r="BW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BY108" i="1"/>
  <c r="AZ108" i="1"/>
  <c r="GM108" i="1" s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BG14" i="1"/>
  <c r="BV47" i="1"/>
  <c r="BH114" i="1"/>
  <c r="BV114" i="1"/>
  <c r="DE82" i="1"/>
  <c r="DC82" i="1"/>
  <c r="DD82" i="1"/>
  <c r="DK82" i="1" s="1"/>
  <c r="CO82" i="1"/>
  <c r="AZ82" i="1"/>
  <c r="GM82" i="1" s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CG69" i="1" s="1"/>
  <c r="DJ69" i="1"/>
  <c r="ET96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FP123" i="1"/>
  <c r="FR123" i="1"/>
  <c r="CV123" i="1"/>
  <c r="BG64" i="1"/>
  <c r="GW47" i="1"/>
  <c r="GK114" i="1"/>
  <c r="AZ50" i="1"/>
  <c r="GM50" i="1" s="1"/>
  <c r="AZ114" i="1"/>
  <c r="GM114" i="1" s="1"/>
  <c r="HI114" i="1"/>
  <c r="HI82" i="1"/>
  <c r="DF82" i="1"/>
  <c r="BD82" i="1"/>
  <c r="DH82" i="1" s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CO69" i="1"/>
  <c r="CI69" i="1"/>
  <c r="BG47" i="1"/>
  <c r="GL114" i="1"/>
  <c r="GV114" i="1" s="1"/>
  <c r="BZ114" i="1"/>
  <c r="BT114" i="1"/>
  <c r="BH82" i="1"/>
  <c r="BT82" i="1"/>
  <c r="BY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S69" i="1"/>
  <c r="EZ96" i="1"/>
  <c r="GJ18" i="1"/>
  <c r="GK18" i="1" s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DB47" i="1"/>
  <c r="GJ114" i="1"/>
  <c r="BI114" i="1"/>
  <c r="BW114" i="1"/>
  <c r="CD114" i="1" s="1"/>
  <c r="BF82" i="1"/>
  <c r="BI82" i="1" s="1"/>
  <c r="BZ82" i="1"/>
  <c r="BY14" i="1"/>
  <c r="HI14" i="1"/>
  <c r="DH111" i="1"/>
  <c r="DS111" i="1"/>
  <c r="DB111" i="1"/>
  <c r="DP111" i="1"/>
  <c r="FT111" i="1"/>
  <c r="CE111" i="1"/>
  <c r="EZ111" i="1"/>
  <c r="BV101" i="1"/>
  <c r="BO69" i="1"/>
  <c r="CH69" i="1" s="1"/>
  <c r="EU69" i="1"/>
  <c r="CZ96" i="1"/>
  <c r="DB69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DH83" i="1" s="1"/>
  <c r="BW83" i="1"/>
  <c r="BY83" i="1"/>
  <c r="DG83" i="1"/>
  <c r="HI83" i="1"/>
  <c r="DE83" i="1"/>
  <c r="AZ83" i="1"/>
  <c r="GM83" i="1" s="1"/>
  <c r="GL83" i="1"/>
  <c r="BZ83" i="1"/>
  <c r="BH83" i="1"/>
  <c r="DB83" i="1"/>
  <c r="BT83" i="1"/>
  <c r="BS83" i="1"/>
  <c r="GJ83" i="1"/>
  <c r="GK83" i="1" s="1"/>
  <c r="DF83" i="1"/>
  <c r="BF83" i="1"/>
  <c r="BI83" i="1" s="1"/>
  <c r="DC83" i="1"/>
  <c r="DD83" i="1"/>
  <c r="BG83" i="1"/>
  <c r="CO83" i="1"/>
  <c r="BV83" i="1"/>
  <c r="CI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BS74" i="1"/>
  <c r="ET74" i="1"/>
  <c r="DI74" i="1"/>
  <c r="DE74" i="1"/>
  <c r="DF74" i="1"/>
  <c r="CI74" i="1"/>
  <c r="BW74" i="1"/>
  <c r="BI74" i="1"/>
  <c r="BF74" i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GV112" i="1"/>
  <c r="BH112" i="1"/>
  <c r="HI112" i="1"/>
  <c r="BD112" i="1"/>
  <c r="DH112" i="1" s="1"/>
  <c r="CO112" i="1"/>
  <c r="BT112" i="1"/>
  <c r="CD112" i="1"/>
  <c r="BV112" i="1"/>
  <c r="GJ112" i="1"/>
  <c r="BG112" i="1"/>
  <c r="BW112" i="1"/>
  <c r="BY112" i="1"/>
  <c r="GL112" i="1"/>
  <c r="BF112" i="1"/>
  <c r="BL112" i="1" s="1"/>
  <c r="CI112" i="1"/>
  <c r="GW112" i="1"/>
  <c r="DE112" i="1"/>
  <c r="DI112" i="1" s="1"/>
  <c r="DT112" i="1" s="1"/>
  <c r="ET112" i="1"/>
  <c r="DF112" i="1"/>
  <c r="DJ112" i="1" s="1"/>
  <c r="DK112" i="1"/>
  <c r="BS112" i="1"/>
  <c r="DD112" i="1"/>
  <c r="DC112" i="1"/>
  <c r="AZ110" i="1"/>
  <c r="GM110" i="1" s="1"/>
  <c r="BD110" i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DJ110" i="1" s="1"/>
  <c r="BS110" i="1"/>
  <c r="BZ110" i="1"/>
  <c r="CD110" i="1" s="1"/>
  <c r="DH110" i="1"/>
  <c r="CI110" i="1"/>
  <c r="HI110" i="1"/>
  <c r="BH110" i="1"/>
  <c r="BG110" i="1"/>
  <c r="GW110" i="1"/>
  <c r="GV110" i="1" s="1"/>
  <c r="DK110" i="1"/>
  <c r="DB110" i="1"/>
  <c r="BF110" i="1"/>
  <c r="DG110" i="1"/>
  <c r="BI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GW68" i="1"/>
  <c r="GM68" i="1"/>
  <c r="BL68" i="1"/>
  <c r="FK68" i="1"/>
  <c r="BI68" i="1"/>
  <c r="HI68" i="1"/>
  <c r="EY68" i="1"/>
  <c r="AZ68" i="1"/>
  <c r="BJ68" i="1"/>
  <c r="BR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BZ100" i="1"/>
  <c r="BF100" i="1"/>
  <c r="BI100" i="1" s="1"/>
  <c r="ET100" i="1"/>
  <c r="ES100" i="1"/>
  <c r="GJ100" i="1"/>
  <c r="GK100" i="1" s="1"/>
  <c r="DC100" i="1"/>
  <c r="DF100" i="1"/>
  <c r="BH100" i="1"/>
  <c r="BT100" i="1"/>
  <c r="HI100" i="1"/>
  <c r="AZ100" i="1"/>
  <c r="GL100" i="1"/>
  <c r="GV100" i="1" s="1"/>
  <c r="DB100" i="1"/>
  <c r="DG100" i="1"/>
  <c r="DK100" i="1" s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H87" i="1"/>
  <c r="DF87" i="1"/>
  <c r="DJ87" i="1" s="1"/>
  <c r="DI87" i="1"/>
  <c r="DT87" i="1" s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BS108" i="1"/>
  <c r="CD108" i="1" s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BJ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ET88" i="1" s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R41" i="1"/>
  <c r="AD108" i="1"/>
  <c r="ES108" i="1" s="1"/>
  <c r="AD116" i="1"/>
  <c r="AH116" i="1" s="1"/>
  <c r="Q42" i="1"/>
  <c r="AF34" i="1"/>
  <c r="AM34" i="1" s="1"/>
  <c r="AD33" i="1"/>
  <c r="AH33" i="1" s="1"/>
  <c r="R17" i="1"/>
  <c r="AC13" i="1"/>
  <c r="R13" i="1"/>
  <c r="AF88" i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ET114" i="1" s="1"/>
  <c r="AD114" i="1"/>
  <c r="AF114" i="1"/>
  <c r="EU114" i="1" s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ES110" i="1" s="1"/>
  <c r="FK110" i="1" s="1"/>
  <c r="AE110" i="1"/>
  <c r="ET110" i="1" s="1"/>
  <c r="AC110" i="1"/>
  <c r="AF110" i="1"/>
  <c r="EU110" i="1" s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AC104" i="1"/>
  <c r="V103" i="1"/>
  <c r="AE103" i="1"/>
  <c r="R103" i="1"/>
  <c r="X103" i="1" s="1"/>
  <c r="AG102" i="1"/>
  <c r="BK102" i="1" s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F87" i="1"/>
  <c r="EU87" i="1" s="1"/>
  <c r="EY87" i="1" s="1"/>
  <c r="AD87" i="1"/>
  <c r="AC87" i="1"/>
  <c r="AE87" i="1"/>
  <c r="ET87" i="1" s="1"/>
  <c r="Q85" i="1"/>
  <c r="AE85" i="1"/>
  <c r="AC85" i="1"/>
  <c r="AF85" i="1"/>
  <c r="AD85" i="1"/>
  <c r="AH85" i="1" s="1"/>
  <c r="V84" i="1"/>
  <c r="V83" i="1"/>
  <c r="AE83" i="1"/>
  <c r="ET83" i="1" s="1"/>
  <c r="AD83" i="1"/>
  <c r="AH83" i="1" s="1"/>
  <c r="AC83" i="1"/>
  <c r="V82" i="1"/>
  <c r="AE82" i="1"/>
  <c r="ET82" i="1" s="1"/>
  <c r="Q82" i="1"/>
  <c r="AC82" i="1"/>
  <c r="AD82" i="1"/>
  <c r="AH82" i="1" s="1"/>
  <c r="AE81" i="1"/>
  <c r="ET81" i="1" s="1"/>
  <c r="AD81" i="1"/>
  <c r="AH81" i="1" s="1"/>
  <c r="AC81" i="1"/>
  <c r="AF81" i="1"/>
  <c r="EU81" i="1" s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GU110" i="1" l="1"/>
  <c r="EY110" i="1"/>
  <c r="BN112" i="1"/>
  <c r="FK86" i="1"/>
  <c r="AH87" i="1"/>
  <c r="BL87" i="1" s="1"/>
  <c r="ES87" i="1"/>
  <c r="FK87" i="1" s="1"/>
  <c r="AH88" i="1"/>
  <c r="BL88" i="1" s="1"/>
  <c r="ES88" i="1"/>
  <c r="FK88" i="1" s="1"/>
  <c r="CD59" i="1"/>
  <c r="BI59" i="1"/>
  <c r="BL59" i="1"/>
  <c r="GX59" i="1"/>
  <c r="GK59" i="1"/>
  <c r="GU59" i="1" s="1"/>
  <c r="GU87" i="1"/>
  <c r="AH114" i="1"/>
  <c r="ES114" i="1"/>
  <c r="FK114" i="1" s="1"/>
  <c r="DI110" i="1"/>
  <c r="GX114" i="1"/>
  <c r="GU114" i="1"/>
  <c r="DT114" i="1"/>
  <c r="DT88" i="1"/>
  <c r="GX86" i="1"/>
  <c r="GU86" i="1"/>
  <c r="AI88" i="1"/>
  <c r="EU88" i="1"/>
  <c r="GX87" i="1"/>
  <c r="GX110" i="1"/>
  <c r="FK59" i="1"/>
  <c r="CD87" i="1"/>
  <c r="BI112" i="1"/>
  <c r="GK112" i="1"/>
  <c r="GU112" i="1" s="1"/>
  <c r="GX112" i="1"/>
  <c r="ES112" i="1"/>
  <c r="FK112" i="1" s="1"/>
  <c r="CD88" i="1"/>
  <c r="EY114" i="1"/>
  <c r="GX88" i="1"/>
  <c r="GX53" i="1"/>
  <c r="GK88" i="1"/>
  <c r="GU88" i="1" s="1"/>
  <c r="GM88" i="1"/>
  <c r="DT53" i="1"/>
  <c r="DT51" i="1"/>
  <c r="BL114" i="1"/>
  <c r="FK102" i="1"/>
  <c r="DK108" i="1"/>
  <c r="DJ108" i="1"/>
  <c r="IX44" i="1"/>
  <c r="IS43" i="1"/>
  <c r="IS57" i="1"/>
  <c r="DI108" i="1"/>
  <c r="DK106" i="1"/>
  <c r="DT106" i="1" s="1"/>
  <c r="GV108" i="1"/>
  <c r="GU108" i="1" s="1"/>
  <c r="BK108" i="1"/>
  <c r="BI108" i="1"/>
  <c r="ET108" i="1"/>
  <c r="FK108" i="1" s="1"/>
  <c r="EU108" i="1"/>
  <c r="BL81" i="1"/>
  <c r="GV104" i="1"/>
  <c r="GU104" i="1" s="1"/>
  <c r="DJ102" i="1"/>
  <c r="GV106" i="1"/>
  <c r="GX106" i="1" s="1"/>
  <c r="CD106" i="1"/>
  <c r="EY106" i="1"/>
  <c r="GK106" i="1"/>
  <c r="ES106" i="1"/>
  <c r="FK106" i="1" s="1"/>
  <c r="DK104" i="1"/>
  <c r="DI104" i="1"/>
  <c r="DJ104" i="1"/>
  <c r="EY104" i="1"/>
  <c r="CD104" i="1"/>
  <c r="ES104" i="1"/>
  <c r="FK104" i="1" s="1"/>
  <c r="BL104" i="1"/>
  <c r="GV102" i="1"/>
  <c r="GU102" i="1" s="1"/>
  <c r="CD102" i="1"/>
  <c r="DK102" i="1"/>
  <c r="BM102" i="1"/>
  <c r="BL102" i="1"/>
  <c r="BN102" i="1"/>
  <c r="AJ102" i="1"/>
  <c r="BJ102" i="1"/>
  <c r="GM102" i="1"/>
  <c r="DI100" i="1"/>
  <c r="DJ100" i="1"/>
  <c r="BL100" i="1"/>
  <c r="CD100" i="1"/>
  <c r="FK100" i="1"/>
  <c r="GX100" i="1"/>
  <c r="GU100" i="1"/>
  <c r="GM100" i="1"/>
  <c r="EU100" i="1"/>
  <c r="DJ54" i="1"/>
  <c r="EU83" i="1"/>
  <c r="EY83" i="1" s="1"/>
  <c r="DJ83" i="1"/>
  <c r="GV83" i="1"/>
  <c r="GX83" i="1" s="1"/>
  <c r="GV81" i="1"/>
  <c r="GU81" i="1" s="1"/>
  <c r="DK83" i="1"/>
  <c r="CD83" i="1"/>
  <c r="DI82" i="1"/>
  <c r="DI83" i="1"/>
  <c r="DJ82" i="1"/>
  <c r="BL83" i="1"/>
  <c r="DI81" i="1"/>
  <c r="ES83" i="1"/>
  <c r="FK83" i="1" s="1"/>
  <c r="GX82" i="1"/>
  <c r="EU82" i="1"/>
  <c r="ES82" i="1"/>
  <c r="FK82" i="1" s="1"/>
  <c r="GK82" i="1"/>
  <c r="GU82" i="1" s="1"/>
  <c r="CD82" i="1"/>
  <c r="DK81" i="1"/>
  <c r="BL82" i="1"/>
  <c r="EY81" i="1"/>
  <c r="CD81" i="1"/>
  <c r="ES81" i="1"/>
  <c r="FK81" i="1" s="1"/>
  <c r="IS60" i="1"/>
  <c r="IS61" i="1"/>
  <c r="IS59" i="1"/>
  <c r="DI54" i="1"/>
  <c r="ES54" i="1"/>
  <c r="FK54" i="1" s="1"/>
  <c r="BL54" i="1"/>
  <c r="GU54" i="1"/>
  <c r="GX54" i="1"/>
  <c r="BI54" i="1"/>
  <c r="CD54" i="1"/>
  <c r="IS29" i="1"/>
  <c r="GV52" i="1"/>
  <c r="IX43" i="1"/>
  <c r="IX41" i="1"/>
  <c r="IX40" i="1"/>
  <c r="IS41" i="1"/>
  <c r="IX28" i="1"/>
  <c r="IX26" i="1"/>
  <c r="IS27" i="1"/>
  <c r="IS26" i="1"/>
  <c r="V22" i="1"/>
  <c r="IS23" i="1"/>
  <c r="IX25" i="1"/>
  <c r="IS24" i="1"/>
  <c r="IX24" i="1"/>
  <c r="V21" i="1"/>
  <c r="V41" i="1"/>
  <c r="V23" i="1"/>
  <c r="V45" i="1"/>
  <c r="V14" i="1"/>
  <c r="IS56" i="1"/>
  <c r="IS32" i="1"/>
  <c r="IS35" i="1"/>
  <c r="IX30" i="1"/>
  <c r="IS33" i="1"/>
  <c r="IS30" i="1"/>
  <c r="E327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H74" i="1"/>
  <c r="CF69" i="1"/>
  <c r="CL69" i="1" s="1"/>
  <c r="CF74" i="1"/>
  <c r="CL74" i="1" s="1"/>
  <c r="CH58" i="1"/>
  <c r="BR69" i="1"/>
  <c r="CJ69" i="1" s="1"/>
  <c r="BQ85" i="1"/>
  <c r="CG85" i="1" s="1"/>
  <c r="BQ84" i="1"/>
  <c r="CG84" i="1" s="1"/>
  <c r="BO85" i="1"/>
  <c r="CH85" i="1" s="1"/>
  <c r="BO68" i="1"/>
  <c r="CH68" i="1" s="1"/>
  <c r="BO70" i="1"/>
  <c r="CH70" i="1" s="1"/>
  <c r="BR58" i="1"/>
  <c r="CJ58" i="1" s="1"/>
  <c r="CH72" i="1"/>
  <c r="CH73" i="1"/>
  <c r="BR70" i="1"/>
  <c r="CJ70" i="1" s="1"/>
  <c r="BO67" i="1"/>
  <c r="CH67" i="1" s="1"/>
  <c r="BR71" i="1"/>
  <c r="CJ71" i="1" s="1"/>
  <c r="BR74" i="1"/>
  <c r="CJ74" i="1" s="1"/>
  <c r="BQ74" i="1"/>
  <c r="CG74" i="1" s="1"/>
  <c r="CJ85" i="1"/>
  <c r="BR84" i="1"/>
  <c r="CJ84" i="1" s="1"/>
  <c r="CM58" i="1"/>
  <c r="BQ58" i="1"/>
  <c r="CG58" i="1" s="1"/>
  <c r="BR72" i="1"/>
  <c r="CJ72" i="1" s="1"/>
  <c r="BQ67" i="1"/>
  <c r="CG67" i="1" s="1"/>
  <c r="BQ71" i="1"/>
  <c r="CG71" i="1" s="1"/>
  <c r="CM85" i="1"/>
  <c r="BR67" i="1"/>
  <c r="CJ67" i="1" s="1"/>
  <c r="BR73" i="1"/>
  <c r="CJ73" i="1" s="1"/>
  <c r="BQ68" i="1"/>
  <c r="CG68" i="1" s="1"/>
  <c r="CM84" i="1"/>
  <c r="CM74" i="1"/>
  <c r="BO71" i="1"/>
  <c r="CH71" i="1" s="1"/>
  <c r="CM71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U53" i="1" s="1"/>
  <c r="GM53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BJ86" i="1" s="1"/>
  <c r="IR37" i="1"/>
  <c r="IR5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55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IR54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AQ117" i="1"/>
  <c r="IW117" i="1"/>
  <c r="IG117" i="1" s="1"/>
  <c r="AQ88" i="1"/>
  <c r="IR97" i="1"/>
  <c r="IR45" i="1"/>
  <c r="AQ77" i="1"/>
  <c r="IW77" i="1"/>
  <c r="IG77" i="1" s="1"/>
  <c r="AQ115" i="1"/>
  <c r="IW115" i="1"/>
  <c r="IG115" i="1" s="1"/>
  <c r="AQ78" i="1"/>
  <c r="IW78" i="1"/>
  <c r="IG78" i="1" s="1"/>
  <c r="IR17" i="1"/>
  <c r="IW54" i="1"/>
  <c r="IG54" i="1" s="1"/>
  <c r="IR63" i="1"/>
  <c r="AQ113" i="1"/>
  <c r="IW113" i="1"/>
  <c r="IG113" i="1" s="1"/>
  <c r="AQ63" i="1"/>
  <c r="IW63" i="1"/>
  <c r="IG63" i="1" s="1"/>
  <c r="AQ108" i="1"/>
  <c r="IR115" i="1"/>
  <c r="IW58" i="1"/>
  <c r="IG58" i="1" s="1"/>
  <c r="AQ89" i="1"/>
  <c r="IR98" i="1"/>
  <c r="AQ118" i="1"/>
  <c r="IW118" i="1"/>
  <c r="IG118" i="1" s="1"/>
  <c r="IR40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K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BJ53" i="1" s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88" i="1" s="1"/>
  <c r="GN88" i="1" s="1"/>
  <c r="GL2" i="1"/>
  <c r="AG88" i="1"/>
  <c r="BJ88" i="1" s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K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N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BN87" i="1" s="1"/>
  <c r="AG85" i="1"/>
  <c r="AI85" i="1"/>
  <c r="AM85" i="1"/>
  <c r="AJ83" i="1"/>
  <c r="AG83" i="1"/>
  <c r="BN83" i="1" s="1"/>
  <c r="AG82" i="1"/>
  <c r="BJ82" i="1" s="1"/>
  <c r="AM81" i="1"/>
  <c r="AI81" i="1"/>
  <c r="AG81" i="1"/>
  <c r="BK81" i="1" s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BP87" i="1" l="1"/>
  <c r="BP112" i="1"/>
  <c r="BN114" i="1"/>
  <c r="BM114" i="1"/>
  <c r="BK110" i="1"/>
  <c r="BP110" i="1" s="1"/>
  <c r="BK87" i="1"/>
  <c r="BN53" i="1"/>
  <c r="BN59" i="1"/>
  <c r="BK59" i="1"/>
  <c r="BJ59" i="1"/>
  <c r="BM87" i="1"/>
  <c r="BR87" i="1" s="1"/>
  <c r="BJ87" i="1"/>
  <c r="BJ112" i="1"/>
  <c r="BM112" i="1"/>
  <c r="BN88" i="1"/>
  <c r="BP88" i="1" s="1"/>
  <c r="EY88" i="1"/>
  <c r="BQ88" i="1"/>
  <c r="BK88" i="1"/>
  <c r="BJ114" i="1"/>
  <c r="BK114" i="1"/>
  <c r="BM86" i="1"/>
  <c r="BQ86" i="1" s="1"/>
  <c r="BA82" i="1"/>
  <c r="GN82" i="1" s="1"/>
  <c r="BA112" i="1"/>
  <c r="GN112" i="1" s="1"/>
  <c r="BA110" i="1"/>
  <c r="GN110" i="1" s="1"/>
  <c r="BA114" i="1"/>
  <c r="GN114" i="1" s="1"/>
  <c r="BM53" i="1"/>
  <c r="BQ53" i="1" s="1"/>
  <c r="BM88" i="1"/>
  <c r="BN86" i="1"/>
  <c r="DT110" i="1"/>
  <c r="BJ110" i="1"/>
  <c r="BM110" i="1"/>
  <c r="BK53" i="1"/>
  <c r="BO53" i="1" s="1"/>
  <c r="BK86" i="1"/>
  <c r="DT102" i="1"/>
  <c r="DT108" i="1"/>
  <c r="GX108" i="1"/>
  <c r="EY108" i="1"/>
  <c r="BA108" i="1"/>
  <c r="GN108" i="1" s="1"/>
  <c r="BM108" i="1"/>
  <c r="BQ108" i="1" s="1"/>
  <c r="BN108" i="1"/>
  <c r="GX104" i="1"/>
  <c r="GU106" i="1"/>
  <c r="BM106" i="1"/>
  <c r="BK106" i="1"/>
  <c r="BJ106" i="1"/>
  <c r="BN106" i="1"/>
  <c r="BA106" i="1"/>
  <c r="GN106" i="1" s="1"/>
  <c r="DT104" i="1"/>
  <c r="GX102" i="1"/>
  <c r="BK104" i="1"/>
  <c r="BM104" i="1"/>
  <c r="BQ104" i="1" s="1"/>
  <c r="BN104" i="1"/>
  <c r="BA104" i="1"/>
  <c r="GN104" i="1" s="1"/>
  <c r="DT100" i="1"/>
  <c r="BP102" i="1"/>
  <c r="BR102" i="1"/>
  <c r="BO102" i="1"/>
  <c r="BQ102" i="1"/>
  <c r="BA102" i="1"/>
  <c r="GN102" i="1" s="1"/>
  <c r="IR38" i="1"/>
  <c r="IR27" i="1"/>
  <c r="IW39" i="1"/>
  <c r="IG39" i="1" s="1"/>
  <c r="IR94" i="1"/>
  <c r="IW44" i="1"/>
  <c r="IG44" i="1" s="1"/>
  <c r="BK100" i="1"/>
  <c r="BP100" i="1" s="1"/>
  <c r="BM100" i="1"/>
  <c r="BJ100" i="1"/>
  <c r="BA100" i="1"/>
  <c r="GN100" i="1" s="1"/>
  <c r="EY100" i="1"/>
  <c r="DT54" i="1"/>
  <c r="IR60" i="1"/>
  <c r="IR61" i="1"/>
  <c r="DT82" i="1"/>
  <c r="GU83" i="1"/>
  <c r="GX81" i="1"/>
  <c r="DT83" i="1"/>
  <c r="DT81" i="1"/>
  <c r="BK83" i="1"/>
  <c r="BP83" i="1" s="1"/>
  <c r="BM83" i="1"/>
  <c r="BJ83" i="1"/>
  <c r="EY82" i="1"/>
  <c r="BK82" i="1"/>
  <c r="BN82" i="1"/>
  <c r="BM82" i="1"/>
  <c r="BA54" i="1"/>
  <c r="GN54" i="1" s="1"/>
  <c r="BA81" i="1"/>
  <c r="GN81" i="1" s="1"/>
  <c r="BM81" i="1"/>
  <c r="BJ81" i="1"/>
  <c r="BN81" i="1"/>
  <c r="BP81" i="1" s="1"/>
  <c r="IW40" i="1"/>
  <c r="IG40" i="1" s="1"/>
  <c r="IR41" i="1"/>
  <c r="IR62" i="1"/>
  <c r="GU56" i="1"/>
  <c r="IR28" i="1"/>
  <c r="IW28" i="1"/>
  <c r="IG28" i="1" s="1"/>
  <c r="IR43" i="1"/>
  <c r="BJ54" i="1"/>
  <c r="BN54" i="1"/>
  <c r="BP54" i="1" s="1"/>
  <c r="BM54" i="1"/>
  <c r="IR39" i="1"/>
  <c r="IW27" i="1"/>
  <c r="IG27" i="1" s="1"/>
  <c r="IR29" i="1"/>
  <c r="IW29" i="1"/>
  <c r="IG29" i="1" s="1"/>
  <c r="IR25" i="1"/>
  <c r="IR26" i="1"/>
  <c r="IR24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J68" i="1"/>
  <c r="CM69" i="1"/>
  <c r="CG70" i="1"/>
  <c r="CM70" i="1" s="1"/>
  <c r="CF84" i="1"/>
  <c r="CL84" i="1" s="1"/>
  <c r="CF68" i="1"/>
  <c r="CL68" i="1" s="1"/>
  <c r="CF67" i="1"/>
  <c r="CL67" i="1" s="1"/>
  <c r="CF71" i="1"/>
  <c r="CL71" i="1" s="1"/>
  <c r="CF58" i="1"/>
  <c r="CL58" i="1" s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CM73" i="1"/>
  <c r="CM67" i="1"/>
  <c r="GX15" i="1"/>
  <c r="GU15" i="1"/>
  <c r="CM72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BP51" i="1" s="1"/>
  <c r="DT52" i="1"/>
  <c r="BR53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55" i="1" l="1"/>
  <c r="BP86" i="1"/>
  <c r="BO86" i="1"/>
  <c r="BO112" i="1"/>
  <c r="BR112" i="1"/>
  <c r="BQ112" i="1"/>
  <c r="BO59" i="1"/>
  <c r="BR59" i="1"/>
  <c r="BQ59" i="1"/>
  <c r="BO87" i="1"/>
  <c r="BQ87" i="1"/>
  <c r="BP59" i="1"/>
  <c r="BR86" i="1"/>
  <c r="BP53" i="1"/>
  <c r="BQ114" i="1"/>
  <c r="BO114" i="1"/>
  <c r="BR114" i="1"/>
  <c r="BP57" i="1"/>
  <c r="BQ110" i="1"/>
  <c r="BR110" i="1"/>
  <c r="BO110" i="1"/>
  <c r="BR88" i="1"/>
  <c r="BP114" i="1"/>
  <c r="BO88" i="1"/>
  <c r="BR108" i="1"/>
  <c r="BO108" i="1"/>
  <c r="BP108" i="1"/>
  <c r="BP106" i="1"/>
  <c r="BR106" i="1"/>
  <c r="BQ106" i="1"/>
  <c r="BO106" i="1"/>
  <c r="BP104" i="1"/>
  <c r="BR104" i="1"/>
  <c r="BO104" i="1"/>
  <c r="BR100" i="1"/>
  <c r="BO100" i="1"/>
  <c r="BQ100" i="1"/>
  <c r="BO83" i="1"/>
  <c r="BR83" i="1"/>
  <c r="BQ83" i="1"/>
  <c r="BO82" i="1"/>
  <c r="BR82" i="1"/>
  <c r="BQ82" i="1"/>
  <c r="BP82" i="1"/>
  <c r="BR81" i="1"/>
  <c r="BQ81" i="1"/>
  <c r="BO81" i="1"/>
  <c r="BQ54" i="1"/>
  <c r="BR54" i="1"/>
  <c r="BO54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68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V123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IU123" i="1" s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O164" i="1" l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P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D41" i="1" l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BU53" i="1" l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B53" i="1" l="1"/>
  <c r="CG53" i="1" s="1"/>
  <c r="CC53" i="1"/>
  <c r="CE53" i="1"/>
  <c r="BU54" i="1"/>
  <c r="BX54" i="1"/>
  <c r="CA54" i="1"/>
  <c r="CJ52" i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CJ53" i="1" l="1"/>
  <c r="CM53" i="1" s="1"/>
  <c r="CP51" i="1"/>
  <c r="CS51" i="1" s="1"/>
  <c r="CU51" i="1" s="1"/>
  <c r="CK53" i="1"/>
  <c r="CH53" i="1"/>
  <c r="CF53" i="1"/>
  <c r="CL53" i="1" s="1"/>
  <c r="CR52" i="1"/>
  <c r="CE54" i="1"/>
  <c r="CB54" i="1"/>
  <c r="CG54" i="1" s="1"/>
  <c r="CC54" i="1"/>
  <c r="CM52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CR53" i="1" l="1"/>
  <c r="CN53" i="1"/>
  <c r="CQ53" i="1"/>
  <c r="CP53" i="1"/>
  <c r="CP52" i="1"/>
  <c r="CQ52" i="1"/>
  <c r="CK54" i="1"/>
  <c r="CH54" i="1"/>
  <c r="CF54" i="1"/>
  <c r="CL54" i="1" s="1"/>
  <c r="CJ54" i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CS53" i="1" l="1"/>
  <c r="CU53" i="1" s="1"/>
  <c r="CS52" i="1"/>
  <c r="CT52" i="1" s="1"/>
  <c r="CM54" i="1"/>
  <c r="CR54" i="1"/>
  <c r="CN54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T53" i="1" l="1"/>
  <c r="CV53" i="1" s="1"/>
  <c r="DL53" i="1" s="1"/>
  <c r="CY53" i="1"/>
  <c r="CZ53" i="1"/>
  <c r="DA53" i="1"/>
  <c r="CQ54" i="1"/>
  <c r="CP54" i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CW53" i="1" l="1"/>
  <c r="DM53" i="1" s="1"/>
  <c r="CX53" i="1"/>
  <c r="DN53" i="1" s="1"/>
  <c r="DQ53" i="1"/>
  <c r="DO53" i="1"/>
  <c r="DY50" i="1"/>
  <c r="CS54" i="1"/>
  <c r="CT54" i="1" s="1"/>
  <c r="CV54" i="1" s="1"/>
  <c r="EA50" i="1"/>
  <c r="BU59" i="1"/>
  <c r="BX59" i="1"/>
  <c r="CA59" i="1"/>
  <c r="CE58" i="1"/>
  <c r="CC58" i="1"/>
  <c r="CK58" i="1" s="1"/>
  <c r="CR58" i="1" s="1"/>
  <c r="CB58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DP53" i="1" l="1"/>
  <c r="DR53" i="1"/>
  <c r="DV53" i="1"/>
  <c r="DW53" i="1"/>
  <c r="DX53" i="1" s="1"/>
  <c r="EA53" i="1" s="1"/>
  <c r="DS53" i="1"/>
  <c r="DU53" i="1"/>
  <c r="DY53" i="1" s="1"/>
  <c r="CX54" i="1"/>
  <c r="DN54" i="1" s="1"/>
  <c r="CW54" i="1"/>
  <c r="DM54" i="1" s="1"/>
  <c r="CU54" i="1"/>
  <c r="CZ54" i="1" s="1"/>
  <c r="ED50" i="1"/>
  <c r="EL50" i="1" s="1"/>
  <c r="DL54" i="1"/>
  <c r="DY52" i="1"/>
  <c r="EC50" i="1"/>
  <c r="EK50" i="1" s="1"/>
  <c r="EB50" i="1"/>
  <c r="CN58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I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CJ59" i="1" l="1"/>
  <c r="CM59" i="1" s="1"/>
  <c r="DZ53" i="1"/>
  <c r="EB53" i="1" s="1"/>
  <c r="EC53" i="1"/>
  <c r="CK59" i="1"/>
  <c r="CF59" i="1"/>
  <c r="CL59" i="1" s="1"/>
  <c r="CH59" i="1"/>
  <c r="DP54" i="1"/>
  <c r="EJ50" i="1"/>
  <c r="EH50" i="1"/>
  <c r="DA54" i="1"/>
  <c r="DQ54" i="1" s="1"/>
  <c r="CY54" i="1"/>
  <c r="DO54" i="1" s="1"/>
  <c r="EF50" i="1"/>
  <c r="EE50" i="1"/>
  <c r="EG50" i="1"/>
  <c r="DV54" i="1"/>
  <c r="DW54" i="1"/>
  <c r="DX54" i="1" s="1"/>
  <c r="DR54" i="1"/>
  <c r="CQ58" i="1"/>
  <c r="CP58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CR59" i="1" l="1"/>
  <c r="ED53" i="1"/>
  <c r="EI53" i="1" s="1"/>
  <c r="CN59" i="1"/>
  <c r="CP59" i="1" s="1"/>
  <c r="EK53" i="1"/>
  <c r="EF53" i="1"/>
  <c r="EG53" i="1"/>
  <c r="EE53" i="1"/>
  <c r="EL53" i="1"/>
  <c r="EJ53" i="1"/>
  <c r="DS54" i="1"/>
  <c r="DZ54" i="1" s="1"/>
  <c r="DU54" i="1"/>
  <c r="EA54" i="1"/>
  <c r="CS58" i="1"/>
  <c r="CU58" i="1" s="1"/>
  <c r="CT58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Q59" i="1" l="1"/>
  <c r="EH53" i="1"/>
  <c r="EO53" i="1"/>
  <c r="ER53" i="1" s="1"/>
  <c r="EM53" i="1"/>
  <c r="EN53" i="1"/>
  <c r="DY54" i="1"/>
  <c r="ED54" i="1" s="1"/>
  <c r="CY58" i="1"/>
  <c r="CZ58" i="1"/>
  <c r="DA58" i="1"/>
  <c r="CV58" i="1"/>
  <c r="CW58" i="1"/>
  <c r="CX58" i="1"/>
  <c r="CS59" i="1"/>
  <c r="CT59" i="1" s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CU59" i="1" l="1"/>
  <c r="CY59" i="1" s="1"/>
  <c r="EP53" i="1"/>
  <c r="EQ53" i="1"/>
  <c r="EZ53" i="1" s="1"/>
  <c r="FC53" i="1" s="1"/>
  <c r="EC54" i="1"/>
  <c r="EK54" i="1" s="1"/>
  <c r="EB54" i="1"/>
  <c r="EL54" i="1"/>
  <c r="EH54" i="1"/>
  <c r="EJ54" i="1"/>
  <c r="EI54" i="1"/>
  <c r="CV59" i="1"/>
  <c r="CW59" i="1"/>
  <c r="CX59" i="1"/>
  <c r="DN58" i="1"/>
  <c r="DM58" i="1"/>
  <c r="DL58" i="1"/>
  <c r="DQ58" i="1"/>
  <c r="DP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DA59" i="1" l="1"/>
  <c r="DQ59" i="1" s="1"/>
  <c r="CZ59" i="1"/>
  <c r="DP59" i="1" s="1"/>
  <c r="DO59" i="1"/>
  <c r="DS59" i="1" s="1"/>
  <c r="FF53" i="1"/>
  <c r="FI53" i="1" s="1"/>
  <c r="FY53" i="1"/>
  <c r="HE53" i="1" s="1"/>
  <c r="EV53" i="1"/>
  <c r="FA53" i="1"/>
  <c r="FB53" i="1"/>
  <c r="HG50" i="1"/>
  <c r="EF54" i="1"/>
  <c r="EE54" i="1"/>
  <c r="EG54" i="1"/>
  <c r="EM54" i="1"/>
  <c r="EN54" i="1"/>
  <c r="EO54" i="1"/>
  <c r="ER54" i="1" s="1"/>
  <c r="FH50" i="1"/>
  <c r="DW58" i="1"/>
  <c r="DX58" i="1" s="1"/>
  <c r="EA58" i="1" s="1"/>
  <c r="DV58" i="1"/>
  <c r="DR58" i="1"/>
  <c r="DN59" i="1"/>
  <c r="DS58" i="1"/>
  <c r="DU58" i="1"/>
  <c r="DY58" i="1" s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DU59" i="1" l="1"/>
  <c r="DY59" i="1" s="1"/>
  <c r="FL53" i="1"/>
  <c r="FO53" i="1"/>
  <c r="HB53" i="1"/>
  <c r="HF53" i="1" s="1"/>
  <c r="HH53" i="1" s="1"/>
  <c r="EX53" i="1"/>
  <c r="EW53" i="1"/>
  <c r="FE53" i="1"/>
  <c r="FD53" i="1"/>
  <c r="FV53" i="1" s="1"/>
  <c r="EP54" i="1"/>
  <c r="EQ54" i="1"/>
  <c r="EZ54" i="1" s="1"/>
  <c r="FC54" i="1" s="1"/>
  <c r="DZ58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FH51" i="1" l="1"/>
  <c r="EA59" i="1"/>
  <c r="HG53" i="1"/>
  <c r="FU53" i="1"/>
  <c r="FG53" i="1"/>
  <c r="FH53" i="1"/>
  <c r="FF54" i="1"/>
  <c r="FI54" i="1" s="1"/>
  <c r="FY54" i="1"/>
  <c r="HE54" i="1" s="1"/>
  <c r="HG52" i="1"/>
  <c r="EV54" i="1"/>
  <c r="FA54" i="1"/>
  <c r="FB54" i="1"/>
  <c r="FH52" i="1"/>
  <c r="DZ59" i="1"/>
  <c r="ED58" i="1"/>
  <c r="EB58" i="1"/>
  <c r="EC58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J53" i="1" l="1"/>
  <c r="GQ53" i="1" s="1"/>
  <c r="FW53" i="1"/>
  <c r="FX53" i="1" s="1"/>
  <c r="FZ53" i="1" s="1"/>
  <c r="FM53" i="1"/>
  <c r="FN53" i="1" s="1"/>
  <c r="FL54" i="1"/>
  <c r="FO54" i="1"/>
  <c r="EW54" i="1"/>
  <c r="EX54" i="1"/>
  <c r="FE54" i="1"/>
  <c r="FD54" i="1"/>
  <c r="FV54" i="1" s="1"/>
  <c r="HB54" i="1"/>
  <c r="HF54" i="1" s="1"/>
  <c r="HG54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15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FR53" i="1" l="1"/>
  <c r="FP53" i="1"/>
  <c r="FQ53" i="1"/>
  <c r="GA53" i="1"/>
  <c r="GP53" i="1"/>
  <c r="GD53" i="1"/>
  <c r="HQ14" i="1"/>
  <c r="GI50" i="1"/>
  <c r="FH54" i="1"/>
  <c r="HQ17" i="1"/>
  <c r="HH54" i="1"/>
  <c r="FU54" i="1"/>
  <c r="FG54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43" i="1"/>
  <c r="HQ29" i="1"/>
  <c r="HQ30" i="1"/>
  <c r="HQ35" i="1"/>
  <c r="HQ37" i="1"/>
  <c r="HQ36" i="1"/>
  <c r="HQ41" i="1"/>
  <c r="HQ42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FS53" i="1" l="1"/>
  <c r="HR14" i="1"/>
  <c r="GO53" i="1"/>
  <c r="GC53" i="1"/>
  <c r="GB53" i="1"/>
  <c r="FT53" i="1"/>
  <c r="FM54" i="1"/>
  <c r="FN54" i="1" s="1"/>
  <c r="FJ54" i="1"/>
  <c r="GQ54" i="1" s="1"/>
  <c r="FW54" i="1"/>
  <c r="FX54" i="1" s="1"/>
  <c r="FZ54" i="1" s="1"/>
  <c r="FT52" i="1"/>
  <c r="EN59" i="1"/>
  <c r="EM59" i="1"/>
  <c r="EO59" i="1"/>
  <c r="ER59" i="1" s="1"/>
  <c r="EP58" i="1"/>
  <c r="EQ58" i="1"/>
  <c r="EZ58" i="1" s="1"/>
  <c r="FC58" i="1" s="1"/>
  <c r="HM47" i="1"/>
  <c r="CC67" i="1"/>
  <c r="CK67" i="1" s="1"/>
  <c r="CR67" i="1" s="1"/>
  <c r="CE67" i="1"/>
  <c r="CB67" i="1"/>
  <c r="CA68" i="1"/>
  <c r="BU68" i="1"/>
  <c r="BX68" i="1"/>
  <c r="HR29" i="1"/>
  <c r="HR30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15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HM14" i="1" l="1"/>
  <c r="GG53" i="1"/>
  <c r="GE53" i="1"/>
  <c r="GF53" i="1" s="1"/>
  <c r="GH53" i="1"/>
  <c r="GI53" i="1"/>
  <c r="HR17" i="1"/>
  <c r="GI52" i="1"/>
  <c r="GA54" i="1"/>
  <c r="GD54" i="1"/>
  <c r="GP54" i="1"/>
  <c r="FQ54" i="1"/>
  <c r="FR54" i="1"/>
  <c r="FP54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K68" i="1" s="1"/>
  <c r="CR68" i="1" s="1"/>
  <c r="CE68" i="1"/>
  <c r="CB68" i="1"/>
  <c r="BX69" i="1"/>
  <c r="BU69" i="1"/>
  <c r="CA69" i="1"/>
  <c r="CN67" i="1"/>
  <c r="HR12" i="1"/>
  <c r="HR43" i="1"/>
  <c r="HM29" i="1"/>
  <c r="HR35" i="1"/>
  <c r="HR36" i="1"/>
  <c r="HR37" i="1"/>
  <c r="HR41" i="1"/>
  <c r="HM31" i="1"/>
  <c r="HR42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15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GY53" i="1" l="1"/>
  <c r="GZ53" i="1" s="1"/>
  <c r="GS53" i="1"/>
  <c r="GY52" i="1"/>
  <c r="GZ52" i="1" s="1"/>
  <c r="HM17" i="1"/>
  <c r="FT54" i="1"/>
  <c r="GB54" i="1"/>
  <c r="GO54" i="1"/>
  <c r="GC54" i="1"/>
  <c r="GS52" i="1"/>
  <c r="GT52" i="1" s="1"/>
  <c r="FS54" i="1"/>
  <c r="FF59" i="1"/>
  <c r="FI59" i="1" s="1"/>
  <c r="FY59" i="1"/>
  <c r="HE59" i="1" s="1"/>
  <c r="FA59" i="1"/>
  <c r="FB59" i="1"/>
  <c r="EV59" i="1"/>
  <c r="FL58" i="1"/>
  <c r="FO58" i="1"/>
  <c r="EX58" i="1"/>
  <c r="FH58" i="1" s="1"/>
  <c r="FE58" i="1"/>
  <c r="EW58" i="1"/>
  <c r="FD58" i="1"/>
  <c r="FV58" i="1" s="1"/>
  <c r="HB58" i="1"/>
  <c r="HF58" i="1" s="1"/>
  <c r="HH58" i="1"/>
  <c r="HG58" i="1"/>
  <c r="CQ67" i="1"/>
  <c r="CP67" i="1"/>
  <c r="CE69" i="1"/>
  <c r="CB69" i="1"/>
  <c r="CC69" i="1"/>
  <c r="CK69" i="1" s="1"/>
  <c r="CR69" i="1" s="1"/>
  <c r="BU70" i="1"/>
  <c r="CA70" i="1"/>
  <c r="BX70" i="1"/>
  <c r="IA47" i="1"/>
  <c r="HY47" i="1"/>
  <c r="CN68" i="1"/>
  <c r="HM12" i="1"/>
  <c r="HM43" i="1"/>
  <c r="HM35" i="1"/>
  <c r="HM36" i="1"/>
  <c r="HM37" i="1"/>
  <c r="HM41" i="1"/>
  <c r="HM4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HA53" i="1" l="1"/>
  <c r="GR53" i="1"/>
  <c r="GT53" i="1"/>
  <c r="IA14" i="1"/>
  <c r="HY14" i="1"/>
  <c r="GI54" i="1"/>
  <c r="GH54" i="1"/>
  <c r="HA52" i="1"/>
  <c r="HC52" i="1" s="1"/>
  <c r="GR52" i="1"/>
  <c r="GE54" i="1"/>
  <c r="GF54" i="1" s="1"/>
  <c r="GG54" i="1"/>
  <c r="GS54" i="1" s="1"/>
  <c r="CS67" i="1"/>
  <c r="CT67" i="1" s="1"/>
  <c r="CU67" i="1"/>
  <c r="EW59" i="1"/>
  <c r="HB59" i="1"/>
  <c r="HF59" i="1" s="1"/>
  <c r="HH59" i="1" s="1"/>
  <c r="FD59" i="1"/>
  <c r="FV59" i="1" s="1"/>
  <c r="EX59" i="1"/>
  <c r="FE59" i="1"/>
  <c r="CQ68" i="1"/>
  <c r="CP68" i="1"/>
  <c r="FL59" i="1"/>
  <c r="FO59" i="1"/>
  <c r="FG58" i="1"/>
  <c r="FU58" i="1"/>
  <c r="IC47" i="1"/>
  <c r="IB47" i="1"/>
  <c r="CB70" i="1"/>
  <c r="CE70" i="1"/>
  <c r="CC70" i="1"/>
  <c r="CK70" i="1" s="1"/>
  <c r="IE47" i="1"/>
  <c r="CN69" i="1"/>
  <c r="BX71" i="1"/>
  <c r="CA71" i="1"/>
  <c r="BU71" i="1"/>
  <c r="IA29" i="1"/>
  <c r="HY29" i="1"/>
  <c r="IA31" i="1"/>
  <c r="HY3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IC14" i="1" l="1"/>
  <c r="IB14" i="1"/>
  <c r="HD53" i="1"/>
  <c r="HC53" i="1"/>
  <c r="IE14" i="1"/>
  <c r="GY54" i="1"/>
  <c r="HD52" i="1"/>
  <c r="HY15" i="1"/>
  <c r="HY17" i="1"/>
  <c r="IA15" i="1"/>
  <c r="IA17" i="1"/>
  <c r="GR54" i="1"/>
  <c r="GT54" i="1"/>
  <c r="HA54" i="1"/>
  <c r="GZ54" i="1"/>
  <c r="CV67" i="1"/>
  <c r="CW67" i="1"/>
  <c r="CX67" i="1"/>
  <c r="FW58" i="1"/>
  <c r="FX58" i="1" s="1"/>
  <c r="FZ58" i="1" s="1"/>
  <c r="FJ58" i="1"/>
  <c r="GQ58" i="1" s="1"/>
  <c r="HQ40" i="1" s="1"/>
  <c r="FM58" i="1"/>
  <c r="FN58" i="1" s="1"/>
  <c r="FG59" i="1"/>
  <c r="FU59" i="1"/>
  <c r="CN70" i="1"/>
  <c r="CR70" i="1"/>
  <c r="CS68" i="1"/>
  <c r="CU68" i="1" s="1"/>
  <c r="CT68" i="1"/>
  <c r="CY67" i="1"/>
  <c r="DO67" i="1" s="1"/>
  <c r="CZ67" i="1"/>
  <c r="DP67" i="1" s="1"/>
  <c r="DA67" i="1"/>
  <c r="DQ67" i="1" s="1"/>
  <c r="HG59" i="1"/>
  <c r="CQ69" i="1"/>
  <c r="CP69" i="1"/>
  <c r="FH59" i="1"/>
  <c r="BU72" i="1"/>
  <c r="CA72" i="1"/>
  <c r="BX72" i="1"/>
  <c r="CC71" i="1"/>
  <c r="CK71" i="1" s="1"/>
  <c r="CR71" i="1" s="1"/>
  <c r="CE71" i="1"/>
  <c r="CB71" i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IC15" i="1" l="1"/>
  <c r="IC17" i="1"/>
  <c r="IB15" i="1"/>
  <c r="IB17" i="1"/>
  <c r="IE15" i="1"/>
  <c r="IE17" i="1"/>
  <c r="HC54" i="1"/>
  <c r="HD54" i="1"/>
  <c r="GP58" i="1"/>
  <c r="HR40" i="1" s="1"/>
  <c r="GA58" i="1"/>
  <c r="GD58" i="1"/>
  <c r="CY68" i="1"/>
  <c r="CZ68" i="1"/>
  <c r="DA68" i="1"/>
  <c r="DQ68" i="1" s="1"/>
  <c r="FQ58" i="1"/>
  <c r="FS58" i="1" s="1"/>
  <c r="FR58" i="1"/>
  <c r="FP58" i="1"/>
  <c r="CP70" i="1"/>
  <c r="CQ70" i="1"/>
  <c r="DU67" i="1"/>
  <c r="DS67" i="1"/>
  <c r="CV68" i="1"/>
  <c r="CW68" i="1"/>
  <c r="CX68" i="1"/>
  <c r="DN67" i="1"/>
  <c r="DM67" i="1"/>
  <c r="CS69" i="1"/>
  <c r="CU69" i="1" s="1"/>
  <c r="CT69" i="1"/>
  <c r="FJ59" i="1"/>
  <c r="GQ59" i="1" s="1"/>
  <c r="HQ46" i="1" s="1"/>
  <c r="FM59" i="1"/>
  <c r="FN59" i="1" s="1"/>
  <c r="FW59" i="1"/>
  <c r="FX59" i="1" s="1"/>
  <c r="FZ59" i="1" s="1"/>
  <c r="DL67" i="1"/>
  <c r="CN71" i="1"/>
  <c r="CA73" i="1"/>
  <c r="BU73" i="1"/>
  <c r="BX73" i="1"/>
  <c r="CE72" i="1"/>
  <c r="CB72" i="1"/>
  <c r="CC72" i="1"/>
  <c r="CK72" i="1" s="1"/>
  <c r="CR72" i="1" s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HQ19" i="1" l="1"/>
  <c r="HQ23" i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V69" i="1"/>
  <c r="CW69" i="1"/>
  <c r="CX69" i="1"/>
  <c r="DY67" i="1"/>
  <c r="CS70" i="1"/>
  <c r="CU70" i="1" s="1"/>
  <c r="DP68" i="1"/>
  <c r="DO68" i="1"/>
  <c r="DW67" i="1"/>
  <c r="DX67" i="1" s="1"/>
  <c r="DV67" i="1"/>
  <c r="DR67" i="1"/>
  <c r="GO58" i="1"/>
  <c r="HM40" i="1" s="1"/>
  <c r="GB58" i="1"/>
  <c r="GI58" i="1" s="1"/>
  <c r="GC58" i="1"/>
  <c r="GH58" i="1" s="1"/>
  <c r="DN68" i="1"/>
  <c r="FT58" i="1"/>
  <c r="DM68" i="1"/>
  <c r="HQ28" i="1"/>
  <c r="CC73" i="1"/>
  <c r="CK73" i="1" s="1"/>
  <c r="CR73" i="1" s="1"/>
  <c r="CE73" i="1"/>
  <c r="CB73" i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FS59" i="1" l="1"/>
  <c r="FT59" i="1"/>
  <c r="HR19" i="1"/>
  <c r="HR23" i="1"/>
  <c r="CY70" i="1"/>
  <c r="CZ70" i="1"/>
  <c r="DA70" i="1"/>
  <c r="DU68" i="1"/>
  <c r="DS68" i="1"/>
  <c r="DM69" i="1"/>
  <c r="DL69" i="1"/>
  <c r="GY58" i="1"/>
  <c r="CT70" i="1"/>
  <c r="CQ72" i="1"/>
  <c r="CP72" i="1"/>
  <c r="GE58" i="1"/>
  <c r="GF58" i="1" s="1"/>
  <c r="GG58" i="1"/>
  <c r="GS58" i="1" s="1"/>
  <c r="CS71" i="1"/>
  <c r="CU71" i="1" s="1"/>
  <c r="GB59" i="1"/>
  <c r="GC59" i="1"/>
  <c r="GO59" i="1"/>
  <c r="HM46" i="1" s="1"/>
  <c r="DQ69" i="1"/>
  <c r="DZ67" i="1"/>
  <c r="DP69" i="1"/>
  <c r="EA67" i="1"/>
  <c r="DN69" i="1"/>
  <c r="DV68" i="1"/>
  <c r="DZ68" i="1" s="1"/>
  <c r="DW68" i="1"/>
  <c r="DX68" i="1" s="1"/>
  <c r="EA68" i="1" s="1"/>
  <c r="DR68" i="1"/>
  <c r="DO69" i="1"/>
  <c r="HR28" i="1"/>
  <c r="CC74" i="1"/>
  <c r="CK74" i="1" s="1"/>
  <c r="CR74" i="1" s="1"/>
  <c r="CB74" i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25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19" i="1" l="1"/>
  <c r="HM23" i="1"/>
  <c r="CY71" i="1"/>
  <c r="CZ71" i="1"/>
  <c r="DA71" i="1"/>
  <c r="GT58" i="1"/>
  <c r="IC40" i="1" s="1"/>
  <c r="GR58" i="1"/>
  <c r="IB40" i="1" s="1"/>
  <c r="HA58" i="1"/>
  <c r="HY40" i="1"/>
  <c r="GE59" i="1"/>
  <c r="GF59" i="1" s="1"/>
  <c r="GG59" i="1"/>
  <c r="CV70" i="1"/>
  <c r="CW70" i="1"/>
  <c r="CX70" i="1"/>
  <c r="CQ73" i="1"/>
  <c r="CP73" i="1"/>
  <c r="DU69" i="1"/>
  <c r="DY69" i="1" s="1"/>
  <c r="DS69" i="1"/>
  <c r="CT71" i="1"/>
  <c r="GZ58" i="1"/>
  <c r="IE40" i="1" s="1"/>
  <c r="IA40" i="1"/>
  <c r="EC67" i="1"/>
  <c r="EB67" i="1"/>
  <c r="ED67" i="1"/>
  <c r="DY68" i="1"/>
  <c r="EB68" i="1" s="1"/>
  <c r="EC68" i="1"/>
  <c r="ED68" i="1"/>
  <c r="GI59" i="1"/>
  <c r="DQ70" i="1"/>
  <c r="DW69" i="1"/>
  <c r="DX69" i="1" s="1"/>
  <c r="EA69" i="1" s="1"/>
  <c r="DV69" i="1"/>
  <c r="DZ69" i="1" s="1"/>
  <c r="DR69" i="1"/>
  <c r="DP70" i="1"/>
  <c r="GH59" i="1"/>
  <c r="CS72" i="1"/>
  <c r="CT72" i="1" s="1"/>
  <c r="DO70" i="1"/>
  <c r="HQ34" i="1"/>
  <c r="CN74" i="1"/>
  <c r="HM28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25" i="1" s="1"/>
  <c r="GD57" i="1"/>
  <c r="GH56" i="1"/>
  <c r="FT57" i="1"/>
  <c r="FS57" i="1"/>
  <c r="GE55" i="1"/>
  <c r="GF55" i="1" s="1"/>
  <c r="GG55" i="1"/>
  <c r="GC57" i="1"/>
  <c r="GO57" i="1"/>
  <c r="HM25" i="1" s="1"/>
  <c r="GB57" i="1"/>
  <c r="GH55" i="1"/>
  <c r="GE56" i="1"/>
  <c r="GF56" i="1" s="1"/>
  <c r="GG56" i="1"/>
  <c r="GI55" i="1"/>
  <c r="GI56" i="1"/>
  <c r="AS77" i="1"/>
  <c r="AT77" i="1" s="1"/>
  <c r="CV72" i="1" l="1"/>
  <c r="CW72" i="1"/>
  <c r="CX72" i="1"/>
  <c r="CU72" i="1"/>
  <c r="EK67" i="1"/>
  <c r="EE67" i="1"/>
  <c r="EG67" i="1"/>
  <c r="EF67" i="1"/>
  <c r="CS73" i="1"/>
  <c r="CU73" i="1"/>
  <c r="CT73" i="1"/>
  <c r="HD58" i="1"/>
  <c r="HC58" i="1"/>
  <c r="GS59" i="1"/>
  <c r="GY59" i="1"/>
  <c r="EL68" i="1"/>
  <c r="EJ68" i="1"/>
  <c r="EI68" i="1"/>
  <c r="EH68" i="1"/>
  <c r="DN70" i="1"/>
  <c r="CQ74" i="1"/>
  <c r="CP74" i="1"/>
  <c r="EK68" i="1"/>
  <c r="EF68" i="1"/>
  <c r="EG68" i="1"/>
  <c r="EE68" i="1"/>
  <c r="DM70" i="1"/>
  <c r="EL67" i="1"/>
  <c r="EI67" i="1"/>
  <c r="EH67" i="1"/>
  <c r="EJ67" i="1"/>
  <c r="CV71" i="1"/>
  <c r="CW71" i="1"/>
  <c r="CX71" i="1"/>
  <c r="DL70" i="1"/>
  <c r="ED69" i="1"/>
  <c r="EB69" i="1"/>
  <c r="EC69" i="1"/>
  <c r="DP71" i="1"/>
  <c r="DS70" i="1"/>
  <c r="DU70" i="1"/>
  <c r="HM34" i="1"/>
  <c r="HR34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HY23" i="1" l="1"/>
  <c r="IA23" i="1"/>
  <c r="IA28" i="1"/>
  <c r="IA19" i="1"/>
  <c r="HY28" i="1"/>
  <c r="HY19" i="1"/>
  <c r="DY70" i="1"/>
  <c r="GZ59" i="1"/>
  <c r="IE46" i="1" s="1"/>
  <c r="IA46" i="1"/>
  <c r="DN71" i="1"/>
  <c r="GT59" i="1"/>
  <c r="IC46" i="1" s="1"/>
  <c r="GR59" i="1"/>
  <c r="IB46" i="1" s="1"/>
  <c r="HY46" i="1"/>
  <c r="HA59" i="1"/>
  <c r="CU74" i="1"/>
  <c r="CT74" i="1"/>
  <c r="CS74" i="1"/>
  <c r="EK69" i="1"/>
  <c r="EG69" i="1"/>
  <c r="EF69" i="1"/>
  <c r="EE69" i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EL69" i="1"/>
  <c r="EJ69" i="1"/>
  <c r="EH69" i="1"/>
  <c r="EI69" i="1"/>
  <c r="CV73" i="1"/>
  <c r="CW73" i="1"/>
  <c r="CX73" i="1"/>
  <c r="DN72" i="1"/>
  <c r="DQ71" i="1"/>
  <c r="CY73" i="1"/>
  <c r="DO73" i="1" s="1"/>
  <c r="CZ73" i="1"/>
  <c r="DA73" i="1"/>
  <c r="DQ73" i="1" s="1"/>
  <c r="DM72" i="1"/>
  <c r="DO71" i="1"/>
  <c r="DW70" i="1"/>
  <c r="DX70" i="1" s="1"/>
  <c r="EA70" i="1" s="1"/>
  <c r="DR70" i="1"/>
  <c r="DV70" i="1"/>
  <c r="EO68" i="1"/>
  <c r="ER68" i="1" s="1"/>
  <c r="EM68" i="1"/>
  <c r="EN68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HY25" i="1" s="1"/>
  <c r="GY57" i="1"/>
  <c r="IA25" i="1" s="1"/>
  <c r="AS79" i="1"/>
  <c r="AT79" i="1" s="1"/>
  <c r="IB19" i="1" l="1"/>
  <c r="IB23" i="1"/>
  <c r="IC19" i="1"/>
  <c r="IC23" i="1"/>
  <c r="IE19" i="1"/>
  <c r="IE23" i="1"/>
  <c r="DW71" i="1"/>
  <c r="DX71" i="1" s="1"/>
  <c r="DR71" i="1"/>
  <c r="DV71" i="1"/>
  <c r="DZ71" i="1" s="1"/>
  <c r="DS71" i="1"/>
  <c r="DU71" i="1"/>
  <c r="DY71" i="1" s="1"/>
  <c r="EQ67" i="1"/>
  <c r="EZ67" i="1" s="1"/>
  <c r="FC67" i="1" s="1"/>
  <c r="EP67" i="1"/>
  <c r="DW72" i="1"/>
  <c r="DX72" i="1" s="1"/>
  <c r="DV72" i="1"/>
  <c r="DR72" i="1"/>
  <c r="EN69" i="1"/>
  <c r="EM69" i="1"/>
  <c r="EO69" i="1"/>
  <c r="ER69" i="1" s="1"/>
  <c r="EQ68" i="1"/>
  <c r="EZ68" i="1" s="1"/>
  <c r="FC68" i="1" s="1"/>
  <c r="EP68" i="1"/>
  <c r="DN73" i="1"/>
  <c r="CV74" i="1"/>
  <c r="CW74" i="1"/>
  <c r="CX74" i="1"/>
  <c r="DM73" i="1"/>
  <c r="DU72" i="1"/>
  <c r="DS72" i="1"/>
  <c r="CY74" i="1"/>
  <c r="DO74" i="1" s="1"/>
  <c r="CZ74" i="1"/>
  <c r="DP74" i="1" s="1"/>
  <c r="DA74" i="1"/>
  <c r="DQ74" i="1" s="1"/>
  <c r="DZ70" i="1"/>
  <c r="DP73" i="1"/>
  <c r="DL73" i="1"/>
  <c r="HC59" i="1"/>
  <c r="HD59" i="1"/>
  <c r="DU73" i="1"/>
  <c r="DY73" i="1" s="1"/>
  <c r="DS73" i="1"/>
  <c r="IE28" i="1"/>
  <c r="IB28" i="1"/>
  <c r="IA34" i="1"/>
  <c r="HY34" i="1"/>
  <c r="IC28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25" i="1" s="1"/>
  <c r="GT57" i="1"/>
  <c r="IC25" i="1" s="1"/>
  <c r="GR57" i="1"/>
  <c r="IB25" i="1" s="1"/>
  <c r="HA57" i="1"/>
  <c r="AS80" i="1"/>
  <c r="AT80" i="1" s="1"/>
  <c r="DM74" i="1" l="1"/>
  <c r="FY67" i="1"/>
  <c r="HE67" i="1" s="1"/>
  <c r="FF67" i="1"/>
  <c r="FI67" i="1" s="1"/>
  <c r="DS74" i="1"/>
  <c r="DU74" i="1"/>
  <c r="DL74" i="1"/>
  <c r="EP69" i="1"/>
  <c r="EQ69" i="1"/>
  <c r="EZ69" i="1" s="1"/>
  <c r="FC69" i="1" s="1"/>
  <c r="DY72" i="1"/>
  <c r="DR73" i="1"/>
  <c r="DV73" i="1"/>
  <c r="DW73" i="1"/>
  <c r="DX73" i="1" s="1"/>
  <c r="FA68" i="1"/>
  <c r="EV68" i="1"/>
  <c r="FB68" i="1"/>
  <c r="DZ72" i="1"/>
  <c r="EC70" i="1"/>
  <c r="EB70" i="1"/>
  <c r="ED70" i="1"/>
  <c r="EA72" i="1"/>
  <c r="EA71" i="1"/>
  <c r="ED71" i="1" s="1"/>
  <c r="DN74" i="1"/>
  <c r="FF68" i="1"/>
  <c r="FI68" i="1" s="1"/>
  <c r="FY68" i="1"/>
  <c r="HE68" i="1" s="1"/>
  <c r="EV67" i="1"/>
  <c r="FB67" i="1"/>
  <c r="FA67" i="1"/>
  <c r="IC34" i="1"/>
  <c r="IE34" i="1"/>
  <c r="IB34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BB81" i="1" s="1"/>
  <c r="BE81" i="1" s="1"/>
  <c r="BU81" i="1" l="1"/>
  <c r="CA81" i="1"/>
  <c r="BX81" i="1"/>
  <c r="EL71" i="1"/>
  <c r="EI71" i="1"/>
  <c r="EH71" i="1"/>
  <c r="EJ71" i="1"/>
  <c r="FD68" i="1"/>
  <c r="FV68" i="1" s="1"/>
  <c r="EW68" i="1"/>
  <c r="HB68" i="1"/>
  <c r="HF68" i="1" s="1"/>
  <c r="EX68" i="1"/>
  <c r="FH68" i="1" s="1"/>
  <c r="FE68" i="1"/>
  <c r="DY74" i="1"/>
  <c r="FL67" i="1"/>
  <c r="FO67" i="1"/>
  <c r="FL68" i="1"/>
  <c r="FO68" i="1"/>
  <c r="FF69" i="1"/>
  <c r="FI69" i="1" s="1"/>
  <c r="FY69" i="1"/>
  <c r="HE69" i="1" s="1"/>
  <c r="HB67" i="1"/>
  <c r="HF67" i="1" s="1"/>
  <c r="EW67" i="1"/>
  <c r="EX67" i="1"/>
  <c r="FD67" i="1"/>
  <c r="FV67" i="1" s="1"/>
  <c r="FE67" i="1"/>
  <c r="EL70" i="1"/>
  <c r="EJ70" i="1"/>
  <c r="EI70" i="1"/>
  <c r="EH70" i="1"/>
  <c r="EB71" i="1"/>
  <c r="HG67" i="1"/>
  <c r="HH67" i="1"/>
  <c r="HG68" i="1"/>
  <c r="HH68" i="1"/>
  <c r="EC71" i="1"/>
  <c r="FB69" i="1"/>
  <c r="EV69" i="1"/>
  <c r="FA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EA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BB82" i="1" s="1"/>
  <c r="BE82" i="1" s="1"/>
  <c r="BU82" i="1" l="1"/>
  <c r="BX82" i="1"/>
  <c r="CA82" i="1"/>
  <c r="CB81" i="1"/>
  <c r="CG81" i="1" s="1"/>
  <c r="CC81" i="1"/>
  <c r="CE81" i="1"/>
  <c r="EL72" i="1"/>
  <c r="EI72" i="1"/>
  <c r="EJ72" i="1"/>
  <c r="EH72" i="1"/>
  <c r="EK71" i="1"/>
  <c r="EF71" i="1"/>
  <c r="EG71" i="1"/>
  <c r="EE71" i="1"/>
  <c r="FG68" i="1"/>
  <c r="FU68" i="1"/>
  <c r="DZ74" i="1"/>
  <c r="EB73" i="1"/>
  <c r="EC73" i="1"/>
  <c r="ED73" i="1"/>
  <c r="FH67" i="1"/>
  <c r="EN70" i="1"/>
  <c r="EO70" i="1"/>
  <c r="ER70" i="1" s="1"/>
  <c r="EM70" i="1"/>
  <c r="FL69" i="1"/>
  <c r="FO69" i="1"/>
  <c r="FG67" i="1"/>
  <c r="FU67" i="1"/>
  <c r="EK72" i="1"/>
  <c r="EF72" i="1"/>
  <c r="EG72" i="1"/>
  <c r="EE72" i="1"/>
  <c r="EW69" i="1"/>
  <c r="FD69" i="1"/>
  <c r="FV69" i="1" s="1"/>
  <c r="FE69" i="1"/>
  <c r="EX69" i="1"/>
  <c r="FH69" i="1" s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CB82" i="1" l="1"/>
  <c r="CG82" i="1" s="1"/>
  <c r="CC82" i="1"/>
  <c r="CE82" i="1"/>
  <c r="CJ81" i="1"/>
  <c r="CM81" i="1" s="1"/>
  <c r="CK81" i="1"/>
  <c r="CH81" i="1"/>
  <c r="CF81" i="1"/>
  <c r="CL81" i="1" s="1"/>
  <c r="EK73" i="1"/>
  <c r="EG73" i="1"/>
  <c r="EE73" i="1"/>
  <c r="EF73" i="1"/>
  <c r="EN71" i="1"/>
  <c r="EO71" i="1"/>
  <c r="ER71" i="1" s="1"/>
  <c r="EM71" i="1"/>
  <c r="FX67" i="1"/>
  <c r="FZ67" i="1" s="1"/>
  <c r="ED74" i="1"/>
  <c r="EC74" i="1"/>
  <c r="EB74" i="1"/>
  <c r="HG69" i="1"/>
  <c r="EO72" i="1"/>
  <c r="ER72" i="1" s="1"/>
  <c r="EN72" i="1"/>
  <c r="EM72" i="1"/>
  <c r="FM67" i="1"/>
  <c r="FN67" i="1" s="1"/>
  <c r="FW67" i="1"/>
  <c r="FJ67" i="1"/>
  <c r="GQ67" i="1" s="1"/>
  <c r="FJ68" i="1"/>
  <c r="GQ68" i="1" s="1"/>
  <c r="FW68" i="1"/>
  <c r="FX68" i="1" s="1"/>
  <c r="FZ68" i="1" s="1"/>
  <c r="FM68" i="1"/>
  <c r="FN68" i="1" s="1"/>
  <c r="FG69" i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CJ82" i="1" l="1"/>
  <c r="CM82" i="1" s="1"/>
  <c r="CK82" i="1"/>
  <c r="CH82" i="1"/>
  <c r="CF82" i="1"/>
  <c r="CL82" i="1" s="1"/>
  <c r="CN81" i="1"/>
  <c r="CQ81" i="1" s="1"/>
  <c r="CR81" i="1"/>
  <c r="CP81" i="1"/>
  <c r="GP68" i="1"/>
  <c r="GD68" i="1"/>
  <c r="GA68" i="1"/>
  <c r="FR68" i="1"/>
  <c r="FQ68" i="1"/>
  <c r="FS68" i="1" s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S67" i="1" s="1"/>
  <c r="FF70" i="1"/>
  <c r="FI70" i="1" s="1"/>
  <c r="FY70" i="1"/>
  <c r="HE70" i="1" s="1"/>
  <c r="FW69" i="1"/>
  <c r="FJ69" i="1"/>
  <c r="GQ69" i="1" s="1"/>
  <c r="FM69" i="1"/>
  <c r="FN69" i="1" s="1"/>
  <c r="EK74" i="1"/>
  <c r="EF74" i="1"/>
  <c r="EE74" i="1"/>
  <c r="EG74" i="1"/>
  <c r="GA67" i="1"/>
  <c r="GD67" i="1"/>
  <c r="GP67" i="1"/>
  <c r="FA70" i="1"/>
  <c r="EV70" i="1"/>
  <c r="FB70" i="1"/>
  <c r="FX69" i="1"/>
  <c r="FZ69" i="1" s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B83" i="1"/>
  <c r="CG83" i="1" s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CJ83" i="1" l="1"/>
  <c r="CM83" i="1" s="1"/>
  <c r="CK83" i="1"/>
  <c r="CF83" i="1"/>
  <c r="CL83" i="1" s="1"/>
  <c r="CH83" i="1"/>
  <c r="CN82" i="1"/>
  <c r="CP82" i="1" s="1"/>
  <c r="CR82" i="1"/>
  <c r="CS81" i="1"/>
  <c r="CU81" i="1" s="1"/>
  <c r="FY72" i="1"/>
  <c r="HE72" i="1" s="1"/>
  <c r="FF72" i="1"/>
  <c r="FI72" i="1" s="1"/>
  <c r="GA69" i="1"/>
  <c r="GP69" i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H67" i="1" s="1"/>
  <c r="GO68" i="1"/>
  <c r="GB68" i="1"/>
  <c r="GC68" i="1"/>
  <c r="GH68" i="1" s="1"/>
  <c r="FL70" i="1"/>
  <c r="FO70" i="1"/>
  <c r="FR69" i="1"/>
  <c r="FT69" i="1" s="1"/>
  <c r="FQ69" i="1"/>
  <c r="FS69" i="1" s="1"/>
  <c r="FP69" i="1"/>
  <c r="FT67" i="1"/>
  <c r="FT68" i="1"/>
  <c r="GI67" i="1"/>
  <c r="FA71" i="1"/>
  <c r="EV71" i="1"/>
  <c r="FB71" i="1"/>
  <c r="FF71" i="1"/>
  <c r="FI71" i="1" s="1"/>
  <c r="FY71" i="1"/>
  <c r="HE71" i="1" s="1"/>
  <c r="GI68" i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CR83" i="1" l="1"/>
  <c r="CQ82" i="1"/>
  <c r="CT81" i="1"/>
  <c r="CW81" i="1" s="1"/>
  <c r="CY81" i="1"/>
  <c r="CZ81" i="1"/>
  <c r="DA81" i="1"/>
  <c r="CV81" i="1"/>
  <c r="EW71" i="1"/>
  <c r="EX71" i="1"/>
  <c r="HB71" i="1"/>
  <c r="HF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FH72" i="1" s="1"/>
  <c r="EW72" i="1"/>
  <c r="HB72" i="1"/>
  <c r="HF72" i="1" s="1"/>
  <c r="GY68" i="1"/>
  <c r="FL72" i="1"/>
  <c r="FO72" i="1"/>
  <c r="HG71" i="1"/>
  <c r="HH71" i="1"/>
  <c r="GE68" i="1"/>
  <c r="GF68" i="1" s="1"/>
  <c r="GG68" i="1"/>
  <c r="GS68" i="1" s="1"/>
  <c r="CP83" i="1"/>
  <c r="CQ83" i="1"/>
  <c r="HH70" i="1"/>
  <c r="GB69" i="1"/>
  <c r="GO69" i="1"/>
  <c r="GC69" i="1"/>
  <c r="GH69" i="1" s="1"/>
  <c r="GY67" i="1"/>
  <c r="FH70" i="1"/>
  <c r="GG67" i="1"/>
  <c r="GS67" i="1" s="1"/>
  <c r="GE67" i="1"/>
  <c r="GF67" i="1" s="1"/>
  <c r="FG70" i="1"/>
  <c r="FU70" i="1"/>
  <c r="HH72" i="1"/>
  <c r="HG72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CX81" i="1" l="1"/>
  <c r="DN81" i="1" s="1"/>
  <c r="CS82" i="1"/>
  <c r="CT82" i="1" s="1"/>
  <c r="DM81" i="1"/>
  <c r="DL81" i="1"/>
  <c r="DP81" i="1"/>
  <c r="DO81" i="1"/>
  <c r="GR67" i="1"/>
  <c r="GT67" i="1"/>
  <c r="HA67" i="1"/>
  <c r="GR68" i="1"/>
  <c r="GT68" i="1"/>
  <c r="HA68" i="1"/>
  <c r="GZ68" i="1"/>
  <c r="FF74" i="1"/>
  <c r="FI74" i="1" s="1"/>
  <c r="FY74" i="1"/>
  <c r="HE74" i="1" s="1"/>
  <c r="CP84" i="1"/>
  <c r="CQ84" i="1"/>
  <c r="GI69" i="1"/>
  <c r="GY69" i="1" s="1"/>
  <c r="GZ67" i="1"/>
  <c r="FU72" i="1"/>
  <c r="FG72" i="1"/>
  <c r="FD73" i="1"/>
  <c r="FV73" i="1" s="1"/>
  <c r="EX73" i="1"/>
  <c r="FH73" i="1" s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S69" i="1" s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G86" i="1" s="1"/>
  <c r="CC86" i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BB88" i="1" s="1"/>
  <c r="BE88" i="1" s="1"/>
  <c r="CJ86" i="1" l="1"/>
  <c r="CM86" i="1" s="1"/>
  <c r="CK86" i="1"/>
  <c r="CH86" i="1"/>
  <c r="CF86" i="1"/>
  <c r="CL86" i="1" s="1"/>
  <c r="CA88" i="1"/>
  <c r="BX88" i="1"/>
  <c r="BU88" i="1"/>
  <c r="DQ81" i="1"/>
  <c r="CV82" i="1"/>
  <c r="CW82" i="1"/>
  <c r="CX82" i="1"/>
  <c r="CU82" i="1"/>
  <c r="DV81" i="1"/>
  <c r="DW81" i="1"/>
  <c r="DX81" i="1" s="1"/>
  <c r="DR81" i="1"/>
  <c r="DU81" i="1"/>
  <c r="DS81" i="1"/>
  <c r="GA70" i="1"/>
  <c r="GP70" i="1"/>
  <c r="HR21" i="1" s="1"/>
  <c r="GD70" i="1"/>
  <c r="GZ69" i="1"/>
  <c r="CY83" i="1"/>
  <c r="CZ83" i="1"/>
  <c r="DA83" i="1"/>
  <c r="GT69" i="1"/>
  <c r="GR69" i="1"/>
  <c r="HA69" i="1"/>
  <c r="HC68" i="1"/>
  <c r="HD68" i="1"/>
  <c r="FR70" i="1"/>
  <c r="FP70" i="1"/>
  <c r="FQ70" i="1"/>
  <c r="FS70" i="1" s="1"/>
  <c r="FX71" i="1"/>
  <c r="FZ71" i="1" s="1"/>
  <c r="FJ72" i="1"/>
  <c r="GQ72" i="1" s="1"/>
  <c r="HQ33" i="1" s="1"/>
  <c r="FM72" i="1"/>
  <c r="FN72" i="1" s="1"/>
  <c r="FW72" i="1"/>
  <c r="CU84" i="1"/>
  <c r="CS84" i="1"/>
  <c r="CT84" i="1" s="1"/>
  <c r="FJ71" i="1"/>
  <c r="GQ71" i="1" s="1"/>
  <c r="HQ27" i="1" s="1"/>
  <c r="FW71" i="1"/>
  <c r="FM71" i="1"/>
  <c r="FN71" i="1" s="1"/>
  <c r="CT83" i="1"/>
  <c r="EW74" i="1"/>
  <c r="EX74" i="1"/>
  <c r="FH74" i="1" s="1"/>
  <c r="HB74" i="1"/>
  <c r="HF74" i="1" s="1"/>
  <c r="FE74" i="1"/>
  <c r="FD74" i="1"/>
  <c r="FV74" i="1" s="1"/>
  <c r="FL74" i="1"/>
  <c r="FO74" i="1"/>
  <c r="FX72" i="1"/>
  <c r="FZ72" i="1" s="1"/>
  <c r="HG73" i="1"/>
  <c r="HH74" i="1"/>
  <c r="HG74" i="1"/>
  <c r="HD67" i="1"/>
  <c r="HC67" i="1"/>
  <c r="CP85" i="1"/>
  <c r="CQ85" i="1"/>
  <c r="FU73" i="1"/>
  <c r="FG73" i="1"/>
  <c r="CC87" i="1"/>
  <c r="CE87" i="1"/>
  <c r="CJ87" i="1" s="1"/>
  <c r="CB87" i="1"/>
  <c r="CG87" i="1" s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R86" i="1" l="1"/>
  <c r="CN86" i="1"/>
  <c r="CM87" i="1"/>
  <c r="CB88" i="1"/>
  <c r="CG88" i="1" s="1"/>
  <c r="CC88" i="1"/>
  <c r="CE88" i="1"/>
  <c r="CJ88" i="1" s="1"/>
  <c r="CK87" i="1"/>
  <c r="CR87" i="1" s="1"/>
  <c r="CF87" i="1"/>
  <c r="CL87" i="1" s="1"/>
  <c r="CH87" i="1"/>
  <c r="CY82" i="1"/>
  <c r="DO82" i="1" s="1"/>
  <c r="CZ82" i="1"/>
  <c r="DP82" i="1" s="1"/>
  <c r="DA82" i="1"/>
  <c r="DQ82" i="1" s="1"/>
  <c r="DN82" i="1"/>
  <c r="DM82" i="1"/>
  <c r="DL82" i="1"/>
  <c r="DY81" i="1"/>
  <c r="EA81" i="1"/>
  <c r="DZ81" i="1"/>
  <c r="CV84" i="1"/>
  <c r="CW84" i="1"/>
  <c r="CX84" i="1"/>
  <c r="FJ73" i="1"/>
  <c r="GQ73" i="1" s="1"/>
  <c r="HQ39" i="1" s="1"/>
  <c r="FW73" i="1"/>
  <c r="FM73" i="1"/>
  <c r="FN73" i="1" s="1"/>
  <c r="CQ86" i="1"/>
  <c r="CP86" i="1"/>
  <c r="HD69" i="1"/>
  <c r="HC69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DQ83" i="1" s="1"/>
  <c r="FR72" i="1"/>
  <c r="FT72" i="1" s="1"/>
  <c r="FP72" i="1"/>
  <c r="FQ72" i="1"/>
  <c r="GB70" i="1"/>
  <c r="GO70" i="1"/>
  <c r="HM21" i="1" s="1"/>
  <c r="GC70" i="1"/>
  <c r="GH70" i="1" s="1"/>
  <c r="FR71" i="1"/>
  <c r="FP71" i="1"/>
  <c r="FQ71" i="1"/>
  <c r="FS71" i="1" s="1"/>
  <c r="FT70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M88" i="1" l="1"/>
  <c r="CK88" i="1"/>
  <c r="CR88" i="1" s="1"/>
  <c r="CF88" i="1"/>
  <c r="CL88" i="1" s="1"/>
  <c r="CH88" i="1"/>
  <c r="CN87" i="1"/>
  <c r="CQ87" i="1" s="1"/>
  <c r="DW82" i="1"/>
  <c r="DX82" i="1" s="1"/>
  <c r="DR82" i="1"/>
  <c r="DV82" i="1"/>
  <c r="DU82" i="1"/>
  <c r="DS82" i="1"/>
  <c r="ED81" i="1"/>
  <c r="EC81" i="1"/>
  <c r="EB81" i="1"/>
  <c r="CV85" i="1"/>
  <c r="CW85" i="1"/>
  <c r="CX85" i="1"/>
  <c r="DL83" i="1"/>
  <c r="CU85" i="1"/>
  <c r="GP73" i="1"/>
  <c r="HR39" i="1" s="1"/>
  <c r="GD73" i="1"/>
  <c r="GA73" i="1"/>
  <c r="DO83" i="1"/>
  <c r="GG70" i="1"/>
  <c r="GS70" i="1" s="1"/>
  <c r="GE70" i="1"/>
  <c r="GF70" i="1" s="1"/>
  <c r="FS72" i="1"/>
  <c r="CS86" i="1"/>
  <c r="CT86" i="1" s="1"/>
  <c r="GI70" i="1"/>
  <c r="GY70" i="1" s="1"/>
  <c r="GB71" i="1"/>
  <c r="GO71" i="1"/>
  <c r="HM27" i="1" s="1"/>
  <c r="GC71" i="1"/>
  <c r="GH71" i="1" s="1"/>
  <c r="FR73" i="1"/>
  <c r="FP73" i="1"/>
  <c r="FQ73" i="1"/>
  <c r="FS73" i="1" s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CP87" i="1" l="1"/>
  <c r="CS87" i="1" s="1"/>
  <c r="CU87" i="1" s="1"/>
  <c r="CU86" i="1"/>
  <c r="CN88" i="1"/>
  <c r="CQ88" i="1" s="1"/>
  <c r="DY82" i="1"/>
  <c r="DZ82" i="1"/>
  <c r="EA82" i="1"/>
  <c r="EK81" i="1"/>
  <c r="EF81" i="1"/>
  <c r="EE81" i="1"/>
  <c r="EG81" i="1"/>
  <c r="EL81" i="1"/>
  <c r="EJ81" i="1"/>
  <c r="EI81" i="1"/>
  <c r="EH8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CZ86" i="1"/>
  <c r="DA86" i="1"/>
  <c r="GG72" i="1"/>
  <c r="GE72" i="1"/>
  <c r="GF72" i="1" s="1"/>
  <c r="FT73" i="1"/>
  <c r="DU83" i="1"/>
  <c r="DS83" i="1"/>
  <c r="DY84" i="1"/>
  <c r="FQ74" i="1"/>
  <c r="FP74" i="1"/>
  <c r="FR74" i="1"/>
  <c r="FT74" i="1" s="1"/>
  <c r="GH72" i="1"/>
  <c r="GS71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CP88" i="1" l="1"/>
  <c r="DO86" i="1"/>
  <c r="CT87" i="1"/>
  <c r="DQ86" i="1"/>
  <c r="DP86" i="1"/>
  <c r="CS88" i="1"/>
  <c r="CU88" i="1" s="1"/>
  <c r="EC82" i="1"/>
  <c r="EB82" i="1"/>
  <c r="ED82" i="1"/>
  <c r="EM81" i="1"/>
  <c r="EN81" i="1"/>
  <c r="EO81" i="1"/>
  <c r="ER81" i="1" s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H74" i="1" s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GI74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CY88" i="1" l="1"/>
  <c r="CZ88" i="1"/>
  <c r="DA88" i="1"/>
  <c r="CT88" i="1"/>
  <c r="EL82" i="1"/>
  <c r="EJ82" i="1"/>
  <c r="EH82" i="1"/>
  <c r="EI82" i="1"/>
  <c r="EK82" i="1"/>
  <c r="EE82" i="1"/>
  <c r="EG82" i="1"/>
  <c r="EF82" i="1"/>
  <c r="EP81" i="1"/>
  <c r="EQ81" i="1"/>
  <c r="EZ81" i="1" s="1"/>
  <c r="FC81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GS74" i="1" s="1"/>
  <c r="DP87" i="1"/>
  <c r="DM87" i="1"/>
  <c r="GY74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CV88" i="1" l="1"/>
  <c r="DO88" i="1" s="1"/>
  <c r="CW88" i="1"/>
  <c r="DP88" i="1" s="1"/>
  <c r="CX88" i="1"/>
  <c r="DQ88" i="1" s="1"/>
  <c r="EN82" i="1"/>
  <c r="EO82" i="1"/>
  <c r="ER82" i="1" s="1"/>
  <c r="EM82" i="1"/>
  <c r="FF81" i="1"/>
  <c r="FI81" i="1" s="1"/>
  <c r="FY81" i="1"/>
  <c r="HE81" i="1" s="1"/>
  <c r="EV81" i="1"/>
  <c r="FA81" i="1"/>
  <c r="FB81" i="1"/>
  <c r="GR74" i="1"/>
  <c r="IB45" i="1" s="1"/>
  <c r="GT74" i="1"/>
  <c r="IC45" i="1" s="1"/>
  <c r="HY45" i="1"/>
  <c r="HA74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W87" i="1"/>
  <c r="DX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EA87" i="1" l="1"/>
  <c r="DS88" i="1"/>
  <c r="DU88" i="1"/>
  <c r="DZ87" i="1"/>
  <c r="DN88" i="1"/>
  <c r="DM88" i="1"/>
  <c r="DL88" i="1"/>
  <c r="EP82" i="1"/>
  <c r="EQ82" i="1"/>
  <c r="EZ82" i="1" s="1"/>
  <c r="FC82" i="1" s="1"/>
  <c r="FL81" i="1"/>
  <c r="FO81" i="1"/>
  <c r="EW81" i="1"/>
  <c r="FE81" i="1"/>
  <c r="EX81" i="1"/>
  <c r="HB81" i="1"/>
  <c r="HF81" i="1" s="1"/>
  <c r="HH81" i="1" s="1"/>
  <c r="FD81" i="1"/>
  <c r="FV81" i="1" s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DY88" i="1" l="1"/>
  <c r="DR88" i="1"/>
  <c r="DW88" i="1"/>
  <c r="DX88" i="1" s="1"/>
  <c r="DV88" i="1"/>
  <c r="FH81" i="1"/>
  <c r="FF82" i="1"/>
  <c r="FI82" i="1" s="1"/>
  <c r="FY82" i="1"/>
  <c r="HE82" i="1" s="1"/>
  <c r="EV82" i="1"/>
  <c r="FB82" i="1"/>
  <c r="FA82" i="1"/>
  <c r="HG81" i="1"/>
  <c r="FG81" i="1"/>
  <c r="FU81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DZ88" i="1" l="1"/>
  <c r="EA88" i="1"/>
  <c r="EB88" i="1" s="1"/>
  <c r="ED88" i="1"/>
  <c r="EC88" i="1"/>
  <c r="FL82" i="1"/>
  <c r="FO82" i="1"/>
  <c r="EX82" i="1"/>
  <c r="FE82" i="1"/>
  <c r="EW82" i="1"/>
  <c r="FD82" i="1"/>
  <c r="FV82" i="1" s="1"/>
  <c r="HB82" i="1"/>
  <c r="HF82" i="1" s="1"/>
  <c r="HH82" i="1" s="1"/>
  <c r="FJ81" i="1"/>
  <c r="GQ81" i="1" s="1"/>
  <c r="FM81" i="1"/>
  <c r="FN81" i="1" s="1"/>
  <c r="FW81" i="1"/>
  <c r="FX81" i="1" s="1"/>
  <c r="FZ81" i="1" s="1"/>
  <c r="EN87" i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EK88" i="1" l="1"/>
  <c r="EF88" i="1"/>
  <c r="EE88" i="1"/>
  <c r="EG88" i="1"/>
  <c r="EL88" i="1"/>
  <c r="EI88" i="1"/>
  <c r="EH88" i="1"/>
  <c r="EJ88" i="1"/>
  <c r="HG82" i="1"/>
  <c r="FG82" i="1"/>
  <c r="FU82" i="1"/>
  <c r="FH82" i="1"/>
  <c r="GP81" i="1"/>
  <c r="GD81" i="1"/>
  <c r="GA81" i="1"/>
  <c r="FR81" i="1"/>
  <c r="FQ81" i="1"/>
  <c r="FP81" i="1"/>
  <c r="FU84" i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EO88" i="1" l="1"/>
  <c r="ER88" i="1" s="1"/>
  <c r="EN88" i="1"/>
  <c r="EM88" i="1"/>
  <c r="FS81" i="1"/>
  <c r="FJ82" i="1"/>
  <c r="GQ82" i="1" s="1"/>
  <c r="FM82" i="1"/>
  <c r="FN82" i="1" s="1"/>
  <c r="FW82" i="1"/>
  <c r="FX82" i="1" s="1"/>
  <c r="FZ82" i="1" s="1"/>
  <c r="FT81" i="1"/>
  <c r="GC81" i="1"/>
  <c r="GB81" i="1"/>
  <c r="GO81" i="1"/>
  <c r="FL85" i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EP88" i="1" l="1"/>
  <c r="EQ88" i="1"/>
  <c r="EZ88" i="1" s="1"/>
  <c r="FC88" i="1" s="1"/>
  <c r="BB100" i="1"/>
  <c r="BE100" i="1" s="1"/>
  <c r="GI81" i="1"/>
  <c r="GA82" i="1"/>
  <c r="GD82" i="1"/>
  <c r="GP82" i="1"/>
  <c r="FP82" i="1"/>
  <c r="FQ82" i="1"/>
  <c r="FR82" i="1"/>
  <c r="GE81" i="1"/>
  <c r="GF81" i="1" s="1"/>
  <c r="GG81" i="1"/>
  <c r="GH81" i="1"/>
  <c r="FD86" i="1"/>
  <c r="FV86" i="1" s="1"/>
  <c r="FE86" i="1"/>
  <c r="EW86" i="1"/>
  <c r="HB86" i="1"/>
  <c r="HF86" i="1" s="1"/>
  <c r="HH86" i="1" s="1"/>
  <c r="EX86" i="1"/>
  <c r="FM83" i="1"/>
  <c r="FN83" i="1" s="1"/>
  <c r="FW83" i="1"/>
  <c r="FX83" i="1" s="1"/>
  <c r="FZ83" i="1" s="1"/>
  <c r="FJ83" i="1"/>
  <c r="GQ83" i="1" s="1"/>
  <c r="FG85" i="1"/>
  <c r="FU85" i="1"/>
  <c r="HB87" i="1"/>
  <c r="HF87" i="1" s="1"/>
  <c r="HH87" i="1" s="1"/>
  <c r="FD87" i="1"/>
  <c r="FV87" i="1" s="1"/>
  <c r="FE87" i="1"/>
  <c r="EX87" i="1"/>
  <c r="EW87" i="1"/>
  <c r="FL87" i="1"/>
  <c r="FO87" i="1"/>
  <c r="FP84" i="1"/>
  <c r="FQ84" i="1"/>
  <c r="FR84" i="1"/>
  <c r="FT84" i="1" s="1"/>
  <c r="GD84" i="1"/>
  <c r="GP84" i="1"/>
  <c r="GA84" i="1"/>
  <c r="FL86" i="1"/>
  <c r="FO86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G86" i="1" l="1"/>
  <c r="FY88" i="1"/>
  <c r="HE88" i="1" s="1"/>
  <c r="FF88" i="1"/>
  <c r="FI88" i="1" s="1"/>
  <c r="FH87" i="1"/>
  <c r="FB88" i="1"/>
  <c r="EV88" i="1"/>
  <c r="FA88" i="1"/>
  <c r="HG87" i="1"/>
  <c r="FH86" i="1"/>
  <c r="BX100" i="1"/>
  <c r="CA100" i="1"/>
  <c r="BU100" i="1"/>
  <c r="FT82" i="1"/>
  <c r="FS82" i="1"/>
  <c r="GC82" i="1"/>
  <c r="GO82" i="1"/>
  <c r="GB82" i="1"/>
  <c r="GS81" i="1"/>
  <c r="GY81" i="1"/>
  <c r="GZ81" i="1" s="1"/>
  <c r="HH8" i="1"/>
  <c r="HG8" i="1"/>
  <c r="FG87" i="1"/>
  <c r="FU87" i="1"/>
  <c r="FR83" i="1"/>
  <c r="FQ83" i="1"/>
  <c r="FP83" i="1"/>
  <c r="GP83" i="1"/>
  <c r="GD83" i="1"/>
  <c r="GA83" i="1"/>
  <c r="FS84" i="1"/>
  <c r="GO84" i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FL88" i="1" l="1"/>
  <c r="FO88" i="1"/>
  <c r="EW88" i="1"/>
  <c r="FE88" i="1"/>
  <c r="EX88" i="1"/>
  <c r="FH88" i="1" s="1"/>
  <c r="HB88" i="1"/>
  <c r="HF88" i="1" s="1"/>
  <c r="HH88" i="1" s="1"/>
  <c r="FD88" i="1"/>
  <c r="FV88" i="1" s="1"/>
  <c r="BB102" i="1"/>
  <c r="BE102" i="1" s="1"/>
  <c r="FS83" i="1"/>
  <c r="GI82" i="1"/>
  <c r="CB100" i="1"/>
  <c r="CG100" i="1" s="1"/>
  <c r="CE100" i="1"/>
  <c r="CC100" i="1"/>
  <c r="GG82" i="1"/>
  <c r="GE82" i="1"/>
  <c r="GF82" i="1" s="1"/>
  <c r="GH82" i="1"/>
  <c r="GT81" i="1"/>
  <c r="GR81" i="1"/>
  <c r="HA81" i="1"/>
  <c r="HF8" i="1"/>
  <c r="HE8" i="1"/>
  <c r="GA85" i="1"/>
  <c r="GD85" i="1"/>
  <c r="GP85" i="1"/>
  <c r="HR32" i="1" s="1"/>
  <c r="GB83" i="1"/>
  <c r="GO83" i="1"/>
  <c r="GC83" i="1"/>
  <c r="GH83" i="1" s="1"/>
  <c r="FT83" i="1"/>
  <c r="FR85" i="1"/>
  <c r="FT85" i="1" s="1"/>
  <c r="FQ85" i="1"/>
  <c r="FP85" i="1"/>
  <c r="GY84" i="1"/>
  <c r="FW86" i="1"/>
  <c r="FX86" i="1" s="1"/>
  <c r="FZ86" i="1" s="1"/>
  <c r="FM86" i="1"/>
  <c r="FN86" i="1" s="1"/>
  <c r="FJ86" i="1"/>
  <c r="GQ86" i="1" s="1"/>
  <c r="HQ38" i="1" s="1"/>
  <c r="FJ87" i="1"/>
  <c r="GQ87" i="1" s="1"/>
  <c r="FM87" i="1"/>
  <c r="FN87" i="1" s="1"/>
  <c r="FW87" i="1"/>
  <c r="FX87" i="1" s="1"/>
  <c r="FZ87" i="1" s="1"/>
  <c r="GG84" i="1"/>
  <c r="GS84" i="1" s="1"/>
  <c r="GE84" i="1"/>
  <c r="GF84" i="1" s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HQ44" i="1" l="1"/>
  <c r="HQ13" i="1"/>
  <c r="FG88" i="1"/>
  <c r="FU88" i="1"/>
  <c r="HG88" i="1"/>
  <c r="BU102" i="1"/>
  <c r="BX102" i="1"/>
  <c r="CA102" i="1"/>
  <c r="CJ100" i="1"/>
  <c r="CM100" i="1" s="1"/>
  <c r="CK100" i="1"/>
  <c r="CF100" i="1"/>
  <c r="CL100" i="1" s="1"/>
  <c r="CH100" i="1"/>
  <c r="GI83" i="1"/>
  <c r="GY83" i="1" s="1"/>
  <c r="GY82" i="1"/>
  <c r="GS82" i="1"/>
  <c r="HC81" i="1"/>
  <c r="HD81" i="1"/>
  <c r="GT84" i="1"/>
  <c r="GR84" i="1"/>
  <c r="HA84" i="1"/>
  <c r="FR86" i="1"/>
  <c r="FQ86" i="1"/>
  <c r="FP86" i="1"/>
  <c r="GP86" i="1"/>
  <c r="HR38" i="1" s="1"/>
  <c r="GD86" i="1"/>
  <c r="GA86" i="1"/>
  <c r="GD87" i="1"/>
  <c r="GP87" i="1"/>
  <c r="GA87" i="1"/>
  <c r="GZ84" i="1"/>
  <c r="GE83" i="1"/>
  <c r="GF83" i="1" s="1"/>
  <c r="GG83" i="1"/>
  <c r="GS83" i="1" s="1"/>
  <c r="FR87" i="1"/>
  <c r="FQ87" i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FS87" i="1" l="1"/>
  <c r="HR44" i="1"/>
  <c r="HR13" i="1"/>
  <c r="FJ88" i="1"/>
  <c r="GQ88" i="1" s="1"/>
  <c r="HQ16" i="1" s="1"/>
  <c r="FW88" i="1"/>
  <c r="FX88" i="1" s="1"/>
  <c r="FZ88" i="1" s="1"/>
  <c r="FM88" i="1"/>
  <c r="FN88" i="1" s="1"/>
  <c r="FS86" i="1"/>
  <c r="BB104" i="1"/>
  <c r="BE104" i="1" s="1"/>
  <c r="CE102" i="1"/>
  <c r="CB102" i="1"/>
  <c r="CG102" i="1" s="1"/>
  <c r="CC102" i="1"/>
  <c r="CN100" i="1"/>
  <c r="CP100" i="1" s="1"/>
  <c r="CR100" i="1"/>
  <c r="GR82" i="1"/>
  <c r="GT82" i="1"/>
  <c r="HA82" i="1"/>
  <c r="GZ82" i="1"/>
  <c r="GT83" i="1"/>
  <c r="GR83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GC87" i="1"/>
  <c r="FT87" i="1"/>
  <c r="GZ83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GD88" i="1" l="1"/>
  <c r="GP88" i="1"/>
  <c r="HR16" i="1" s="1"/>
  <c r="GA88" i="1"/>
  <c r="GH87" i="1"/>
  <c r="HM44" i="1"/>
  <c r="HM13" i="1"/>
  <c r="FR88" i="1"/>
  <c r="FP88" i="1"/>
  <c r="FQ88" i="1"/>
  <c r="CQ100" i="1"/>
  <c r="CA104" i="1"/>
  <c r="BU104" i="1"/>
  <c r="BX104" i="1"/>
  <c r="CK102" i="1"/>
  <c r="CF102" i="1"/>
  <c r="CL102" i="1" s="1"/>
  <c r="CH102" i="1"/>
  <c r="CJ102" i="1"/>
  <c r="CS100" i="1"/>
  <c r="CU100" i="1" s="1"/>
  <c r="HD82" i="1"/>
  <c r="HC82" i="1"/>
  <c r="GT85" i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Z85" i="1"/>
  <c r="IE32" i="1" s="1"/>
  <c r="IA32" i="1"/>
  <c r="GI86" i="1"/>
  <c r="HC83" i="1"/>
  <c r="HD83" i="1"/>
  <c r="GI87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GY87" i="1" l="1"/>
  <c r="IA13" i="1" s="1"/>
  <c r="FS88" i="1"/>
  <c r="GS87" i="1"/>
  <c r="HY13" i="1" s="1"/>
  <c r="GC88" i="1"/>
  <c r="GB88" i="1"/>
  <c r="GO88" i="1"/>
  <c r="HM16" i="1" s="1"/>
  <c r="FT88" i="1"/>
  <c r="GI88" i="1"/>
  <c r="BB106" i="1"/>
  <c r="BE106" i="1" s="1"/>
  <c r="CC104" i="1"/>
  <c r="CE104" i="1"/>
  <c r="CB104" i="1"/>
  <c r="CG104" i="1" s="1"/>
  <c r="CR102" i="1"/>
  <c r="CM102" i="1"/>
  <c r="CN102" i="1"/>
  <c r="CY100" i="1"/>
  <c r="CZ100" i="1"/>
  <c r="DA100" i="1"/>
  <c r="CT100" i="1"/>
  <c r="IA44" i="1"/>
  <c r="GT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GR87" i="1" l="1"/>
  <c r="IB13" i="1" s="1"/>
  <c r="GZ87" i="1"/>
  <c r="GG88" i="1"/>
  <c r="GE88" i="1"/>
  <c r="GF88" i="1" s="1"/>
  <c r="IC44" i="1"/>
  <c r="IC13" i="1"/>
  <c r="IE44" i="1"/>
  <c r="IE13" i="1"/>
  <c r="GH88" i="1"/>
  <c r="CP102" i="1"/>
  <c r="BX106" i="1"/>
  <c r="BU106" i="1"/>
  <c r="CA106" i="1"/>
  <c r="CJ104" i="1"/>
  <c r="CM104" i="1" s="1"/>
  <c r="CK104" i="1"/>
  <c r="CF104" i="1"/>
  <c r="CL104" i="1" s="1"/>
  <c r="CH104" i="1"/>
  <c r="CQ102" i="1"/>
  <c r="CV100" i="1"/>
  <c r="DO100" i="1" s="1"/>
  <c r="CW100" i="1"/>
  <c r="DP100" i="1" s="1"/>
  <c r="CX100" i="1"/>
  <c r="GZ86" i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GY88" i="1" l="1"/>
  <c r="GS88" i="1"/>
  <c r="BB108" i="1"/>
  <c r="BE108" i="1" s="1"/>
  <c r="CE106" i="1"/>
  <c r="CC106" i="1"/>
  <c r="CB106" i="1"/>
  <c r="CG106" i="1" s="1"/>
  <c r="CN104" i="1"/>
  <c r="CP104" i="1" s="1"/>
  <c r="CR104" i="1"/>
  <c r="CS102" i="1"/>
  <c r="CU102" i="1" s="1"/>
  <c r="DN100" i="1"/>
  <c r="DM100" i="1"/>
  <c r="DL100" i="1"/>
  <c r="DQ100" i="1"/>
  <c r="DU100" i="1" s="1"/>
  <c r="GR2" i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GR88" i="1" l="1"/>
  <c r="IB16" i="1" s="1"/>
  <c r="GT88" i="1"/>
  <c r="IC16" i="1" s="1"/>
  <c r="HA88" i="1"/>
  <c r="HY16" i="1"/>
  <c r="GZ88" i="1"/>
  <c r="IE16" i="1" s="1"/>
  <c r="IA16" i="1"/>
  <c r="BX108" i="1"/>
  <c r="BU108" i="1"/>
  <c r="CA108" i="1"/>
  <c r="CK106" i="1"/>
  <c r="CF106" i="1"/>
  <c r="CL106" i="1" s="1"/>
  <c r="CH106" i="1"/>
  <c r="CJ106" i="1"/>
  <c r="CQ104" i="1"/>
  <c r="CY102" i="1"/>
  <c r="DA102" i="1"/>
  <c r="CZ102" i="1"/>
  <c r="CT102" i="1"/>
  <c r="DW100" i="1"/>
  <c r="DX100" i="1" s="1"/>
  <c r="DV100" i="1"/>
  <c r="DR100" i="1"/>
  <c r="DS100" i="1"/>
  <c r="DY100" i="1" s="1"/>
  <c r="HG3" i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HD88" i="1" l="1"/>
  <c r="HC88" i="1"/>
  <c r="BX110" i="1"/>
  <c r="BU110" i="1"/>
  <c r="CA110" i="1"/>
  <c r="CB108" i="1"/>
  <c r="CG108" i="1" s="1"/>
  <c r="CC108" i="1"/>
  <c r="CE108" i="1"/>
  <c r="CM106" i="1"/>
  <c r="CR106" i="1"/>
  <c r="CN106" i="1"/>
  <c r="CS104" i="1"/>
  <c r="CU104" i="1" s="1"/>
  <c r="CV102" i="1"/>
  <c r="DO102" i="1" s="1"/>
  <c r="CX102" i="1"/>
  <c r="CW102" i="1"/>
  <c r="DP102" i="1" s="1"/>
  <c r="DZ100" i="1"/>
  <c r="EA100" i="1"/>
  <c r="HF3" i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B110" i="1" l="1"/>
  <c r="CG110" i="1" s="1"/>
  <c r="CC110" i="1"/>
  <c r="CE110" i="1"/>
  <c r="CJ110" i="1" s="1"/>
  <c r="CJ108" i="1"/>
  <c r="CK108" i="1"/>
  <c r="CF108" i="1"/>
  <c r="CL108" i="1" s="1"/>
  <c r="CH108" i="1"/>
  <c r="CQ106" i="1"/>
  <c r="CP106" i="1"/>
  <c r="CY104" i="1"/>
  <c r="CZ104" i="1"/>
  <c r="DA104" i="1"/>
  <c r="CT104" i="1"/>
  <c r="DL102" i="1"/>
  <c r="DM102" i="1"/>
  <c r="DN102" i="1"/>
  <c r="DQ102" i="1"/>
  <c r="DU102" i="1" s="1"/>
  <c r="ED100" i="1"/>
  <c r="EC100" i="1"/>
  <c r="EB100" i="1"/>
  <c r="HW2" i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M110" i="1" l="1"/>
  <c r="CK110" i="1"/>
  <c r="CR110" i="1" s="1"/>
  <c r="CF110" i="1"/>
  <c r="CL110" i="1" s="1"/>
  <c r="CH110" i="1"/>
  <c r="BU112" i="1"/>
  <c r="BX112" i="1"/>
  <c r="CA112" i="1"/>
  <c r="CN108" i="1"/>
  <c r="CM108" i="1"/>
  <c r="CR108" i="1"/>
  <c r="CS106" i="1"/>
  <c r="CT106" i="1" s="1"/>
  <c r="CV104" i="1"/>
  <c r="DO104" i="1" s="1"/>
  <c r="CW104" i="1"/>
  <c r="DP104" i="1" s="1"/>
  <c r="CX104" i="1"/>
  <c r="DQ104" i="1" s="1"/>
  <c r="DV102" i="1"/>
  <c r="DW102" i="1"/>
  <c r="DX102" i="1" s="1"/>
  <c r="DR102" i="1"/>
  <c r="DS102" i="1"/>
  <c r="DY102" i="1" s="1"/>
  <c r="EK100" i="1"/>
  <c r="EF100" i="1"/>
  <c r="EG100" i="1"/>
  <c r="EE100" i="1"/>
  <c r="EL100" i="1"/>
  <c r="EH100" i="1"/>
  <c r="EI100" i="1"/>
  <c r="EJ100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CN110" i="1" l="1"/>
  <c r="CP110" i="1" s="1"/>
  <c r="CC112" i="1"/>
  <c r="CE112" i="1"/>
  <c r="CJ112" i="1" s="1"/>
  <c r="CB112" i="1"/>
  <c r="CG112" i="1" s="1"/>
  <c r="CQ108" i="1"/>
  <c r="CU106" i="1"/>
  <c r="CY106" i="1" s="1"/>
  <c r="CP108" i="1"/>
  <c r="DA106" i="1"/>
  <c r="CV106" i="1"/>
  <c r="CW106" i="1"/>
  <c r="CX106" i="1"/>
  <c r="DU104" i="1"/>
  <c r="DS104" i="1"/>
  <c r="DN104" i="1"/>
  <c r="DM104" i="1"/>
  <c r="DL104" i="1"/>
  <c r="EA102" i="1"/>
  <c r="DZ102" i="1"/>
  <c r="EO100" i="1"/>
  <c r="ER100" i="1" s="1"/>
  <c r="EN100" i="1"/>
  <c r="EM100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BB114" i="1" s="1"/>
  <c r="BE114" i="1" s="1"/>
  <c r="CQ110" i="1" l="1"/>
  <c r="BX114" i="1"/>
  <c r="CA114" i="1"/>
  <c r="BU114" i="1"/>
  <c r="CM112" i="1"/>
  <c r="CS110" i="1"/>
  <c r="CU110" i="1" s="1"/>
  <c r="CT110" i="1"/>
  <c r="CK112" i="1"/>
  <c r="CR112" i="1" s="1"/>
  <c r="CF112" i="1"/>
  <c r="CL112" i="1" s="1"/>
  <c r="CH112" i="1"/>
  <c r="CS108" i="1"/>
  <c r="CZ106" i="1"/>
  <c r="DP106" i="1" s="1"/>
  <c r="CU108" i="1"/>
  <c r="CT108" i="1"/>
  <c r="DM106" i="1"/>
  <c r="DL106" i="1"/>
  <c r="DN106" i="1"/>
  <c r="DQ106" i="1"/>
  <c r="DO106" i="1"/>
  <c r="DW104" i="1"/>
  <c r="DX104" i="1" s="1"/>
  <c r="DV104" i="1"/>
  <c r="DR104" i="1"/>
  <c r="DY104" i="1"/>
  <c r="ED102" i="1"/>
  <c r="EB102" i="1"/>
  <c r="EC102" i="1"/>
  <c r="EQ100" i="1"/>
  <c r="EZ100" i="1" s="1"/>
  <c r="FC100" i="1" s="1"/>
  <c r="EP100" i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CV110" i="1" l="1"/>
  <c r="DL110" i="1" s="1"/>
  <c r="CW110" i="1"/>
  <c r="CX110" i="1"/>
  <c r="CY110" i="1"/>
  <c r="CZ110" i="1"/>
  <c r="DP110" i="1" s="1"/>
  <c r="DA110" i="1"/>
  <c r="DQ110" i="1" s="1"/>
  <c r="CN112" i="1"/>
  <c r="CP112" i="1" s="1"/>
  <c r="CC114" i="1"/>
  <c r="CE114" i="1"/>
  <c r="CB114" i="1"/>
  <c r="CG114" i="1" s="1"/>
  <c r="CV108" i="1"/>
  <c r="CX108" i="1"/>
  <c r="CW108" i="1"/>
  <c r="CY108" i="1"/>
  <c r="DA108" i="1"/>
  <c r="CZ108" i="1"/>
  <c r="DW106" i="1"/>
  <c r="DX106" i="1" s="1"/>
  <c r="DV106" i="1"/>
  <c r="DR106" i="1"/>
  <c r="DU106" i="1"/>
  <c r="DS106" i="1"/>
  <c r="DZ104" i="1"/>
  <c r="EA104" i="1"/>
  <c r="EK102" i="1"/>
  <c r="EF102" i="1"/>
  <c r="EE102" i="1"/>
  <c r="EG102" i="1"/>
  <c r="EL102" i="1"/>
  <c r="EH102" i="1"/>
  <c r="EI102" i="1"/>
  <c r="EJ102" i="1"/>
  <c r="FB100" i="1"/>
  <c r="EV100" i="1"/>
  <c r="FA100" i="1"/>
  <c r="FF100" i="1"/>
  <c r="FI100" i="1" s="1"/>
  <c r="FY100" i="1"/>
  <c r="HE100" i="1" s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DO110" i="1" l="1"/>
  <c r="DS110" i="1" s="1"/>
  <c r="DP108" i="1"/>
  <c r="CQ112" i="1"/>
  <c r="CS112" i="1" s="1"/>
  <c r="CU112" i="1" s="1"/>
  <c r="CJ114" i="1"/>
  <c r="CM114" i="1" s="1"/>
  <c r="DQ108" i="1"/>
  <c r="DN110" i="1"/>
  <c r="DM110" i="1"/>
  <c r="DV110" i="1" s="1"/>
  <c r="CK114" i="1"/>
  <c r="CF114" i="1"/>
  <c r="CL114" i="1" s="1"/>
  <c r="CH114" i="1"/>
  <c r="DO108" i="1"/>
  <c r="DM108" i="1"/>
  <c r="DN108" i="1"/>
  <c r="DL108" i="1"/>
  <c r="DZ106" i="1"/>
  <c r="EA106" i="1"/>
  <c r="DY106" i="1"/>
  <c r="EB104" i="1"/>
  <c r="EC104" i="1"/>
  <c r="ED104" i="1"/>
  <c r="EN102" i="1"/>
  <c r="EM102" i="1"/>
  <c r="EO102" i="1"/>
  <c r="ER102" i="1" s="1"/>
  <c r="HB100" i="1"/>
  <c r="HF100" i="1" s="1"/>
  <c r="HH100" i="1" s="1"/>
  <c r="FE100" i="1"/>
  <c r="FD100" i="1"/>
  <c r="FV100" i="1" s="1"/>
  <c r="EW100" i="1"/>
  <c r="EX100" i="1"/>
  <c r="FL100" i="1"/>
  <c r="FO100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DU108" i="1" l="1"/>
  <c r="DW110" i="1"/>
  <c r="DX110" i="1" s="1"/>
  <c r="DR110" i="1"/>
  <c r="CR114" i="1"/>
  <c r="DU110" i="1"/>
  <c r="DY110" i="1" s="1"/>
  <c r="CT112" i="1"/>
  <c r="CV112" i="1" s="1"/>
  <c r="DL112" i="1" s="1"/>
  <c r="EA110" i="1"/>
  <c r="DZ110" i="1"/>
  <c r="CY112" i="1"/>
  <c r="CZ112" i="1"/>
  <c r="DA112" i="1"/>
  <c r="CN114" i="1"/>
  <c r="CP114" i="1" s="1"/>
  <c r="DS108" i="1"/>
  <c r="DY108" i="1" s="1"/>
  <c r="DV108" i="1"/>
  <c r="DW108" i="1"/>
  <c r="DX108" i="1" s="1"/>
  <c r="DR108" i="1"/>
  <c r="ED106" i="1"/>
  <c r="EC106" i="1"/>
  <c r="EB106" i="1"/>
  <c r="EL104" i="1"/>
  <c r="EH104" i="1"/>
  <c r="EJ104" i="1"/>
  <c r="EI104" i="1"/>
  <c r="EK104" i="1"/>
  <c r="EE104" i="1"/>
  <c r="EG104" i="1"/>
  <c r="EF104" i="1"/>
  <c r="FH100" i="1"/>
  <c r="EQ102" i="1"/>
  <c r="EZ102" i="1" s="1"/>
  <c r="FC102" i="1" s="1"/>
  <c r="EP102" i="1"/>
  <c r="FU100" i="1"/>
  <c r="FG100" i="1"/>
  <c r="HG100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ED110" i="1" l="1"/>
  <c r="EI110" i="1" s="1"/>
  <c r="CX112" i="1"/>
  <c r="DN112" i="1" s="1"/>
  <c r="CW112" i="1"/>
  <c r="DP112" i="1" s="1"/>
  <c r="DO112" i="1"/>
  <c r="DU112" i="1" s="1"/>
  <c r="CQ114" i="1"/>
  <c r="EC110" i="1"/>
  <c r="EK110" i="1" s="1"/>
  <c r="EB110" i="1"/>
  <c r="DR112" i="1"/>
  <c r="DW112" i="1"/>
  <c r="DX112" i="1" s="1"/>
  <c r="EA108" i="1"/>
  <c r="DZ108" i="1"/>
  <c r="EK106" i="1"/>
  <c r="EG106" i="1"/>
  <c r="EE106" i="1"/>
  <c r="EF106" i="1"/>
  <c r="EL106" i="1"/>
  <c r="EI106" i="1"/>
  <c r="EH106" i="1"/>
  <c r="EJ106" i="1"/>
  <c r="EN104" i="1"/>
  <c r="EM104" i="1"/>
  <c r="EO104" i="1"/>
  <c r="ER104" i="1" s="1"/>
  <c r="FB102" i="1"/>
  <c r="FA102" i="1"/>
  <c r="EV102" i="1"/>
  <c r="FY102" i="1"/>
  <c r="HE102" i="1" s="1"/>
  <c r="FF102" i="1"/>
  <c r="FI102" i="1" s="1"/>
  <c r="FM100" i="1"/>
  <c r="FN100" i="1" s="1"/>
  <c r="FJ100" i="1"/>
  <c r="GQ100" i="1" s="1"/>
  <c r="FW100" i="1"/>
  <c r="FX100" i="1" s="1"/>
  <c r="FZ100" i="1" s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DQ112" i="1" l="1"/>
  <c r="EA112" i="1"/>
  <c r="DV112" i="1"/>
  <c r="EL110" i="1"/>
  <c r="EM110" i="1" s="1"/>
  <c r="CS114" i="1"/>
  <c r="CT114" i="1" s="1"/>
  <c r="CX114" i="1" s="1"/>
  <c r="EF110" i="1"/>
  <c r="EJ110" i="1"/>
  <c r="EH110" i="1"/>
  <c r="DM112" i="1"/>
  <c r="EG110" i="1"/>
  <c r="DS112" i="1"/>
  <c r="DY112" i="1" s="1"/>
  <c r="EE110" i="1"/>
  <c r="EO110" i="1"/>
  <c r="ER110" i="1" s="1"/>
  <c r="EN110" i="1"/>
  <c r="CV114" i="1"/>
  <c r="DL114" i="1" s="1"/>
  <c r="CW114" i="1"/>
  <c r="ED108" i="1"/>
  <c r="EB108" i="1"/>
  <c r="EC108" i="1"/>
  <c r="EM106" i="1"/>
  <c r="EO106" i="1"/>
  <c r="ER106" i="1" s="1"/>
  <c r="EN106" i="1"/>
  <c r="EQ104" i="1"/>
  <c r="EZ104" i="1" s="1"/>
  <c r="FC104" i="1" s="1"/>
  <c r="EP104" i="1"/>
  <c r="FL102" i="1"/>
  <c r="FO102" i="1"/>
  <c r="EX102" i="1"/>
  <c r="FD102" i="1"/>
  <c r="FV102" i="1" s="1"/>
  <c r="HB102" i="1"/>
  <c r="HF102" i="1" s="1"/>
  <c r="HG102" i="1" s="1"/>
  <c r="FE102" i="1"/>
  <c r="EW102" i="1"/>
  <c r="GP100" i="1"/>
  <c r="GD100" i="1"/>
  <c r="GA100" i="1"/>
  <c r="FP100" i="1"/>
  <c r="FQ100" i="1"/>
  <c r="FR100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DZ112" i="1" l="1"/>
  <c r="ED112" i="1" s="1"/>
  <c r="EP110" i="1"/>
  <c r="EV110" i="1" s="1"/>
  <c r="EQ110" i="1"/>
  <c r="EZ110" i="1" s="1"/>
  <c r="FC110" i="1" s="1"/>
  <c r="CU114" i="1"/>
  <c r="EC112" i="1"/>
  <c r="EE112" i="1" s="1"/>
  <c r="EL112" i="1"/>
  <c r="EH112" i="1"/>
  <c r="EJ112" i="1"/>
  <c r="EI112" i="1"/>
  <c r="EB112" i="1"/>
  <c r="DN114" i="1"/>
  <c r="DM114" i="1"/>
  <c r="FF110" i="1"/>
  <c r="FI110" i="1" s="1"/>
  <c r="FY110" i="1"/>
  <c r="HE110" i="1" s="1"/>
  <c r="FA110" i="1"/>
  <c r="DW114" i="1"/>
  <c r="DX114" i="1" s="1"/>
  <c r="DR114" i="1"/>
  <c r="EK108" i="1"/>
  <c r="EF108" i="1"/>
  <c r="EE108" i="1"/>
  <c r="EG108" i="1"/>
  <c r="EL108" i="1"/>
  <c r="EH108" i="1"/>
  <c r="EI108" i="1"/>
  <c r="EJ108" i="1"/>
  <c r="FT100" i="1"/>
  <c r="EP106" i="1"/>
  <c r="EQ106" i="1"/>
  <c r="EZ106" i="1" s="1"/>
  <c r="FC106" i="1" s="1"/>
  <c r="FB104" i="1"/>
  <c r="FA104" i="1"/>
  <c r="EV104" i="1"/>
  <c r="FF104" i="1"/>
  <c r="FI104" i="1" s="1"/>
  <c r="FY104" i="1"/>
  <c r="HE104" i="1" s="1"/>
  <c r="FH102" i="1"/>
  <c r="HH102" i="1"/>
  <c r="FG102" i="1"/>
  <c r="FU102" i="1"/>
  <c r="FS100" i="1"/>
  <c r="GC100" i="1"/>
  <c r="GB100" i="1"/>
  <c r="GO100" i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EG112" i="1" l="1"/>
  <c r="FB110" i="1"/>
  <c r="FL110" i="1" s="1"/>
  <c r="EK112" i="1"/>
  <c r="EO112" i="1" s="1"/>
  <c r="ER112" i="1" s="1"/>
  <c r="CZ114" i="1"/>
  <c r="DP114" i="1" s="1"/>
  <c r="DA114" i="1"/>
  <c r="DQ114" i="1" s="1"/>
  <c r="CY114" i="1"/>
  <c r="DO114" i="1" s="1"/>
  <c r="EF112" i="1"/>
  <c r="EA114" i="1"/>
  <c r="HB110" i="1"/>
  <c r="HF110" i="1" s="1"/>
  <c r="HG110" i="1" s="1"/>
  <c r="EW110" i="1"/>
  <c r="FD110" i="1"/>
  <c r="FV110" i="1" s="1"/>
  <c r="EX110" i="1"/>
  <c r="FE110" i="1"/>
  <c r="EM108" i="1"/>
  <c r="EN108" i="1"/>
  <c r="EO108" i="1"/>
  <c r="ER108" i="1" s="1"/>
  <c r="FF106" i="1"/>
  <c r="FI106" i="1" s="1"/>
  <c r="FY106" i="1"/>
  <c r="HE106" i="1" s="1"/>
  <c r="FA106" i="1"/>
  <c r="FB106" i="1"/>
  <c r="EV106" i="1"/>
  <c r="EW104" i="1"/>
  <c r="EX104" i="1"/>
  <c r="FD104" i="1"/>
  <c r="FV104" i="1" s="1"/>
  <c r="FE104" i="1"/>
  <c r="HB104" i="1"/>
  <c r="HF104" i="1" s="1"/>
  <c r="HH104" i="1" s="1"/>
  <c r="FL104" i="1"/>
  <c r="FO104" i="1"/>
  <c r="FM102" i="1"/>
  <c r="FN102" i="1" s="1"/>
  <c r="FJ102" i="1"/>
  <c r="GQ102" i="1" s="1"/>
  <c r="FW102" i="1"/>
  <c r="FX102" i="1" s="1"/>
  <c r="FZ102" i="1" s="1"/>
  <c r="GI100" i="1"/>
  <c r="GH100" i="1"/>
  <c r="GG100" i="1"/>
  <c r="GE100" i="1"/>
  <c r="GF100" i="1" s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FO110" i="1" l="1"/>
  <c r="EM112" i="1"/>
  <c r="EN112" i="1"/>
  <c r="DU114" i="1"/>
  <c r="DS114" i="1"/>
  <c r="DV114" i="1"/>
  <c r="DZ114" i="1" s="1"/>
  <c r="HH110" i="1"/>
  <c r="FH110" i="1"/>
  <c r="FG110" i="1"/>
  <c r="FU110" i="1"/>
  <c r="EQ108" i="1"/>
  <c r="EZ108" i="1" s="1"/>
  <c r="FC108" i="1" s="1"/>
  <c r="EP108" i="1"/>
  <c r="EX106" i="1"/>
  <c r="EW106" i="1"/>
  <c r="FE106" i="1"/>
  <c r="FD106" i="1"/>
  <c r="FV106" i="1" s="1"/>
  <c r="HB106" i="1"/>
  <c r="HF106" i="1" s="1"/>
  <c r="HG106" i="1" s="1"/>
  <c r="FL106" i="1"/>
  <c r="FO106" i="1"/>
  <c r="GS100" i="1"/>
  <c r="GT100" i="1" s="1"/>
  <c r="FH104" i="1"/>
  <c r="FU104" i="1"/>
  <c r="FG104" i="1"/>
  <c r="HG104" i="1"/>
  <c r="GY100" i="1"/>
  <c r="GZ100" i="1" s="1"/>
  <c r="GP102" i="1"/>
  <c r="GD102" i="1"/>
  <c r="GA102" i="1"/>
  <c r="FP102" i="1"/>
  <c r="FR102" i="1"/>
  <c r="FQ102" i="1"/>
  <c r="FS102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AN164" i="1" s="1" a="1"/>
  <c r="AN164" i="1" s="1"/>
  <c r="EQ112" i="1" l="1"/>
  <c r="EZ112" i="1" s="1"/>
  <c r="FC112" i="1" s="1"/>
  <c r="EP112" i="1"/>
  <c r="DY114" i="1"/>
  <c r="ED114" i="1" s="1"/>
  <c r="FM110" i="1"/>
  <c r="FN110" i="1" s="1"/>
  <c r="FJ110" i="1"/>
  <c r="GQ110" i="1" s="1"/>
  <c r="FW110" i="1"/>
  <c r="FX110" i="1" s="1"/>
  <c r="FZ110" i="1" s="1"/>
  <c r="HH106" i="1"/>
  <c r="FB108" i="1"/>
  <c r="FA108" i="1"/>
  <c r="EV108" i="1"/>
  <c r="FF108" i="1"/>
  <c r="FI108" i="1" s="1"/>
  <c r="FY108" i="1"/>
  <c r="HE108" i="1" s="1"/>
  <c r="HA100" i="1"/>
  <c r="HC100" i="1" s="1"/>
  <c r="FG106" i="1"/>
  <c r="FU106" i="1"/>
  <c r="FH106" i="1"/>
  <c r="FM104" i="1"/>
  <c r="FN104" i="1" s="1"/>
  <c r="FJ104" i="1"/>
  <c r="GQ104" i="1" s="1"/>
  <c r="FW104" i="1"/>
  <c r="FX104" i="1" s="1"/>
  <c r="FZ104" i="1" s="1"/>
  <c r="GR100" i="1"/>
  <c r="FT102" i="1"/>
  <c r="GC102" i="1"/>
  <c r="GO102" i="1"/>
  <c r="GB102" i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FA112" i="1" l="1"/>
  <c r="EV112" i="1"/>
  <c r="FB112" i="1"/>
  <c r="FY112" i="1"/>
  <c r="HE112" i="1" s="1"/>
  <c r="FF112" i="1"/>
  <c r="FI112" i="1" s="1"/>
  <c r="EB114" i="1"/>
  <c r="EC114" i="1"/>
  <c r="EE114" i="1" s="1"/>
  <c r="EJ114" i="1"/>
  <c r="EL114" i="1"/>
  <c r="EI114" i="1"/>
  <c r="EH114" i="1"/>
  <c r="GA110" i="1"/>
  <c r="GP110" i="1"/>
  <c r="GD110" i="1"/>
  <c r="FP110" i="1"/>
  <c r="FR110" i="1"/>
  <c r="FQ110" i="1"/>
  <c r="HQ22" i="1"/>
  <c r="EX108" i="1"/>
  <c r="FD108" i="1"/>
  <c r="FV108" i="1" s="1"/>
  <c r="EW108" i="1"/>
  <c r="HB108" i="1"/>
  <c r="HF108" i="1" s="1"/>
  <c r="HG108" i="1" s="1"/>
  <c r="FE108" i="1"/>
  <c r="FL108" i="1"/>
  <c r="FO108" i="1"/>
  <c r="HD100" i="1"/>
  <c r="FJ106" i="1"/>
  <c r="GQ106" i="1" s="1"/>
  <c r="FW106" i="1"/>
  <c r="FX106" i="1" s="1"/>
  <c r="FZ106" i="1" s="1"/>
  <c r="FM106" i="1"/>
  <c r="FN106" i="1" s="1"/>
  <c r="GA104" i="1"/>
  <c r="GD104" i="1"/>
  <c r="GP104" i="1"/>
  <c r="HR22" i="1" s="1"/>
  <c r="GI102" i="1"/>
  <c r="FQ104" i="1"/>
  <c r="FP104" i="1"/>
  <c r="FR104" i="1"/>
  <c r="GG102" i="1"/>
  <c r="GE102" i="1"/>
  <c r="GF102" i="1" s="1"/>
  <c r="GH102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FS110" i="1" l="1"/>
  <c r="EG114" i="1"/>
  <c r="EK114" i="1"/>
  <c r="EF114" i="1"/>
  <c r="EX112" i="1"/>
  <c r="FD112" i="1"/>
  <c r="FV112" i="1" s="1"/>
  <c r="EW112" i="1"/>
  <c r="HB112" i="1"/>
  <c r="HF112" i="1" s="1"/>
  <c r="FE112" i="1"/>
  <c r="FL112" i="1"/>
  <c r="FO112" i="1"/>
  <c r="EM114" i="1"/>
  <c r="EN114" i="1"/>
  <c r="EO114" i="1"/>
  <c r="ER114" i="1" s="1"/>
  <c r="FT110" i="1"/>
  <c r="GC110" i="1"/>
  <c r="GO110" i="1"/>
  <c r="GB110" i="1"/>
  <c r="HQ18" i="1"/>
  <c r="FG108" i="1"/>
  <c r="FU108" i="1"/>
  <c r="FH108" i="1"/>
  <c r="HH108" i="1"/>
  <c r="FT104" i="1"/>
  <c r="GD106" i="1"/>
  <c r="GA106" i="1"/>
  <c r="GP106" i="1"/>
  <c r="FR106" i="1"/>
  <c r="FP106" i="1"/>
  <c r="FQ106" i="1"/>
  <c r="GO104" i="1"/>
  <c r="GB104" i="1"/>
  <c r="GC104" i="1"/>
  <c r="FS104" i="1"/>
  <c r="GY102" i="1"/>
  <c r="GS102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H112" i="1" l="1"/>
  <c r="HG112" i="1"/>
  <c r="FU112" i="1"/>
  <c r="FG112" i="1"/>
  <c r="FH112" i="1"/>
  <c r="HM22" i="1"/>
  <c r="EP114" i="1"/>
  <c r="EQ114" i="1"/>
  <c r="EZ114" i="1" s="1"/>
  <c r="FC114" i="1" s="1"/>
  <c r="GE110" i="1"/>
  <c r="GF110" i="1" s="1"/>
  <c r="GG110" i="1"/>
  <c r="HR18" i="1"/>
  <c r="GH110" i="1"/>
  <c r="GI110" i="1"/>
  <c r="FS106" i="1"/>
  <c r="FM108" i="1"/>
  <c r="FN108" i="1" s="1"/>
  <c r="FW108" i="1"/>
  <c r="FX108" i="1" s="1"/>
  <c r="FZ108" i="1" s="1"/>
  <c r="FJ108" i="1"/>
  <c r="GQ108" i="1" s="1"/>
  <c r="GI104" i="1"/>
  <c r="GC106" i="1"/>
  <c r="GO106" i="1"/>
  <c r="GB106" i="1"/>
  <c r="FT106" i="1"/>
  <c r="GH104" i="1"/>
  <c r="GE104" i="1"/>
  <c r="GF104" i="1" s="1"/>
  <c r="GG104" i="1"/>
  <c r="GR102" i="1"/>
  <c r="GT102" i="1"/>
  <c r="HA102" i="1"/>
  <c r="GZ102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FJ112" i="1" l="1"/>
  <c r="GQ112" i="1" s="1"/>
  <c r="HQ24" i="1" s="1"/>
  <c r="FM112" i="1"/>
  <c r="FN112" i="1" s="1"/>
  <c r="FW112" i="1"/>
  <c r="FX112" i="1" s="1"/>
  <c r="FZ112" i="1" s="1"/>
  <c r="GI106" i="1"/>
  <c r="FF114" i="1"/>
  <c r="FI114" i="1" s="1"/>
  <c r="FY114" i="1"/>
  <c r="HE114" i="1" s="1"/>
  <c r="EV114" i="1"/>
  <c r="FB114" i="1"/>
  <c r="FA114" i="1"/>
  <c r="HM18" i="1"/>
  <c r="HQ20" i="1"/>
  <c r="GY110" i="1"/>
  <c r="GZ110" i="1" s="1"/>
  <c r="GS110" i="1"/>
  <c r="GP108" i="1"/>
  <c r="GD108" i="1"/>
  <c r="GA108" i="1"/>
  <c r="FR108" i="1"/>
  <c r="FP108" i="1"/>
  <c r="FQ108" i="1"/>
  <c r="GY104" i="1"/>
  <c r="GG106" i="1"/>
  <c r="GE106" i="1"/>
  <c r="GF106" i="1" s="1"/>
  <c r="GS104" i="1"/>
  <c r="HA104" i="1" s="1"/>
  <c r="GH106" i="1"/>
  <c r="HC102" i="1"/>
  <c r="HD102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GP112" i="1" l="1"/>
  <c r="HR24" i="1" s="1"/>
  <c r="GA112" i="1"/>
  <c r="GD112" i="1"/>
  <c r="FP112" i="1"/>
  <c r="FR112" i="1"/>
  <c r="FQ112" i="1"/>
  <c r="FS112" i="1" s="1"/>
  <c r="FO114" i="1"/>
  <c r="FL114" i="1"/>
  <c r="FD114" i="1"/>
  <c r="FV114" i="1" s="1"/>
  <c r="EX114" i="1"/>
  <c r="FE114" i="1"/>
  <c r="EW114" i="1"/>
  <c r="HB114" i="1"/>
  <c r="HF114" i="1" s="1"/>
  <c r="HH114" i="1" s="1"/>
  <c r="FS108" i="1"/>
  <c r="HA110" i="1"/>
  <c r="GR110" i="1"/>
  <c r="GT110" i="1"/>
  <c r="HR20" i="1"/>
  <c r="GR104" i="1"/>
  <c r="IA22" i="1"/>
  <c r="HY22" i="1"/>
  <c r="GT104" i="1"/>
  <c r="GZ104" i="1"/>
  <c r="IE22" i="1" s="1"/>
  <c r="GO108" i="1"/>
  <c r="GC108" i="1"/>
  <c r="GB108" i="1"/>
  <c r="FT108" i="1"/>
  <c r="GY106" i="1"/>
  <c r="IA18" i="1" s="1"/>
  <c r="GS106" i="1"/>
  <c r="HY18" i="1" s="1"/>
  <c r="HC104" i="1"/>
  <c r="HD104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IB22" i="1" l="1"/>
  <c r="FT112" i="1"/>
  <c r="GO112" i="1"/>
  <c r="HM24" i="1" s="1"/>
  <c r="GC112" i="1"/>
  <c r="GB112" i="1"/>
  <c r="FH114" i="1"/>
  <c r="FG114" i="1"/>
  <c r="FU114" i="1"/>
  <c r="IC22" i="1"/>
  <c r="HG114" i="1"/>
  <c r="GI108" i="1"/>
  <c r="HM20" i="1"/>
  <c r="HD110" i="1"/>
  <c r="HC110" i="1"/>
  <c r="GG108" i="1"/>
  <c r="GE108" i="1"/>
  <c r="GF108" i="1" s="1"/>
  <c r="GH108" i="1"/>
  <c r="GR106" i="1"/>
  <c r="GT106" i="1"/>
  <c r="HA106" i="1"/>
  <c r="GZ106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GI112" i="1" l="1"/>
  <c r="GG112" i="1"/>
  <c r="GE112" i="1"/>
  <c r="GF112" i="1" s="1"/>
  <c r="GH112" i="1"/>
  <c r="FM114" i="1"/>
  <c r="FN114" i="1" s="1"/>
  <c r="FW114" i="1"/>
  <c r="FX114" i="1" s="1"/>
  <c r="FZ114" i="1" s="1"/>
  <c r="FJ114" i="1"/>
  <c r="GQ114" i="1" s="1"/>
  <c r="HQ26" i="1" s="1"/>
  <c r="IB18" i="1"/>
  <c r="IE18" i="1"/>
  <c r="IC18" i="1"/>
  <c r="GS108" i="1"/>
  <c r="HY20" i="1" s="1"/>
  <c r="GY108" i="1"/>
  <c r="IA20" i="1" s="1"/>
  <c r="HD106" i="1"/>
  <c r="HC106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GY112" i="1" l="1"/>
  <c r="GS112" i="1"/>
  <c r="GP114" i="1"/>
  <c r="HR26" i="1" s="1"/>
  <c r="GA114" i="1"/>
  <c r="GD114" i="1"/>
  <c r="FP114" i="1"/>
  <c r="FR114" i="1"/>
  <c r="FQ114" i="1"/>
  <c r="GZ108" i="1"/>
  <c r="GR108" i="1"/>
  <c r="GT108" i="1"/>
  <c r="HA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Y24" i="1" l="1"/>
  <c r="GR112" i="1"/>
  <c r="IB24" i="1" s="1"/>
  <c r="GT112" i="1"/>
  <c r="IC24" i="1" s="1"/>
  <c r="HA112" i="1"/>
  <c r="GZ112" i="1"/>
  <c r="IE24" i="1" s="1"/>
  <c r="IA24" i="1"/>
  <c r="FT114" i="1"/>
  <c r="FS114" i="1"/>
  <c r="GO114" i="1"/>
  <c r="HM26" i="1" s="1"/>
  <c r="GB114" i="1"/>
  <c r="GC114" i="1"/>
  <c r="IC20" i="1"/>
  <c r="IB20" i="1"/>
  <c r="IE20" i="1"/>
  <c r="HD108" i="1"/>
  <c r="HC108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GI114" i="1" l="1"/>
  <c r="HD112" i="1"/>
  <c r="HC112" i="1"/>
  <c r="GH114" i="1"/>
  <c r="GY114" i="1" s="1"/>
  <c r="GE114" i="1"/>
  <c r="GF114" i="1" s="1"/>
  <c r="GG114" i="1"/>
  <c r="GS114" i="1" s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Y26" i="1" l="1"/>
  <c r="HA114" i="1"/>
  <c r="GT114" i="1"/>
  <c r="IC26" i="1" s="1"/>
  <c r="GR114" i="1"/>
  <c r="IB26" i="1" s="1"/>
  <c r="GZ114" i="1"/>
  <c r="IE26" i="1" s="1"/>
  <c r="IA26" i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D114" i="1" l="1"/>
  <c r="HC114" i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<sst xmlns="http://schemas.openxmlformats.org/spreadsheetml/2006/main" count="935" uniqueCount="424">
  <si>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</si>
  <si>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</si>
  <si>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</si>
  <si>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</si>
  <si>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</si>
  <si>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</si>
  <si>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</si>
  <si>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</si>
  <si>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</si>
  <si>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</si>
  <si>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</si>
  <si>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</si>
  <si>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</si>
  <si>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</si>
  <si>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</si>
  <si>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</si>
  <si>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</si>
  <si>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</si>
  <si>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</si>
  <si>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</si>
  <si>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</si>
  <si>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</si>
  <si>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</si>
  <si>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</si>
  <si>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</si>
  <si>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</si>
  <si>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</si>
  <si>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</si>
  <si>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</si>
  <si>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</si>
  <si>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</si>
  <si>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</si>
  <si>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</si>
  <si>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</si>
  <si>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</si>
  <si>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</si>
  <si>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</si>
  <si>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</si>
  <si>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</si>
  <si>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</si>
  <si>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</si>
  <si>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</si>
  <si>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</si>
  <si>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</si>
  <si>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</si>
  <si>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</si>
  <si>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</si>
  <si>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</si>
  <si>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</si>
  <si>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</si>
  <si>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</si>
  <si>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</si>
  <si>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</si>
  <si>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</si>
  <si>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</si>
  <si>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</si>
  <si>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</si>
  <si>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</si>
  <si>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</si>
  <si>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</si>
  <si>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</si>
  <si>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</si>
  <si>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</si>
  <si>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</si>
  <si>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</si>
  <si>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</si>
  <si>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</si>
  <si>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</si>
  <si>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</si>
  <si>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</si>
  <si>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</si>
  <si>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</si>
  <si>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</si>
  <si>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</si>
  <si>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</si>
  <si>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</si>
  <si>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</si>
  <si>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</si>
  <si>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</si>
  <si>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</si>
  <si>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</si>
  <si>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</si>
  <si>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</si>
  <si>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</si>
  <si>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</si>
  <si>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</si>
  <si>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</si>
  <si>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</si>
  <si>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</si>
  <si>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</si>
  <si>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</si>
  <si>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</si>
  <si>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</si>
  <si>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</si>
  <si>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</si>
  <si>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</si>
  <si>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</si>
  <si>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</si>
  <si>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</si>
  <si>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</si>
  <si>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</si>
  <si>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</si>
  <si>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</si>
  <si>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</si>
  <si>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</si>
  <si>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</si>
  <si>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</si>
  <si>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</si>
  <si>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</si>
  <si>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</si>
  <si>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</si>
  <si>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</si>
  <si>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</si>
  <si>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</si>
  <si>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</si>
  <si>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</si>
  <si>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</si>
  <si>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</si>
  <si>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</si>
  <si>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</si>
  <si>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</si>
  <si>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</si>
  <si>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</si>
  <si>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</si>
  <si>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</si>
  <si>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</si>
  <si>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</si>
  <si>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</si>
  <si>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</si>
  <si>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</si>
  <si>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</si>
  <si>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</si>
  <si>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</si>
  <si>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</si>
  <si>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</si>
  <si>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</si>
  <si>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</si>
  <si>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</si>
  <si>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</si>
  <si>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</si>
  <si>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</si>
  <si>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</si>
  <si>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</si>
  <si>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</si>
  <si>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</si>
  <si>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</si>
  <si>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</si>
  <si>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</si>
  <si>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</si>
  <si>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</si>
  <si>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</si>
  <si>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</si>
  <si>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</si>
  <si>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</si>
  <si>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</si>
  <si>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</si>
  <si>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</si>
  <si>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</si>
  <si>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</si>
  <si>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</si>
  <si>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</si>
  <si>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</si>
  <si>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</si>
  <si>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</si>
  <si>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</si>
  <si>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</si>
  <si>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</si>
  <si>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</si>
  <si>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</si>
  <si>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</si>
  <si>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</si>
  <si>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</si>
  <si>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</si>
  <si>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</si>
  <si>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</si>
  <si>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</si>
  <si>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</si>
  <si>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</si>
  <si>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</si>
  <si>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</si>
  <si>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</si>
  <si>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</si>
  <si>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</si>
  <si>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</si>
  <si>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</si>
  <si>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</si>
  <si>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</si>
  <si>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</si>
  <si>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</si>
  <si>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</si>
  <si>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</si>
  <si>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</si>
  <si>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</si>
  <si>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</si>
  <si>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</si>
  <si>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</si>
  <si>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</si>
  <si>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</si>
  <si>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</si>
  <si>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</si>
  <si>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</si>
  <si>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</si>
  <si>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</si>
  <si>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</si>
  <si>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</si>
  <si>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</si>
  <si>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</si>
  <si>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</si>
  <si>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</si>
  <si>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</si>
  <si>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</si>
  <si>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</si>
  <si>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</si>
  <si>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</si>
  <si>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</si>
  <si>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</si>
  <si>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</si>
  <si>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</si>
  <si>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</si>
  <si>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</si>
  <si>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</si>
  <si>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</si>
  <si>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</si>
  <si>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</si>
  <si>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</si>
  <si>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</si>
  <si>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</si>
  <si>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</si>
  <si>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</si>
  <si>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</si>
  <si>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</si>
  <si>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</si>
  <si>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</si>
  <si>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</si>
  <si>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</si>
  <si>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</si>
  <si>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</si>
  <si>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</si>
  <si>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</si>
  <si>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</si>
  <si>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</si>
  <si>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</si>
  <si>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</si>
  <si>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</si>
  <si>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</si>
  <si>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</si>
  <si>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</si>
  <si>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</si>
  <si>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</si>
  <si>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</si>
  <si>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</si>
  <si>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</si>
  <si>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</si>
  <si>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</si>
  <si>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</si>
  <si>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</si>
  <si>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</si>
  <si>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</si>
  <si>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</si>
  <si>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</si>
  <si>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</si>
  <si>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</si>
  <si>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</si>
  <si>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</si>
  <si>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</si>
  <si>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</si>
  <si>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</si>
  <si>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</si>
  <si>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</si>
  <si>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</si>
  <si>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</si>
  <si>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</si>
  <si>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</si>
  <si>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</si>
  <si>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</si>
  <si>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</si>
  <si>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</si>
  <si>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</si>
  <si>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</si>
  <si>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</si>
  <si>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</si>
  <si>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</si>
  <si>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</si>
  <si>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</si>
  <si>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</si>
  <si>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</si>
  <si>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</si>
  <si>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</si>
  <si>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</si>
  <si>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</si>
  <si>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</si>
  <si>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</si>
  <si>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</si>
  <si>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</si>
  <si>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</si>
  <si>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</si>
  <si>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</si>
  <si>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</si>
  <si>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</si>
  <si>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</si>
  <si>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</si>
  <si>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</si>
  <si>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</si>
  <si>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</si>
  <si>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</si>
  <si>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</si>
  <si>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</si>
  <si>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</si>
  <si>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</si>
  <si>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</si>
  <si>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</si>
  <si>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</si>
  <si>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</si>
  <si>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</si>
  <si>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</si>
  <si>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</si>
  <si>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</si>
  <si>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</si>
  <si>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</si>
  <si>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</si>
  <si>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</si>
  <si>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</si>
  <si>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</si>
  <si>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</si>
  <si>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</si>
  <si>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</si>
  <si>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</si>
  <si>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</si>
  <si>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</si>
  <si>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</si>
  <si>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</si>
  <si>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</si>
  <si>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</si>
  <si>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</si>
  <si>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</si>
  <si>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</si>
  <si>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</si>
  <si>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</si>
  <si>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</si>
  <si>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</si>
  <si>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</si>
  <si>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</si>
  <si>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</si>
  <si>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</si>
  <si>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</si>
  <si>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</si>
  <si>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</si>
  <si>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</si>
  <si>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</si>
  <si>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</si>
  <si>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</si>
  <si>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</si>
  <si>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</si>
  <si>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</si>
  <si>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</si>
  <si>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</si>
  <si>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</si>
  <si>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</si>
  <si>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</si>
  <si>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</si>
  <si>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</si>
  <si>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</si>
  <si>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</si>
  <si>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</si>
  <si>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</si>
  <si>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</si>
  <si>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</si>
  <si>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</si>
  <si>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</si>
  <si>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</si>
  <si>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</si>
  <si>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</si>
  <si>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</si>
  <si>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</si>
  <si>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</si>
  <si>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</si>
  <si>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</si>
  <si>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</si>
  <si>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</si>
  <si>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</si>
  <si>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</si>
  <si>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</si>
  <si>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</si>
  <si>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</si>
  <si>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</si>
  <si>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</si>
  <si>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</si>
  <si>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</si>
  <si>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</si>
  <si>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</si>
  <si>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</si>
  <si>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</si>
  <si>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</si>
  <si>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</si>
  <si>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</si>
  <si>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</si>
  <si>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</si>
  <si>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</si>
  <si>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</si>
  <si>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</si>
  <si>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</si>
  <si>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</si>
  <si>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</si>
  <si>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</si>
  <si>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</si>
  <si>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</si>
  <si>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</si>
  <si>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</si>
  <si>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</si>
  <si>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</si>
  <si>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</si>
  <si>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</si>
  <si>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</si>
  <si>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</si>
  <si>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</si>
  <si>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</si>
  <si>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</si>
  <si>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</si>
  <si>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</si>
  <si>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1613.par</t>
  </si>
  <si>
    <t>pattern</t>
  </si>
  <si>
    <t>32193r1.par</t>
  </si>
  <si>
    <t>perp</t>
  </si>
  <si>
    <t>6135r00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</si>
</sst>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4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3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96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cot-dc01.cot-i.com\CapRockDocuments\Engineering\01_Designs\2362\2362r00%20CS%20Placement%20V5.xls" TargetMode="External"/><Relationship Id="rId1" Type="http://schemas.openxmlformats.org/officeDocument/2006/relationships/externalLinkPath" Target="/Engineering/01_Designs/2362/2362r00%20CS%20Placement%20V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ist"/>
      <sheetName val="Sheet3"/>
      <sheetName val="Sheet2"/>
      <sheetName val="Sheet1"/>
      <sheetName val="Area per cutter"/>
      <sheetName val="Tilt"/>
      <sheetName val="Cutters"/>
    </sheetNames>
    <sheetDataSet>
      <sheetData sheetId="0">
        <row r="281">
          <cell r="AG281" t="str">
            <v>Perp. to Profile</v>
          </cell>
        </row>
        <row r="282">
          <cell r="AG282">
            <v>-20</v>
          </cell>
          <cell r="AI282" t="str">
            <v>01</v>
          </cell>
        </row>
        <row r="283">
          <cell r="AG283">
            <v>-20</v>
          </cell>
          <cell r="AI283" t="str">
            <v>02</v>
          </cell>
        </row>
        <row r="284">
          <cell r="AG284">
            <v>-20</v>
          </cell>
          <cell r="AI284" t="str">
            <v>03</v>
          </cell>
        </row>
        <row r="285">
          <cell r="AG285">
            <v>-20</v>
          </cell>
          <cell r="AI285" t="str">
            <v>04</v>
          </cell>
        </row>
        <row r="286">
          <cell r="AG286">
            <v>-20</v>
          </cell>
          <cell r="AI286" t="str">
            <v>05</v>
          </cell>
        </row>
        <row r="287">
          <cell r="AG287">
            <v>-16</v>
          </cell>
          <cell r="AI287" t="str">
            <v>06</v>
          </cell>
        </row>
        <row r="288">
          <cell r="AG288">
            <v>-9.9000000000000057</v>
          </cell>
          <cell r="AI288" t="str">
            <v>07</v>
          </cell>
        </row>
        <row r="289">
          <cell r="AG289">
            <v>-3.7999999999999972</v>
          </cell>
          <cell r="AI289" t="str">
            <v>08</v>
          </cell>
        </row>
        <row r="290">
          <cell r="AG290">
            <v>2.0999999999999943</v>
          </cell>
          <cell r="AI290" t="str">
            <v>09</v>
          </cell>
        </row>
        <row r="291">
          <cell r="AG291">
            <v>5.0999999999999943</v>
          </cell>
          <cell r="AI291" t="str">
            <v>10</v>
          </cell>
        </row>
        <row r="292">
          <cell r="AG292">
            <v>8</v>
          </cell>
          <cell r="AI292" t="str">
            <v>11</v>
          </cell>
        </row>
        <row r="293">
          <cell r="AG293">
            <v>10.900000000000006</v>
          </cell>
          <cell r="AI293" t="str">
            <v>12</v>
          </cell>
        </row>
        <row r="294">
          <cell r="AG294">
            <v>13.799999999999997</v>
          </cell>
          <cell r="AI294" t="str">
            <v>13</v>
          </cell>
        </row>
        <row r="295">
          <cell r="AG295">
            <v>16.700000000000003</v>
          </cell>
          <cell r="AI295" t="str">
            <v>14</v>
          </cell>
        </row>
        <row r="296">
          <cell r="AG296">
            <v>19.599999999999994</v>
          </cell>
          <cell r="AI296" t="str">
            <v>15</v>
          </cell>
        </row>
        <row r="297">
          <cell r="AG297">
            <v>22.5</v>
          </cell>
          <cell r="AI297" t="str">
            <v>16</v>
          </cell>
        </row>
        <row r="298">
          <cell r="AG298">
            <v>25.400000000000006</v>
          </cell>
          <cell r="AI298" t="str">
            <v>17</v>
          </cell>
        </row>
        <row r="299">
          <cell r="AG299">
            <v>28.299999999999997</v>
          </cell>
          <cell r="AI299" t="str">
            <v>18</v>
          </cell>
        </row>
        <row r="300">
          <cell r="AG300">
            <v>31.200000000000003</v>
          </cell>
          <cell r="AI300" t="str">
            <v>19</v>
          </cell>
        </row>
        <row r="301">
          <cell r="AG301">
            <v>34.099999999999994</v>
          </cell>
          <cell r="AI301" t="str">
            <v>20</v>
          </cell>
        </row>
        <row r="302">
          <cell r="AG302">
            <v>37</v>
          </cell>
          <cell r="AI302" t="str">
            <v>21</v>
          </cell>
        </row>
        <row r="303">
          <cell r="AG303">
            <v>39.800000000000011</v>
          </cell>
          <cell r="AI303" t="str">
            <v>22</v>
          </cell>
        </row>
        <row r="304">
          <cell r="AG304">
            <v>42.699999999999989</v>
          </cell>
          <cell r="AI304" t="str">
            <v>23</v>
          </cell>
        </row>
        <row r="305">
          <cell r="AG305">
            <v>45.599999999999994</v>
          </cell>
          <cell r="AI305" t="str">
            <v>24</v>
          </cell>
        </row>
        <row r="306">
          <cell r="AG306">
            <v>48.400000000000006</v>
          </cell>
          <cell r="AI306" t="str">
            <v>25</v>
          </cell>
        </row>
        <row r="307">
          <cell r="AG307">
            <v>51.199999999999989</v>
          </cell>
          <cell r="AI307" t="str">
            <v>26</v>
          </cell>
        </row>
        <row r="308">
          <cell r="AG308">
            <v>54.099999999999994</v>
          </cell>
          <cell r="AI308" t="str">
            <v>27</v>
          </cell>
        </row>
        <row r="309">
          <cell r="AG309">
            <v>56.900000000000006</v>
          </cell>
          <cell r="AI309" t="str">
            <v>28</v>
          </cell>
        </row>
        <row r="310">
          <cell r="AG310">
            <v>59.699999999999989</v>
          </cell>
          <cell r="AI310" t="str">
            <v>29</v>
          </cell>
        </row>
        <row r="311">
          <cell r="AG311">
            <v>62.5</v>
          </cell>
          <cell r="AI311" t="str">
            <v>30</v>
          </cell>
        </row>
        <row r="312">
          <cell r="AG312">
            <v>65.300000000000011</v>
          </cell>
          <cell r="AI312" t="str">
            <v>31</v>
          </cell>
        </row>
        <row r="313">
          <cell r="AG313">
            <v>68.099999999999994</v>
          </cell>
          <cell r="AI313" t="str">
            <v>32</v>
          </cell>
        </row>
        <row r="314">
          <cell r="AG314">
            <v>70.900000000000006</v>
          </cell>
          <cell r="AI314" t="str">
            <v>33</v>
          </cell>
        </row>
        <row r="315">
          <cell r="AG315">
            <v>73.699999999999989</v>
          </cell>
          <cell r="AI315" t="str">
            <v>34</v>
          </cell>
        </row>
        <row r="316">
          <cell r="AG316">
            <v>76.5</v>
          </cell>
          <cell r="AI316" t="str">
            <v>35</v>
          </cell>
        </row>
        <row r="317">
          <cell r="AG317">
            <v>79.300000000000011</v>
          </cell>
          <cell r="AI317" t="str">
            <v>36</v>
          </cell>
        </row>
        <row r="318">
          <cell r="AG318">
            <v>82.1</v>
          </cell>
          <cell r="AI318" t="str">
            <v>37</v>
          </cell>
        </row>
        <row r="319">
          <cell r="AG319">
            <v>84.9</v>
          </cell>
          <cell r="AI319" t="str">
            <v>38</v>
          </cell>
        </row>
        <row r="320">
          <cell r="AG320">
            <v>86.1</v>
          </cell>
          <cell r="AI320" t="str">
            <v>39</v>
          </cell>
        </row>
        <row r="321">
          <cell r="AG321">
            <v>86.1</v>
          </cell>
          <cell r="AI321" t="str">
            <v>40</v>
          </cell>
        </row>
        <row r="322">
          <cell r="AG322">
            <v>86.1</v>
          </cell>
          <cell r="AI322" t="str">
            <v>41</v>
          </cell>
        </row>
        <row r="323">
          <cell r="AG323">
            <v>86.1</v>
          </cell>
          <cell r="AI323" t="str">
            <v>42</v>
          </cell>
        </row>
        <row r="324">
          <cell r="AG324">
            <v>86.1</v>
          </cell>
          <cell r="AI324" t="str">
            <v>43</v>
          </cell>
        </row>
        <row r="325">
          <cell r="AG325">
            <v>86.1</v>
          </cell>
          <cell r="AI325" t="str">
            <v>44</v>
          </cell>
        </row>
        <row r="326">
          <cell r="AG326">
            <v>86.1</v>
          </cell>
          <cell r="AI326" t="str">
            <v>45</v>
          </cell>
        </row>
        <row r="327">
          <cell r="AG327">
            <v>90</v>
          </cell>
          <cell r="AI327" t="str">
            <v>99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F34" sqref="F34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022" t="s">
        <v>77</v>
      </c>
      <c r="D1" s="1022"/>
      <c r="E1" s="1022"/>
      <c r="F1" s="1022"/>
      <c r="G1" s="1022"/>
      <c r="H1" s="1022"/>
      <c r="I1" s="1022"/>
      <c r="J1" s="1022"/>
      <c r="K1" s="1022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9" t="s">
        <v>80</v>
      </c>
      <c r="B6" s="100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8" t="s">
        <v>370</v>
      </c>
      <c r="AQ7" s="1008"/>
      <c r="AR7" s="1008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014">
        <v>9</v>
      </c>
      <c r="D9" s="984"/>
      <c r="E9" s="984"/>
      <c r="F9" s="984"/>
      <c r="G9" s="984"/>
      <c r="H9" s="984"/>
      <c r="I9" s="984"/>
      <c r="J9" s="984"/>
      <c r="K9" s="1015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03"/>
      <c r="C10" s="1004"/>
      <c r="D10" s="1004"/>
      <c r="E10" s="1004"/>
      <c r="F10" s="1004"/>
      <c r="G10" s="1004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020"/>
      <c r="B11" s="1010" t="s">
        <v>33</v>
      </c>
      <c r="C11" s="1019" t="s">
        <v>34</v>
      </c>
      <c r="D11" s="1019"/>
      <c r="E11" s="1016" t="s">
        <v>39</v>
      </c>
      <c r="F11" s="1010" t="s">
        <v>35</v>
      </c>
      <c r="G11" s="1010" t="s">
        <v>36</v>
      </c>
      <c r="H11" s="1010" t="s">
        <v>43</v>
      </c>
      <c r="I11" s="1017" t="s">
        <v>67</v>
      </c>
      <c r="J11" s="1019" t="s">
        <v>56</v>
      </c>
      <c r="K11" s="1019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83" t="s">
        <v>338</v>
      </c>
      <c r="AN11" s="984"/>
      <c r="AO11" s="984"/>
      <c r="AP11" s="984"/>
      <c r="AQ11" s="984"/>
      <c r="AR11" s="985"/>
      <c r="AS11" s="994" t="s">
        <v>345</v>
      </c>
      <c r="AT11" s="995"/>
      <c r="AU11" s="995"/>
      <c r="AV11" s="996"/>
      <c r="BC11" s="419"/>
    </row>
    <row r="12" spans="1:55" ht="15.75" thickBot="1" x14ac:dyDescent="0.3">
      <c r="A12" s="1021"/>
      <c r="B12" s="1011"/>
      <c r="C12" s="48" t="s">
        <v>8</v>
      </c>
      <c r="D12" s="49" t="s">
        <v>10</v>
      </c>
      <c r="E12" s="1011"/>
      <c r="F12" s="1011"/>
      <c r="G12" s="1011"/>
      <c r="H12" s="1011"/>
      <c r="I12" s="1018"/>
      <c r="J12" s="52" t="s">
        <v>8</v>
      </c>
      <c r="K12" s="53" t="s">
        <v>10</v>
      </c>
      <c r="M12" s="31"/>
      <c r="N12" s="31"/>
      <c r="O12" s="1031" t="s">
        <v>46</v>
      </c>
      <c r="P12" s="1032"/>
      <c r="Q12" s="1012" t="s">
        <v>45</v>
      </c>
      <c r="R12" s="1013"/>
      <c r="S12" s="1013"/>
      <c r="T12" s="1013"/>
      <c r="U12" s="1013"/>
      <c r="V12" s="1013"/>
      <c r="W12" s="1013"/>
      <c r="X12" s="1013"/>
      <c r="Y12" s="1013"/>
      <c r="Z12" s="1013"/>
      <c r="AA12" s="1013"/>
      <c r="AB12" s="1013"/>
      <c r="AC12" s="1013"/>
      <c r="AD12" s="1013"/>
      <c r="AE12" s="1014"/>
      <c r="AF12" s="1025" t="s">
        <v>56</v>
      </c>
      <c r="AG12" s="1026"/>
      <c r="AH12" s="31"/>
      <c r="AK12" s="989" t="s">
        <v>346</v>
      </c>
      <c r="AL12" s="1005"/>
      <c r="AM12" s="986" t="s">
        <v>343</v>
      </c>
      <c r="AN12" s="987"/>
      <c r="AO12" s="988"/>
      <c r="AP12" s="989" t="s">
        <v>371</v>
      </c>
      <c r="AQ12" s="988"/>
      <c r="AR12" s="743" t="s">
        <v>369</v>
      </c>
      <c r="AS12" s="991" t="s">
        <v>343</v>
      </c>
      <c r="AT12" s="988"/>
      <c r="AU12" s="992" t="s">
        <v>344</v>
      </c>
      <c r="AV12" s="993"/>
      <c r="AW12" s="997" t="s">
        <v>342</v>
      </c>
      <c r="AX12" s="998"/>
      <c r="AZ12" s="989" t="s">
        <v>60</v>
      </c>
      <c r="BA12" s="988"/>
      <c r="BC12" s="990" t="s">
        <v>374</v>
      </c>
    </row>
    <row r="13" spans="1:55" ht="15.75" thickBot="1" x14ac:dyDescent="0.3">
      <c r="A13" s="63" t="s">
        <v>57</v>
      </c>
      <c r="B13" s="999" t="s">
        <v>97</v>
      </c>
      <c r="C13" s="1001" t="str">
        <f>SUBSTITUTE(ADDRESS(1,COLUMN(Assy.Model!X9),4),"1","")</f>
        <v>X</v>
      </c>
      <c r="D13" s="97" t="str">
        <f>SUBSTITUTE(ADDRESS(1,COLUMN(Assy.Model!Y9),4),"1","")</f>
        <v>Y</v>
      </c>
      <c r="E13" s="1006" t="str">
        <f>SUBSTITUTE(ADDRESS(1,COLUMN(Assy.Model!H9),4),"1","")</f>
        <v>H</v>
      </c>
      <c r="F13" s="1006" t="str">
        <f>SUBSTITUTE(ADDRESS(1,COLUMN(Assy.Model!AN9),4),"1","")</f>
        <v>AN</v>
      </c>
      <c r="G13" s="1006" t="str">
        <f>SUBSTITUTE(ADDRESS(1,COLUMN(Assy.Model!AO9),4),"1","")</f>
        <v>AO</v>
      </c>
      <c r="H13" s="1006" t="str">
        <f>SUBSTITUTE(ADDRESS(1,COLUMN(Assy.Model!AO9),4),"1","")</f>
        <v>AO</v>
      </c>
      <c r="I13" s="1006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033"/>
      <c r="P13" s="1034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990"/>
    </row>
    <row r="14" spans="1:55" x14ac:dyDescent="0.25">
      <c r="A14" s="61" t="s">
        <v>58</v>
      </c>
      <c r="B14" s="1000"/>
      <c r="C14" s="1002"/>
      <c r="D14" s="98" t="str">
        <f>SUBSTITUTE(ADDRESS(1,COLUMN(Assy.Model!AT9),4),"1","")</f>
        <v>AT</v>
      </c>
      <c r="E14" s="1007"/>
      <c r="F14" s="1007"/>
      <c r="G14" s="1007"/>
      <c r="H14" s="1007"/>
      <c r="I14" s="1007"/>
      <c r="J14" s="87">
        <v>0</v>
      </c>
      <c r="K14" s="88">
        <v>0</v>
      </c>
      <c r="L14" s="31"/>
      <c r="M14" s="185">
        <v>6.25E-2</v>
      </c>
      <c r="N14" s="31">
        <v>32</v>
      </c>
      <c r="O14" s="1029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029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029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029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029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14.75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029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030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014" t="s">
        <v>64</v>
      </c>
      <c r="C21" s="984"/>
      <c r="D21" s="984"/>
      <c r="E21" s="984"/>
      <c r="F21" s="1015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020"/>
      <c r="C22" s="1014" t="s">
        <v>63</v>
      </c>
      <c r="D22" s="1015"/>
      <c r="E22" s="1017" t="s">
        <v>60</v>
      </c>
      <c r="F22" s="1017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035"/>
      <c r="C23" s="56" t="s">
        <v>8</v>
      </c>
      <c r="D23" s="56" t="s">
        <v>9</v>
      </c>
      <c r="E23" s="1018"/>
      <c r="F23" s="1018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027">
        <v>0</v>
      </c>
      <c r="E24" s="1027">
        <v>2</v>
      </c>
      <c r="F24" s="1027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7.375</v>
      </c>
      <c r="D25" s="1028"/>
      <c r="E25" s="1028"/>
      <c r="F25" s="1028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023" t="s">
        <v>302</v>
      </c>
      <c r="C27" s="1023"/>
      <c r="D27" s="1023"/>
      <c r="E27" s="1023"/>
      <c r="F27" s="1023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24" t="s">
        <v>423</v>
      </c>
      <c r="C28" s="1024"/>
      <c r="D28" s="1024"/>
      <c r="E28" s="1024"/>
      <c r="F28" s="1024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4" t="s">
        <v>95</v>
      </c>
      <c r="D3" s="984"/>
      <c r="E3" s="984"/>
      <c r="F3" s="984"/>
      <c r="G3" s="984"/>
      <c r="H3" s="984"/>
      <c r="I3" s="984"/>
      <c r="J3" s="984"/>
      <c r="K3" s="985"/>
      <c r="L3" s="1041"/>
      <c r="M3" s="984"/>
      <c r="N3" s="984"/>
      <c r="O3" s="984"/>
      <c r="P3" s="984"/>
      <c r="Q3" s="984"/>
      <c r="R3" s="1015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3" t="s">
        <v>86</v>
      </c>
      <c r="C4" s="1080" t="s">
        <v>82</v>
      </c>
      <c r="D4" s="984" t="s">
        <v>83</v>
      </c>
      <c r="E4" s="984"/>
      <c r="F4" s="984"/>
      <c r="G4" s="984"/>
      <c r="H4" s="984"/>
      <c r="I4" s="984"/>
      <c r="J4" s="984"/>
      <c r="K4" s="984"/>
      <c r="L4" s="146" t="s">
        <v>91</v>
      </c>
      <c r="M4" s="1014" t="s">
        <v>94</v>
      </c>
      <c r="N4" s="984"/>
      <c r="O4" s="984"/>
      <c r="P4" s="985"/>
      <c r="Q4" s="984" t="s">
        <v>52</v>
      </c>
      <c r="R4" s="1015"/>
      <c r="S4" s="103"/>
      <c r="T4" s="1014">
        <v>350</v>
      </c>
      <c r="U4" s="984"/>
      <c r="V4" s="984" t="s">
        <v>76</v>
      </c>
      <c r="W4" s="984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64"/>
      <c r="C5" s="1081"/>
      <c r="D5" s="1069" t="s">
        <v>85</v>
      </c>
      <c r="E5" s="1083" t="s">
        <v>89</v>
      </c>
      <c r="F5" s="1019" t="s">
        <v>34</v>
      </c>
      <c r="G5" s="1019"/>
      <c r="H5" s="1016" t="s">
        <v>39</v>
      </c>
      <c r="I5" s="1010" t="s">
        <v>35</v>
      </c>
      <c r="J5" s="1010" t="s">
        <v>36</v>
      </c>
      <c r="K5" s="1053" t="s">
        <v>67</v>
      </c>
      <c r="L5" s="147" t="s">
        <v>92</v>
      </c>
      <c r="M5" s="1017" t="s">
        <v>90</v>
      </c>
      <c r="N5" s="1017" t="s">
        <v>47</v>
      </c>
      <c r="O5" s="1036" t="s">
        <v>84</v>
      </c>
      <c r="P5" s="1037"/>
      <c r="Q5" s="1038" t="s">
        <v>84</v>
      </c>
      <c r="R5" s="1039"/>
      <c r="S5" s="103"/>
      <c r="T5" s="1031" t="s">
        <v>46</v>
      </c>
      <c r="U5" s="1042"/>
      <c r="V5" s="998" t="s">
        <v>45</v>
      </c>
      <c r="W5" s="1026"/>
      <c r="X5" s="1026"/>
      <c r="Y5" s="1026"/>
      <c r="Z5" s="1026"/>
      <c r="AA5" s="1026"/>
      <c r="AB5" s="1026"/>
      <c r="AC5" s="1026"/>
      <c r="AD5" s="1026"/>
      <c r="AE5" s="1026"/>
      <c r="AF5" s="1026"/>
      <c r="AG5" s="1026"/>
      <c r="AH5" s="1026"/>
      <c r="AI5" s="1026"/>
      <c r="AJ5" s="1026"/>
      <c r="AK5" s="31"/>
      <c r="AL5" s="31"/>
    </row>
    <row r="6" spans="2:38" ht="15" customHeight="1" thickBot="1" x14ac:dyDescent="0.3">
      <c r="B6" s="1065"/>
      <c r="C6" s="1082"/>
      <c r="D6" s="1070"/>
      <c r="E6" s="1084"/>
      <c r="F6" s="104" t="s">
        <v>8</v>
      </c>
      <c r="G6" s="105" t="s">
        <v>10</v>
      </c>
      <c r="H6" s="1054"/>
      <c r="I6" s="1054"/>
      <c r="J6" s="1054"/>
      <c r="K6" s="1043"/>
      <c r="L6" s="148" t="s">
        <v>93</v>
      </c>
      <c r="M6" s="1040"/>
      <c r="N6" s="1040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43"/>
      <c r="U6" s="1044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71">
        <f>ROW(Assy.Model!B9)</f>
        <v>9</v>
      </c>
      <c r="D7" s="1060" t="str">
        <f>SUBSTITUTE(ADDRESS(1,COLUMN(Assy.Model!B9),4),"1","")</f>
        <v>B</v>
      </c>
      <c r="E7" s="1074" t="str">
        <f>SUBSTITUTE(ADDRESS(1,COLUMN(Assy.Model!M9),4),"1","")</f>
        <v>M</v>
      </c>
      <c r="F7" s="1077" t="str">
        <f>SUBSTITUTE(ADDRESS(1,COLUMN(Assy.Model!X9),4),"1","")</f>
        <v>X</v>
      </c>
      <c r="G7" s="1066" t="str">
        <f>SUBSTITUTE(ADDRESS(1,COLUMN(Assy.Model!AT9),4),"1","")</f>
        <v>AT</v>
      </c>
      <c r="H7" s="1045" t="str">
        <f>SUBSTITUTE(ADDRESS(1,COLUMN(Assy.Model!H9),4),"1","")</f>
        <v>H</v>
      </c>
      <c r="I7" s="1045" t="str">
        <f>SUBSTITUTE(ADDRESS(1,COLUMN(Assy.Model!AN9),4),"1","")</f>
        <v>AN</v>
      </c>
      <c r="J7" s="1045" t="str">
        <f>SUBSTITUTE(ADDRESS(1,COLUMN(Assy.Model!AO9),4),"1","")</f>
        <v>AO</v>
      </c>
      <c r="K7" s="1048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57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55" t="s">
        <v>81</v>
      </c>
      <c r="C8" s="1072"/>
      <c r="D8" s="1061"/>
      <c r="E8" s="1075"/>
      <c r="F8" s="1078"/>
      <c r="G8" s="1067"/>
      <c r="H8" s="1046"/>
      <c r="I8" s="1046"/>
      <c r="J8" s="1046"/>
      <c r="K8" s="1049"/>
      <c r="L8" s="149" t="s">
        <v>93</v>
      </c>
      <c r="M8" s="1051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58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55"/>
      <c r="C9" s="1072"/>
      <c r="D9" s="1061"/>
      <c r="E9" s="1075"/>
      <c r="F9" s="1078"/>
      <c r="G9" s="1067"/>
      <c r="H9" s="1046"/>
      <c r="I9" s="1046"/>
      <c r="J9" s="1046"/>
      <c r="K9" s="1049"/>
      <c r="L9" s="149" t="s">
        <v>92</v>
      </c>
      <c r="M9" s="1051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58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55"/>
      <c r="C10" s="1072"/>
      <c r="D10" s="1061"/>
      <c r="E10" s="1075"/>
      <c r="F10" s="1078"/>
      <c r="G10" s="1067"/>
      <c r="H10" s="1046"/>
      <c r="I10" s="1046"/>
      <c r="J10" s="1046"/>
      <c r="K10" s="1049"/>
      <c r="L10" s="149" t="s">
        <v>92</v>
      </c>
      <c r="M10" s="1051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58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55"/>
      <c r="C11" s="1072"/>
      <c r="D11" s="1061"/>
      <c r="E11" s="1075"/>
      <c r="F11" s="1078"/>
      <c r="G11" s="1067"/>
      <c r="H11" s="1046"/>
      <c r="I11" s="1046"/>
      <c r="J11" s="1046"/>
      <c r="K11" s="1049"/>
      <c r="L11" s="149" t="s">
        <v>92</v>
      </c>
      <c r="M11" s="1051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58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55"/>
      <c r="C12" s="1072"/>
      <c r="D12" s="1061"/>
      <c r="E12" s="1075"/>
      <c r="F12" s="1078"/>
      <c r="G12" s="1067"/>
      <c r="H12" s="1046"/>
      <c r="I12" s="1046"/>
      <c r="J12" s="1046"/>
      <c r="K12" s="1049"/>
      <c r="L12" s="149" t="s">
        <v>92</v>
      </c>
      <c r="M12" s="1051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58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55"/>
      <c r="C13" s="1072"/>
      <c r="D13" s="1061"/>
      <c r="E13" s="1075"/>
      <c r="F13" s="1078"/>
      <c r="G13" s="1067"/>
      <c r="H13" s="1046"/>
      <c r="I13" s="1046"/>
      <c r="J13" s="1046"/>
      <c r="K13" s="1049"/>
      <c r="L13" s="149" t="s">
        <v>92</v>
      </c>
      <c r="M13" s="1051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58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56"/>
      <c r="C14" s="1073"/>
      <c r="D14" s="1062"/>
      <c r="E14" s="1076"/>
      <c r="F14" s="1079"/>
      <c r="G14" s="1068"/>
      <c r="H14" s="1047"/>
      <c r="I14" s="1047"/>
      <c r="J14" s="1047"/>
      <c r="K14" s="1050"/>
      <c r="L14" s="150" t="s">
        <v>93</v>
      </c>
      <c r="M14" s="1052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59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271" t="str">
        <f>CONCATENATE(Settings!$C$19," ",Settings!$B$28)</f>
        <v>14.75 6135r00</v>
      </c>
      <c r="D1" s="1271"/>
      <c r="E1" s="1271"/>
      <c r="F1" s="1271"/>
      <c r="G1" s="1271"/>
      <c r="H1" s="1271"/>
      <c r="I1" s="1271"/>
      <c r="J1" s="1271"/>
      <c r="K1" s="1271"/>
      <c r="L1" s="709"/>
      <c r="M1" s="141">
        <f>LARGE(M9:M150,1)</f>
        <v>6.2359999999999998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-5.8500583043610277E-2</v>
      </c>
      <c r="W1" s="162">
        <f>360-W14</f>
        <v>5.8500583043610277E-2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279" t="s">
        <v>306</v>
      </c>
      <c r="C2" s="1280"/>
      <c r="D2" s="1280"/>
      <c r="E2" s="1280"/>
      <c r="F2" s="1280"/>
      <c r="G2" s="1280"/>
      <c r="H2" s="1280"/>
      <c r="I2" s="1280"/>
      <c r="J2" s="1280"/>
      <c r="K2" s="1281"/>
      <c r="L2" s="1155" t="str" cm="1">
        <f t="array" ref="L2">IF(OR($K$9:$K$150="Undefined"),"Undefined Element","")</f>
        <v/>
      </c>
      <c r="M2" s="1290" t="s">
        <v>0</v>
      </c>
      <c r="N2" s="1249" t="s">
        <v>1</v>
      </c>
      <c r="O2" s="1250"/>
      <c r="P2" s="1250"/>
      <c r="Q2" s="1250"/>
      <c r="R2" s="1250"/>
      <c r="S2" s="1250"/>
      <c r="T2" s="1250"/>
      <c r="U2" s="1250"/>
      <c r="V2" s="1250"/>
      <c r="W2" s="1250"/>
      <c r="X2" s="1250"/>
      <c r="Y2" s="1324"/>
      <c r="Z2" s="1249" t="s">
        <v>2</v>
      </c>
      <c r="AA2" s="1250"/>
      <c r="AB2" s="1250"/>
      <c r="AC2" s="1250"/>
      <c r="AD2" s="1250"/>
      <c r="AE2" s="1250"/>
      <c r="AF2" s="1250"/>
      <c r="AG2" s="1250"/>
      <c r="AH2" s="1250"/>
      <c r="AI2" s="1250"/>
      <c r="AJ2" s="1250"/>
      <c r="AK2" s="1250"/>
      <c r="AL2" s="1250"/>
      <c r="AM2" s="1250"/>
      <c r="AN2" s="1250"/>
      <c r="AO2" s="1250"/>
      <c r="AP2" s="1250"/>
      <c r="AQ2" s="1251"/>
      <c r="AS2" s="1330" t="s">
        <v>44</v>
      </c>
      <c r="AT2" s="1331"/>
      <c r="AV2" s="1322" t="s">
        <v>0</v>
      </c>
      <c r="AW2" s="1249" t="s">
        <v>109</v>
      </c>
      <c r="AX2" s="1250"/>
      <c r="AY2" s="1250"/>
      <c r="AZ2" s="1250"/>
      <c r="BA2" s="1250"/>
      <c r="BB2" s="1250"/>
      <c r="BC2" s="1250"/>
      <c r="BD2" s="1250"/>
      <c r="BE2" s="1251"/>
      <c r="BF2" s="1352" t="s">
        <v>115</v>
      </c>
      <c r="BG2" s="1250"/>
      <c r="BH2" s="1250"/>
      <c r="BI2" s="1250"/>
      <c r="BJ2" s="1250"/>
      <c r="BK2" s="1250"/>
      <c r="BL2" s="1250"/>
      <c r="BM2" s="1250"/>
      <c r="BN2" s="1250"/>
      <c r="BO2" s="1250"/>
      <c r="BP2" s="1250"/>
      <c r="BQ2" s="1250"/>
      <c r="BR2" s="1250"/>
      <c r="BS2" s="1250"/>
      <c r="BT2" s="1250"/>
      <c r="BU2" s="1250"/>
      <c r="BV2" s="1250"/>
      <c r="BW2" s="1250"/>
      <c r="BX2" s="1250"/>
      <c r="BY2" s="1250"/>
      <c r="BZ2" s="1250"/>
      <c r="CA2" s="1250"/>
      <c r="CB2" s="1250"/>
      <c r="CC2" s="1250"/>
      <c r="CD2" s="1250"/>
      <c r="CE2" s="1250"/>
      <c r="CF2" s="1250"/>
      <c r="CG2" s="1250"/>
      <c r="CH2" s="1250"/>
      <c r="CI2" s="1250"/>
      <c r="CJ2" s="1250"/>
      <c r="CK2" s="1250"/>
      <c r="CL2" s="1250"/>
      <c r="CM2" s="1250"/>
      <c r="CN2" s="1250"/>
      <c r="CO2" s="1250"/>
      <c r="CP2" s="1250"/>
      <c r="CQ2" s="1250"/>
      <c r="CR2" s="1250"/>
      <c r="CS2" s="1250"/>
      <c r="CT2" s="1250"/>
      <c r="CU2" s="1250"/>
      <c r="CV2" s="1250"/>
      <c r="CW2" s="1250"/>
      <c r="CX2" s="1250"/>
      <c r="CY2" s="1250"/>
      <c r="CZ2" s="1250"/>
      <c r="DA2" s="1250"/>
      <c r="DB2" s="1250"/>
      <c r="DC2" s="1250"/>
      <c r="DD2" s="1250"/>
      <c r="DE2" s="1250"/>
      <c r="DF2" s="1250"/>
      <c r="DG2" s="1250"/>
      <c r="DH2" s="1250"/>
      <c r="DI2" s="1250"/>
      <c r="DJ2" s="1250"/>
      <c r="DK2" s="1250"/>
      <c r="DL2" s="1250"/>
      <c r="DM2" s="1250"/>
      <c r="DN2" s="1250"/>
      <c r="DO2" s="1250"/>
      <c r="DP2" s="1250"/>
      <c r="DQ2" s="1250"/>
      <c r="DR2" s="1250"/>
      <c r="DS2" s="1250"/>
      <c r="DT2" s="1250"/>
      <c r="DU2" s="1250"/>
      <c r="DV2" s="1250"/>
      <c r="DW2" s="1250"/>
      <c r="DX2" s="1250"/>
      <c r="DY2" s="1250"/>
      <c r="DZ2" s="1250"/>
      <c r="EA2" s="1250"/>
      <c r="EB2" s="1250"/>
      <c r="EC2" s="1250"/>
      <c r="ED2" s="1250"/>
      <c r="EE2" s="1250"/>
      <c r="EF2" s="1250"/>
      <c r="EG2" s="1250"/>
      <c r="EH2" s="1250"/>
      <c r="EI2" s="1250"/>
      <c r="EJ2" s="1250"/>
      <c r="EK2" s="1250"/>
      <c r="EL2" s="1250"/>
      <c r="EM2" s="1250"/>
      <c r="EN2" s="1250"/>
      <c r="EO2" s="1250"/>
      <c r="EP2" s="1250"/>
      <c r="EQ2" s="1250"/>
      <c r="ER2" s="1324"/>
      <c r="ES2" s="1130" t="s">
        <v>196</v>
      </c>
      <c r="ET2" s="1131"/>
      <c r="EU2" s="1131"/>
      <c r="EV2" s="1131"/>
      <c r="EW2" s="1131"/>
      <c r="EX2" s="1131"/>
      <c r="EY2" s="1131"/>
      <c r="EZ2" s="1131"/>
      <c r="FA2" s="1131"/>
      <c r="FB2" s="1131"/>
      <c r="FC2" s="1131"/>
      <c r="FD2" s="1131"/>
      <c r="FE2" s="1131"/>
      <c r="FF2" s="1132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0.75549999999999995</v>
      </c>
      <c r="GM2" s="322">
        <f>SUM(GM9:GM150)</f>
        <v>8.7755953226216423</v>
      </c>
      <c r="GR2" s="309" t="e">
        <f>SUM(GR9:GR150)</f>
        <v>#NUM!</v>
      </c>
      <c r="GS2" s="309" t="e">
        <f>SUM(GS9:GS150)</f>
        <v>#NUM!</v>
      </c>
      <c r="GT2" s="309"/>
      <c r="GU2" s="309">
        <f>SUM(GU9:GU150)</f>
        <v>21573.338501444869</v>
      </c>
      <c r="GV2" s="309"/>
      <c r="GW2" s="369">
        <v>29500</v>
      </c>
      <c r="GX2" s="309">
        <f>SUM(GX9:GX150)</f>
        <v>3431.7587229166666</v>
      </c>
      <c r="GY2" s="309" t="e">
        <f>SUM(GY9:GY150)</f>
        <v>#NUM!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096" t="str">
        <f>IFERROR(CONCATENATE("Sum of Lateral Forces = ",ROUND(HE3,0)," lbs @ ",ROUND(HF3,1),"° Relative to Blade 1"),"")</f>
        <v/>
      </c>
      <c r="HX2" s="1096"/>
      <c r="HY2" s="1096"/>
      <c r="HZ2" s="1096"/>
      <c r="IA2" s="1096"/>
      <c r="IB2" s="1096"/>
      <c r="IC2" s="1096"/>
      <c r="ID2" s="1096"/>
      <c r="IE2" s="1096"/>
      <c r="IF2" s="846"/>
      <c r="IN2" s="31"/>
      <c r="IO2" s="323"/>
      <c r="JC2" s="82"/>
      <c r="JD2" s="82"/>
      <c r="JE2" s="82"/>
    </row>
    <row r="3" spans="1:285" ht="15" customHeight="1" x14ac:dyDescent="0.25">
      <c r="B3" s="1282"/>
      <c r="C3" s="1283"/>
      <c r="D3" s="1283"/>
      <c r="E3" s="1283"/>
      <c r="F3" s="1283"/>
      <c r="G3" s="1283"/>
      <c r="H3" s="1283"/>
      <c r="I3" s="1283"/>
      <c r="J3" s="1283"/>
      <c r="K3" s="1284"/>
      <c r="L3" s="1155"/>
      <c r="M3" s="1282"/>
      <c r="N3" s="1325"/>
      <c r="O3" s="1326"/>
      <c r="P3" s="1326"/>
      <c r="Q3" s="1326"/>
      <c r="R3" s="1326"/>
      <c r="S3" s="1326"/>
      <c r="T3" s="1326"/>
      <c r="U3" s="1326"/>
      <c r="V3" s="1326"/>
      <c r="W3" s="1326"/>
      <c r="X3" s="1326"/>
      <c r="Y3" s="1327"/>
      <c r="Z3" s="1325"/>
      <c r="AA3" s="1326"/>
      <c r="AB3" s="1326"/>
      <c r="AC3" s="1326"/>
      <c r="AD3" s="1326"/>
      <c r="AE3" s="1326"/>
      <c r="AF3" s="1326"/>
      <c r="AG3" s="1326"/>
      <c r="AH3" s="1326"/>
      <c r="AI3" s="1326"/>
      <c r="AJ3" s="1326"/>
      <c r="AK3" s="1326"/>
      <c r="AL3" s="1326"/>
      <c r="AM3" s="1326"/>
      <c r="AN3" s="1326"/>
      <c r="AO3" s="1326"/>
      <c r="AP3" s="1326"/>
      <c r="AQ3" s="1346"/>
      <c r="AS3" s="415">
        <v>100</v>
      </c>
      <c r="AT3" s="412" t="s">
        <v>45</v>
      </c>
      <c r="AV3" s="1323"/>
      <c r="AW3" s="1133"/>
      <c r="AX3" s="1134"/>
      <c r="AY3" s="1134"/>
      <c r="AZ3" s="1134"/>
      <c r="BA3" s="1134"/>
      <c r="BB3" s="1134"/>
      <c r="BC3" s="1134"/>
      <c r="BD3" s="1134"/>
      <c r="BE3" s="1252"/>
      <c r="BF3" s="1353"/>
      <c r="BG3" s="1134"/>
      <c r="BH3" s="1134"/>
      <c r="BI3" s="1134"/>
      <c r="BJ3" s="1134"/>
      <c r="BK3" s="1134"/>
      <c r="BL3" s="1134"/>
      <c r="BM3" s="1134"/>
      <c r="BN3" s="1134"/>
      <c r="BO3" s="1134"/>
      <c r="BP3" s="1134"/>
      <c r="BQ3" s="1134"/>
      <c r="BR3" s="1134"/>
      <c r="BS3" s="1134"/>
      <c r="BT3" s="1134"/>
      <c r="BU3" s="1134"/>
      <c r="BV3" s="1134"/>
      <c r="BW3" s="1134"/>
      <c r="BX3" s="1134"/>
      <c r="BY3" s="1134"/>
      <c r="BZ3" s="1134"/>
      <c r="CA3" s="1134"/>
      <c r="CB3" s="1134"/>
      <c r="CC3" s="1134"/>
      <c r="CD3" s="1134"/>
      <c r="CE3" s="1134"/>
      <c r="CF3" s="1134"/>
      <c r="CG3" s="1134"/>
      <c r="CH3" s="1134"/>
      <c r="CI3" s="1134"/>
      <c r="CJ3" s="1134"/>
      <c r="CK3" s="1134"/>
      <c r="CL3" s="1134"/>
      <c r="CM3" s="1134"/>
      <c r="CN3" s="1134"/>
      <c r="CO3" s="1134"/>
      <c r="CP3" s="1134"/>
      <c r="CQ3" s="1134"/>
      <c r="CR3" s="1134"/>
      <c r="CS3" s="1134"/>
      <c r="CT3" s="1134"/>
      <c r="CU3" s="1134"/>
      <c r="CV3" s="1134"/>
      <c r="CW3" s="1134"/>
      <c r="CX3" s="1134"/>
      <c r="CY3" s="1134"/>
      <c r="CZ3" s="1134"/>
      <c r="DA3" s="1134"/>
      <c r="DB3" s="1134"/>
      <c r="DC3" s="1134"/>
      <c r="DD3" s="1134"/>
      <c r="DE3" s="1134"/>
      <c r="DF3" s="1134"/>
      <c r="DG3" s="1134"/>
      <c r="DH3" s="1134"/>
      <c r="DI3" s="1134"/>
      <c r="DJ3" s="1134"/>
      <c r="DK3" s="1134"/>
      <c r="DL3" s="1134"/>
      <c r="DM3" s="1134"/>
      <c r="DN3" s="1134"/>
      <c r="DO3" s="1134"/>
      <c r="DP3" s="1134"/>
      <c r="DQ3" s="1134"/>
      <c r="DR3" s="1134"/>
      <c r="DS3" s="1134"/>
      <c r="DT3" s="1134"/>
      <c r="DU3" s="1134"/>
      <c r="DV3" s="1134"/>
      <c r="DW3" s="1134"/>
      <c r="DX3" s="1134"/>
      <c r="DY3" s="1134"/>
      <c r="DZ3" s="1134"/>
      <c r="EA3" s="1134"/>
      <c r="EB3" s="1134"/>
      <c r="EC3" s="1134"/>
      <c r="ED3" s="1134"/>
      <c r="EE3" s="1134"/>
      <c r="EF3" s="1134"/>
      <c r="EG3" s="1134"/>
      <c r="EH3" s="1134"/>
      <c r="EI3" s="1134"/>
      <c r="EJ3" s="1134"/>
      <c r="EK3" s="1134"/>
      <c r="EL3" s="1134"/>
      <c r="EM3" s="1134"/>
      <c r="EN3" s="1134"/>
      <c r="EO3" s="1134"/>
      <c r="EP3" s="1134"/>
      <c r="EQ3" s="1134"/>
      <c r="ER3" s="1135"/>
      <c r="ES3" s="1133"/>
      <c r="ET3" s="1134"/>
      <c r="EU3" s="1134"/>
      <c r="EV3" s="1134"/>
      <c r="EW3" s="1134"/>
      <c r="EX3" s="1134"/>
      <c r="EY3" s="1134"/>
      <c r="EZ3" s="1134"/>
      <c r="FA3" s="1134"/>
      <c r="FB3" s="1134"/>
      <c r="FC3" s="1134"/>
      <c r="FD3" s="1134"/>
      <c r="FE3" s="1134"/>
      <c r="FF3" s="1135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#NUM!</v>
      </c>
      <c r="HF3" s="162" t="str">
        <f>IFERROR(IF((DEGREES(ATAN2(HG3,HH3)))&lt;0,(360+(DEGREES(ATAN2(HG3,HH3)))),(DEGREES(ATAN2(HG3,HH3)))),"")</f>
        <v/>
      </c>
      <c r="HG3" s="309" t="e">
        <f>HC8+HG8</f>
        <v>#NUM!</v>
      </c>
      <c r="HH3" s="309" t="e">
        <f>HD8+HH8</f>
        <v>#NUM!</v>
      </c>
      <c r="HI3" s="103"/>
      <c r="HJ3" s="31"/>
      <c r="HX3" s="968">
        <f>($HX$6*$AS$3)/5252.113112</f>
        <v>65.34053341455656</v>
      </c>
      <c r="HZ3" s="968">
        <f>($HZ$6*$AS$3)/5252.113112</f>
        <v>410.75540532731895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285"/>
      <c r="C4" s="1286"/>
      <c r="D4" s="1286"/>
      <c r="E4" s="1286"/>
      <c r="F4" s="1286"/>
      <c r="G4" s="1286"/>
      <c r="H4" s="1286"/>
      <c r="I4" s="1286"/>
      <c r="J4" s="1286"/>
      <c r="K4" s="1287"/>
      <c r="L4" s="1155"/>
      <c r="M4" s="1282"/>
      <c r="N4" s="1292" t="s">
        <v>3</v>
      </c>
      <c r="O4" s="1289"/>
      <c r="P4" s="1289"/>
      <c r="Q4" s="1288" t="s">
        <v>4</v>
      </c>
      <c r="R4" s="1289"/>
      <c r="S4" s="1307"/>
      <c r="T4" s="1301" t="str">
        <f>N4</f>
        <v>Cartesian Coordinates</v>
      </c>
      <c r="U4" s="1256"/>
      <c r="V4" s="1302"/>
      <c r="W4" s="1256" t="str">
        <f>$Q$4</f>
        <v>Polar XY; Cartesian Z</v>
      </c>
      <c r="X4" s="1256"/>
      <c r="Y4" s="1272"/>
      <c r="Z4" s="1292" t="s">
        <v>3</v>
      </c>
      <c r="AA4" s="1289"/>
      <c r="AB4" s="1289"/>
      <c r="AC4" s="1289"/>
      <c r="AD4" s="1289"/>
      <c r="AE4" s="1289"/>
      <c r="AF4" s="1289"/>
      <c r="AG4" s="1319" t="s">
        <v>31</v>
      </c>
      <c r="AH4" s="1289"/>
      <c r="AI4" s="1289"/>
      <c r="AJ4" s="1307"/>
      <c r="AK4" s="1347" t="s">
        <v>32</v>
      </c>
      <c r="AL4" s="1348"/>
      <c r="AM4" s="1348"/>
      <c r="AN4" s="1348"/>
      <c r="AO4" s="1348"/>
      <c r="AP4" s="1348"/>
      <c r="AQ4" s="1349"/>
      <c r="AS4" s="416">
        <v>125</v>
      </c>
      <c r="AT4" s="413" t="s">
        <v>46</v>
      </c>
      <c r="AV4" s="1323"/>
      <c r="AW4" s="1223" t="s">
        <v>112</v>
      </c>
      <c r="AX4" s="1193"/>
      <c r="AY4" s="1032"/>
      <c r="AZ4" s="1247"/>
      <c r="BA4" s="1248"/>
      <c r="BB4" s="1253" t="s">
        <v>113</v>
      </c>
      <c r="BC4" s="1256" t="str">
        <f>$Q$4</f>
        <v>Polar XY; Cartesian Z</v>
      </c>
      <c r="BD4" s="1256"/>
      <c r="BE4" s="1257"/>
      <c r="BF4" s="1268" t="s">
        <v>129</v>
      </c>
      <c r="BG4" s="1269"/>
      <c r="BH4" s="1269"/>
      <c r="BI4" s="1269"/>
      <c r="BJ4" s="1269"/>
      <c r="BK4" s="1269"/>
      <c r="BL4" s="1269"/>
      <c r="BM4" s="1269"/>
      <c r="BN4" s="1269"/>
      <c r="BO4" s="1269"/>
      <c r="BP4" s="1269"/>
      <c r="BQ4" s="1269"/>
      <c r="BR4" s="1269"/>
      <c r="BS4" s="1269"/>
      <c r="BT4" s="1269"/>
      <c r="BU4" s="1269"/>
      <c r="BV4" s="1269"/>
      <c r="BW4" s="1269"/>
      <c r="BX4" s="1269"/>
      <c r="BY4" s="1269"/>
      <c r="BZ4" s="1269"/>
      <c r="CA4" s="1269"/>
      <c r="CB4" s="1269"/>
      <c r="CC4" s="1269"/>
      <c r="CD4" s="1269"/>
      <c r="CE4" s="1269"/>
      <c r="CF4" s="1269"/>
      <c r="CG4" s="1269"/>
      <c r="CH4" s="1269"/>
      <c r="CI4" s="1269"/>
      <c r="CJ4" s="1269"/>
      <c r="CK4" s="1269"/>
      <c r="CL4" s="1269"/>
      <c r="CM4" s="1269"/>
      <c r="CN4" s="1270"/>
      <c r="CO4" s="1241" t="s">
        <v>192</v>
      </c>
      <c r="CP4" s="1242"/>
      <c r="CQ4" s="1242"/>
      <c r="CR4" s="1242"/>
      <c r="CS4" s="1242"/>
      <c r="CT4" s="1242"/>
      <c r="CU4" s="1242"/>
      <c r="CV4" s="1242"/>
      <c r="CW4" s="1242"/>
      <c r="CX4" s="1242"/>
      <c r="CY4" s="1242"/>
      <c r="CZ4" s="1242"/>
      <c r="DA4" s="1243"/>
      <c r="DB4" s="1127" t="s">
        <v>389</v>
      </c>
      <c r="DC4" s="1128"/>
      <c r="DD4" s="1128"/>
      <c r="DE4" s="1128"/>
      <c r="DF4" s="1128"/>
      <c r="DG4" s="1128"/>
      <c r="DH4" s="1128"/>
      <c r="DI4" s="1128"/>
      <c r="DJ4" s="1128"/>
      <c r="DK4" s="1128"/>
      <c r="DL4" s="1128"/>
      <c r="DM4" s="1128"/>
      <c r="DN4" s="1128"/>
      <c r="DO4" s="1128"/>
      <c r="DP4" s="1128"/>
      <c r="DQ4" s="1128"/>
      <c r="DR4" s="1128"/>
      <c r="DS4" s="1128"/>
      <c r="DT4" s="1128"/>
      <c r="DU4" s="1128"/>
      <c r="DV4" s="1128"/>
      <c r="DW4" s="1128"/>
      <c r="DX4" s="1128"/>
      <c r="DY4" s="1128"/>
      <c r="DZ4" s="1128"/>
      <c r="EA4" s="1128"/>
      <c r="EB4" s="1128"/>
      <c r="EC4" s="1128"/>
      <c r="ED4" s="1128"/>
      <c r="EE4" s="1128"/>
      <c r="EF4" s="1128"/>
      <c r="EG4" s="1128"/>
      <c r="EH4" s="1128"/>
      <c r="EI4" s="1128"/>
      <c r="EJ4" s="1128"/>
      <c r="EK4" s="1128"/>
      <c r="EL4" s="1128"/>
      <c r="EM4" s="1128"/>
      <c r="EN4" s="1128"/>
      <c r="EO4" s="1128"/>
      <c r="EP4" s="1128"/>
      <c r="EQ4" s="1128"/>
      <c r="ER4" s="1129"/>
      <c r="ES4" s="1217" t="s">
        <v>195</v>
      </c>
      <c r="ET4" s="1218"/>
      <c r="EU4" s="1218"/>
      <c r="EV4" s="1218"/>
      <c r="EW4" s="1218"/>
      <c r="EX4" s="1218"/>
      <c r="EY4" s="1219"/>
      <c r="EZ4" s="1227" t="s">
        <v>200</v>
      </c>
      <c r="FA4" s="1228"/>
      <c r="FB4" s="1228"/>
      <c r="FC4" s="1228"/>
      <c r="FD4" s="1228"/>
      <c r="FE4" s="1228"/>
      <c r="FF4" s="1229"/>
      <c r="FG4" s="325"/>
      <c r="FP4" s="1143" t="s">
        <v>228</v>
      </c>
      <c r="FZ4" s="1143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12" t="s">
        <v>235</v>
      </c>
      <c r="GK4" s="1013"/>
      <c r="GL4" s="1013"/>
      <c r="GM4" s="1013"/>
      <c r="GN4" s="1245"/>
      <c r="GO4" s="1185" t="s">
        <v>228</v>
      </c>
      <c r="GP4" s="1189" t="s">
        <v>227</v>
      </c>
      <c r="GR4" s="1161" t="s">
        <v>257</v>
      </c>
      <c r="GS4" s="1041" t="s">
        <v>255</v>
      </c>
      <c r="GT4" s="984"/>
      <c r="GU4" s="984"/>
      <c r="GV4" s="984"/>
      <c r="GW4" s="984"/>
      <c r="GX4" s="984"/>
      <c r="GY4" s="984"/>
      <c r="GZ4" s="984"/>
      <c r="HA4" s="1176" t="str">
        <f>IFERROR(CONCATENATE("Lateral Forces = ",ROUND(HE3,0)," lbs @ ",ROUND(HF3,1),"° Relative to Blade 1"),"")</f>
        <v/>
      </c>
      <c r="HB4" s="1177"/>
      <c r="HC4" s="1177"/>
      <c r="HD4" s="1177"/>
      <c r="HE4" s="1177"/>
      <c r="HF4" s="1177"/>
      <c r="HG4" s="1177"/>
      <c r="HH4" s="1178"/>
      <c r="HI4" s="1179" t="s">
        <v>0</v>
      </c>
      <c r="HV4" s="847"/>
      <c r="HW4" s="1097" t="str">
        <f>CONCATENATE("Yeield Strength of Rock = ",IF(HW6&gt;1000,(ROUNDDOWN(HW6,-3)/1000),""), IF(HW6&gt;1000,",",""),RIGHT(HW6,3)," psi (Tangential Force)")</f>
        <v>Yeield Strength of Rock = 29,500 psi (Tangential Force)</v>
      </c>
      <c r="HX4" s="1097"/>
      <c r="HY4" s="1097"/>
      <c r="HZ4" s="1097"/>
      <c r="IA4" s="1097"/>
      <c r="IB4" s="1097"/>
      <c r="IC4" s="1097"/>
      <c r="ID4" s="1097"/>
      <c r="IE4" s="1097"/>
      <c r="IF4" s="844"/>
      <c r="IG4" s="1009" t="s">
        <v>372</v>
      </c>
      <c r="IH4" s="1009"/>
      <c r="II4" s="710" cm="1">
        <f t="array" ref="II4">MAX(MOD(IF($II$9:$II$150="",0,($II$9:$II$150*1000)),100))</f>
        <v>40</v>
      </c>
      <c r="IN4" s="31"/>
      <c r="IO4" s="710"/>
    </row>
    <row r="5" spans="1:285" ht="15" customHeight="1" thickBot="1" x14ac:dyDescent="0.3">
      <c r="A5" s="139">
        <v>0.02</v>
      </c>
      <c r="B5" s="1273" t="str">
        <f>CONCATENATE(B7," ; ",E7," ; ",H7)</f>
        <v>Absolute-Point ; Incremental-Vector Point ; Pocket Info.</v>
      </c>
      <c r="C5" s="1274"/>
      <c r="D5" s="1274"/>
      <c r="E5" s="1274"/>
      <c r="F5" s="1274"/>
      <c r="G5" s="1274"/>
      <c r="H5" s="1274"/>
      <c r="I5" s="1274"/>
      <c r="J5" s="1274"/>
      <c r="K5" s="1275"/>
      <c r="L5" s="813" t="str" cm="1">
        <f t="array" ref="L5">IF(OR(IF(LEFT($K$9:$K$150,4)="&lt;&gt;CS",TRUE,FALSE)),"Wrong CS","")</f>
        <v/>
      </c>
      <c r="M5" s="1282"/>
      <c r="N5" s="1312" t="s">
        <v>5</v>
      </c>
      <c r="O5" s="1313"/>
      <c r="P5" s="1313"/>
      <c r="Q5" s="1365" t="s">
        <v>6</v>
      </c>
      <c r="R5" s="1313"/>
      <c r="S5" s="1351"/>
      <c r="T5" s="1318" t="str">
        <f>CONCATENATE("Relative to ",M8,"'s θ about Z Axis")</f>
        <v>Relative to 1.11's θ about Z Axis</v>
      </c>
      <c r="U5" s="1263"/>
      <c r="V5" s="1342"/>
      <c r="W5" s="1263" t="str">
        <f>CONCATENATE("Relative to ",M8,"'s θ about Z Axis")</f>
        <v>Relative to 1.11's θ about Z Axis</v>
      </c>
      <c r="X5" s="1263"/>
      <c r="Y5" s="1303"/>
      <c r="Z5" s="1293" t="str">
        <f>N5</f>
        <v>Relative to World_CS</v>
      </c>
      <c r="AA5" s="1263"/>
      <c r="AB5" s="1263"/>
      <c r="AC5" s="1263"/>
      <c r="AD5" s="1263"/>
      <c r="AE5" s="1263"/>
      <c r="AF5" s="1263"/>
      <c r="AG5" s="1318" t="str">
        <f>N5</f>
        <v>Relative to World_CS</v>
      </c>
      <c r="AH5" s="1263"/>
      <c r="AI5" s="1263"/>
      <c r="AJ5" s="1264"/>
      <c r="AK5" s="1350" t="s">
        <v>7</v>
      </c>
      <c r="AL5" s="1313"/>
      <c r="AM5" s="1313"/>
      <c r="AN5" s="1313"/>
      <c r="AO5" s="1313"/>
      <c r="AP5" s="1313"/>
      <c r="AQ5" s="1351"/>
      <c r="AS5" s="167">
        <f>(((AS4*12)/60)/AS3)</f>
        <v>0.25</v>
      </c>
      <c r="AT5" s="413" t="s">
        <v>47</v>
      </c>
      <c r="AV5" s="1323"/>
      <c r="AW5" s="1101"/>
      <c r="AX5" s="1102"/>
      <c r="AY5" s="1267"/>
      <c r="AZ5" s="1200"/>
      <c r="BA5" s="1022"/>
      <c r="BB5" s="1254"/>
      <c r="BC5" s="1262" t="str">
        <f>$W$5</f>
        <v>Relative to 1.11's θ about Z Axis</v>
      </c>
      <c r="BD5" s="1263"/>
      <c r="BE5" s="1264"/>
      <c r="BF5" s="1041" t="s">
        <v>128</v>
      </c>
      <c r="BG5" s="984"/>
      <c r="BH5" s="984"/>
      <c r="BI5" s="984"/>
      <c r="BJ5" s="984"/>
      <c r="BK5" s="984"/>
      <c r="BL5" s="984"/>
      <c r="BM5" s="984"/>
      <c r="BN5" s="984"/>
      <c r="BO5" s="984"/>
      <c r="BP5" s="984"/>
      <c r="BQ5" s="984"/>
      <c r="BR5" s="985"/>
      <c r="BS5" s="1041" t="s">
        <v>130</v>
      </c>
      <c r="BT5" s="984"/>
      <c r="BU5" s="984"/>
      <c r="BV5" s="984"/>
      <c r="BW5" s="984"/>
      <c r="BX5" s="984"/>
      <c r="BY5" s="984"/>
      <c r="BZ5" s="984"/>
      <c r="CA5" s="984"/>
      <c r="CB5" s="984"/>
      <c r="CC5" s="984"/>
      <c r="CD5" s="984"/>
      <c r="CE5" s="985"/>
      <c r="CF5" s="1041" t="s">
        <v>138</v>
      </c>
      <c r="CG5" s="984"/>
      <c r="CH5" s="985"/>
      <c r="CI5" s="1041" t="s">
        <v>139</v>
      </c>
      <c r="CJ5" s="984"/>
      <c r="CK5" s="984"/>
      <c r="CL5" s="984"/>
      <c r="CM5" s="984"/>
      <c r="CN5" s="985"/>
      <c r="CO5" s="1166" t="s">
        <v>266</v>
      </c>
      <c r="CP5" s="1166" t="s">
        <v>149</v>
      </c>
      <c r="CQ5" s="1193"/>
      <c r="CR5" s="1193"/>
      <c r="CS5" s="1042"/>
      <c r="CT5" s="1193" t="s">
        <v>150</v>
      </c>
      <c r="CU5" s="1032"/>
      <c r="CV5" s="1041" t="s">
        <v>161</v>
      </c>
      <c r="CW5" s="984"/>
      <c r="CX5" s="984"/>
      <c r="CY5" s="984"/>
      <c r="CZ5" s="984"/>
      <c r="DA5" s="985"/>
      <c r="DB5" s="1041" t="s">
        <v>162</v>
      </c>
      <c r="DC5" s="984"/>
      <c r="DD5" s="984"/>
      <c r="DE5" s="984"/>
      <c r="DF5" s="984"/>
      <c r="DG5" s="984"/>
      <c r="DH5" s="985"/>
      <c r="DI5" s="1110" t="s">
        <v>172</v>
      </c>
      <c r="DJ5" s="1110"/>
      <c r="DK5" s="1381"/>
      <c r="DL5" s="1109" t="s">
        <v>173</v>
      </c>
      <c r="DM5" s="1110"/>
      <c r="DN5" s="1111"/>
      <c r="DO5" s="1383" t="s">
        <v>174</v>
      </c>
      <c r="DP5" s="1384"/>
      <c r="DQ5" s="1384"/>
      <c r="DR5" s="1165" t="s">
        <v>186</v>
      </c>
      <c r="DS5" s="1165"/>
      <c r="DT5" s="1165"/>
      <c r="DU5" s="1165"/>
      <c r="DV5" s="1165"/>
      <c r="DW5" s="1165"/>
      <c r="DX5" s="1166" t="s">
        <v>189</v>
      </c>
      <c r="DY5" s="1063" t="s">
        <v>149</v>
      </c>
      <c r="DZ5" s="1165"/>
      <c r="EA5" s="1165"/>
      <c r="EB5" s="1165"/>
      <c r="EC5" s="1165" t="s">
        <v>150</v>
      </c>
      <c r="ED5" s="1165"/>
      <c r="EE5" s="1161" t="s">
        <v>193</v>
      </c>
      <c r="EF5" s="1161"/>
      <c r="EG5" s="1162"/>
      <c r="EH5" s="1115" t="s">
        <v>194</v>
      </c>
      <c r="EI5" s="1116"/>
      <c r="EJ5" s="1117"/>
      <c r="EK5" s="1165" t="s">
        <v>187</v>
      </c>
      <c r="EL5" s="1166"/>
      <c r="EM5" s="1041" t="s">
        <v>188</v>
      </c>
      <c r="EN5" s="984"/>
      <c r="EO5" s="984"/>
      <c r="EP5" s="984"/>
      <c r="EQ5" s="984"/>
      <c r="ER5" s="1375"/>
      <c r="ES5" s="1223" t="s">
        <v>201</v>
      </c>
      <c r="ET5" s="1193"/>
      <c r="EU5" s="1042"/>
      <c r="EV5" s="1220" t="s">
        <v>221</v>
      </c>
      <c r="EW5" s="1221"/>
      <c r="EX5" s="1221"/>
      <c r="EY5" s="1222"/>
      <c r="EZ5" s="1145" t="s">
        <v>199</v>
      </c>
      <c r="FA5" s="1036" t="s">
        <v>201</v>
      </c>
      <c r="FB5" s="1138"/>
      <c r="FC5" s="1037"/>
      <c r="FD5" s="1239" t="s">
        <v>221</v>
      </c>
      <c r="FE5" s="1206"/>
      <c r="FF5" s="1207"/>
      <c r="FJ5" s="31" t="s">
        <v>390</v>
      </c>
      <c r="FP5" s="1144"/>
      <c r="FQ5" s="31"/>
      <c r="FR5" s="31"/>
      <c r="FS5" s="31"/>
      <c r="FT5" s="31"/>
      <c r="FZ5" s="1144"/>
      <c r="GJ5" s="1159" t="s">
        <v>262</v>
      </c>
      <c r="GK5" s="1121" t="s">
        <v>260</v>
      </c>
      <c r="GL5" s="1123" t="s">
        <v>110</v>
      </c>
      <c r="GM5" s="1123" t="s">
        <v>111</v>
      </c>
      <c r="GN5" s="1124"/>
      <c r="GO5" s="1186"/>
      <c r="GP5" s="1190"/>
      <c r="GQ5" s="31"/>
      <c r="GR5" s="1155"/>
      <c r="GS5" s="1200" t="s">
        <v>244</v>
      </c>
      <c r="GT5" s="1201"/>
      <c r="GU5" s="1196" t="s">
        <v>245</v>
      </c>
      <c r="GV5" s="1197"/>
      <c r="GW5" s="1198"/>
      <c r="GX5" s="1199"/>
      <c r="GY5" s="1184" t="s">
        <v>107</v>
      </c>
      <c r="GZ5" s="1024"/>
      <c r="HA5" s="1173" t="s">
        <v>244</v>
      </c>
      <c r="HB5" s="1174"/>
      <c r="HC5" s="1174"/>
      <c r="HD5" s="1175"/>
      <c r="HE5" s="1182" t="s">
        <v>245</v>
      </c>
      <c r="HF5" s="1174"/>
      <c r="HG5" s="1174"/>
      <c r="HH5" s="1183"/>
      <c r="HI5" s="1180"/>
      <c r="HM5" s="895"/>
      <c r="HS5" s="895"/>
      <c r="HT5" s="895"/>
      <c r="HU5" s="895"/>
      <c r="HV5" s="896"/>
      <c r="HW5" s="1099" t="s">
        <v>245</v>
      </c>
      <c r="HX5" s="1100"/>
      <c r="HY5" s="1098" t="s">
        <v>388</v>
      </c>
      <c r="HZ5" s="1099"/>
      <c r="IA5" s="1099"/>
      <c r="IB5" s="1100"/>
      <c r="IC5" s="1098" t="s">
        <v>254</v>
      </c>
      <c r="ID5" s="1099"/>
      <c r="IE5" s="1100"/>
      <c r="IF5" s="844"/>
    </row>
    <row r="6" spans="1:285" ht="15" customHeight="1" thickBot="1" x14ac:dyDescent="0.4">
      <c r="B6" s="1276"/>
      <c r="C6" s="1277"/>
      <c r="D6" s="1277"/>
      <c r="E6" s="1277"/>
      <c r="F6" s="1277"/>
      <c r="G6" s="1277"/>
      <c r="H6" s="1277"/>
      <c r="I6" s="1277"/>
      <c r="J6" s="1277"/>
      <c r="K6" s="1278"/>
      <c r="L6" s="1155" t="str" cm="1">
        <f t="array" ref="L6">IF(OR($K$9:$K$150="Inactive"),"Inactive Element","")</f>
        <v/>
      </c>
      <c r="M6" s="1282"/>
      <c r="N6" s="1308" t="s">
        <v>8</v>
      </c>
      <c r="O6" s="1310" t="s">
        <v>9</v>
      </c>
      <c r="P6" s="1363" t="s">
        <v>10</v>
      </c>
      <c r="Q6" s="1314" t="s">
        <v>11</v>
      </c>
      <c r="R6" s="1315"/>
      <c r="S6" s="1304" t="s">
        <v>10</v>
      </c>
      <c r="T6" s="1338" t="str">
        <f>N6</f>
        <v>X</v>
      </c>
      <c r="U6" s="1340" t="str">
        <f>O6</f>
        <v>Y</v>
      </c>
      <c r="V6" s="1299" t="str">
        <f>P6</f>
        <v>Z</v>
      </c>
      <c r="W6" s="1258" t="str">
        <f>$Q$6</f>
        <v>Projected XY</v>
      </c>
      <c r="X6" s="1259"/>
      <c r="Y6" s="1336" t="str">
        <f>$S$6</f>
        <v>Z</v>
      </c>
      <c r="Z6" s="1320" t="s">
        <v>12</v>
      </c>
      <c r="AA6" s="1283"/>
      <c r="AB6" s="1283"/>
      <c r="AC6" s="1321"/>
      <c r="AD6" s="1288" t="s">
        <v>13</v>
      </c>
      <c r="AE6" s="1289"/>
      <c r="AF6" s="1289"/>
      <c r="AG6" s="1319" t="s">
        <v>7</v>
      </c>
      <c r="AH6" s="1289"/>
      <c r="AI6" s="1288" t="s">
        <v>14</v>
      </c>
      <c r="AJ6" s="1307"/>
      <c r="AK6" s="1343" t="str">
        <f>AD6</f>
        <v>Unit Vector</v>
      </c>
      <c r="AL6" s="1344"/>
      <c r="AM6" s="1345"/>
      <c r="AN6" s="34" t="s">
        <v>15</v>
      </c>
      <c r="AO6" s="35" t="s">
        <v>16</v>
      </c>
      <c r="AP6" s="680" t="s">
        <v>17</v>
      </c>
      <c r="AQ6" s="1328" t="s">
        <v>108</v>
      </c>
      <c r="AS6" s="168">
        <f>(AS5/360)</f>
        <v>6.9444444444444447E-4</v>
      </c>
      <c r="AT6" s="414" t="s">
        <v>48</v>
      </c>
      <c r="AV6" s="1323"/>
      <c r="AW6" s="1316" t="s">
        <v>105</v>
      </c>
      <c r="AX6" s="1317"/>
      <c r="AY6" s="188" t="s">
        <v>110</v>
      </c>
      <c r="AZ6" s="1265" t="s">
        <v>111</v>
      </c>
      <c r="BA6" s="1266"/>
      <c r="BB6" s="1255"/>
      <c r="BC6" s="1258" t="str">
        <f>$Q$6</f>
        <v>Projected XY</v>
      </c>
      <c r="BD6" s="1259"/>
      <c r="BE6" s="1260" t="str">
        <f>$S$6</f>
        <v>Z</v>
      </c>
      <c r="BF6" s="991" t="s">
        <v>125</v>
      </c>
      <c r="BG6" s="987"/>
      <c r="BH6" s="1158"/>
      <c r="BI6" s="989" t="s">
        <v>126</v>
      </c>
      <c r="BJ6" s="987"/>
      <c r="BK6" s="988"/>
      <c r="BL6" s="992" t="s">
        <v>127</v>
      </c>
      <c r="BM6" s="987"/>
      <c r="BN6" s="993"/>
      <c r="BO6" s="991" t="s">
        <v>135</v>
      </c>
      <c r="BP6" s="987"/>
      <c r="BQ6" s="987"/>
      <c r="BR6" s="993"/>
      <c r="BS6" s="991" t="s">
        <v>125</v>
      </c>
      <c r="BT6" s="987"/>
      <c r="BU6" s="1158"/>
      <c r="BV6" s="989" t="s">
        <v>126</v>
      </c>
      <c r="BW6" s="987"/>
      <c r="BX6" s="988"/>
      <c r="BY6" s="992" t="s">
        <v>127</v>
      </c>
      <c r="BZ6" s="987"/>
      <c r="CA6" s="993"/>
      <c r="CB6" s="991" t="s">
        <v>135</v>
      </c>
      <c r="CC6" s="987"/>
      <c r="CD6" s="987"/>
      <c r="CE6" s="993"/>
      <c r="CF6" s="997" t="s">
        <v>136</v>
      </c>
      <c r="CG6" s="1246"/>
      <c r="CH6" s="1246"/>
      <c r="CI6" s="1378" t="s">
        <v>137</v>
      </c>
      <c r="CJ6" s="1246"/>
      <c r="CK6" s="998"/>
      <c r="CL6" s="1376" t="s">
        <v>140</v>
      </c>
      <c r="CM6" s="1246"/>
      <c r="CN6" s="1377"/>
      <c r="CO6" s="1168"/>
      <c r="CP6" s="1168"/>
      <c r="CQ6" s="1225"/>
      <c r="CR6" s="1225"/>
      <c r="CS6" s="1226"/>
      <c r="CT6" s="1225"/>
      <c r="CU6" s="1244"/>
      <c r="CV6" s="1306" t="s">
        <v>147</v>
      </c>
      <c r="CW6" s="987"/>
      <c r="CX6" s="988"/>
      <c r="CY6" s="1210" t="s">
        <v>148</v>
      </c>
      <c r="CZ6" s="1203"/>
      <c r="DA6" s="1211"/>
      <c r="DB6" s="1379" t="s">
        <v>175</v>
      </c>
      <c r="DC6" s="1215"/>
      <c r="DD6" s="1216"/>
      <c r="DE6" s="1380" t="s">
        <v>176</v>
      </c>
      <c r="DF6" s="1215"/>
      <c r="DG6" s="1216"/>
      <c r="DH6" s="242" t="s">
        <v>29</v>
      </c>
      <c r="DI6" s="1113"/>
      <c r="DJ6" s="1113"/>
      <c r="DK6" s="1382"/>
      <c r="DL6" s="1112"/>
      <c r="DM6" s="1113"/>
      <c r="DN6" s="1114"/>
      <c r="DO6" s="1385"/>
      <c r="DP6" s="1386"/>
      <c r="DQ6" s="1386"/>
      <c r="DR6" s="1167"/>
      <c r="DS6" s="1167"/>
      <c r="DT6" s="1167"/>
      <c r="DU6" s="1167"/>
      <c r="DV6" s="1167"/>
      <c r="DW6" s="1167"/>
      <c r="DX6" s="1168"/>
      <c r="DY6" s="1169"/>
      <c r="DZ6" s="1167"/>
      <c r="EA6" s="1167"/>
      <c r="EB6" s="1167"/>
      <c r="EC6" s="1167"/>
      <c r="ED6" s="1167"/>
      <c r="EE6" s="1163"/>
      <c r="EF6" s="1163"/>
      <c r="EG6" s="1164"/>
      <c r="EH6" s="1118"/>
      <c r="EI6" s="1119"/>
      <c r="EJ6" s="1120"/>
      <c r="EK6" s="1167"/>
      <c r="EL6" s="1168"/>
      <c r="EM6" s="1106" t="s">
        <v>198</v>
      </c>
      <c r="EN6" s="1107"/>
      <c r="EO6" s="1108"/>
      <c r="EP6" s="1212" t="s">
        <v>197</v>
      </c>
      <c r="EQ6" s="1107"/>
      <c r="ER6" s="1213"/>
      <c r="ES6" s="1224"/>
      <c r="ET6" s="1225"/>
      <c r="EU6" s="1226"/>
      <c r="EV6" s="263" t="s">
        <v>220</v>
      </c>
      <c r="EW6" s="1212" t="s">
        <v>201</v>
      </c>
      <c r="EX6" s="1107"/>
      <c r="EY6" s="1230"/>
      <c r="EZ6" s="1146"/>
      <c r="FA6" s="1236"/>
      <c r="FB6" s="1237"/>
      <c r="FC6" s="1238"/>
      <c r="FD6" s="1106" t="s">
        <v>201</v>
      </c>
      <c r="FE6" s="1107"/>
      <c r="FF6" s="1213"/>
      <c r="FG6" s="1233" t="s">
        <v>223</v>
      </c>
      <c r="FH6" s="1234"/>
      <c r="FI6" s="1235"/>
      <c r="FJ6" s="1231" t="s">
        <v>202</v>
      </c>
      <c r="FK6" s="1166" t="s">
        <v>213</v>
      </c>
      <c r="FL6" s="1193"/>
      <c r="FM6" s="1042"/>
      <c r="FN6" s="1139" t="s">
        <v>203</v>
      </c>
      <c r="FO6" s="1148" t="s">
        <v>226</v>
      </c>
      <c r="FP6" s="113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38" t="s">
        <v>217</v>
      </c>
      <c r="FV6" s="1138"/>
      <c r="FW6" s="1039"/>
      <c r="FX6" s="1139" t="s">
        <v>218</v>
      </c>
      <c r="FY6" s="1148" t="s">
        <v>226</v>
      </c>
      <c r="FZ6" s="1136" t="s">
        <v>224</v>
      </c>
      <c r="GA6" s="1141" t="s">
        <v>237</v>
      </c>
      <c r="GB6" s="318" t="s">
        <v>206</v>
      </c>
      <c r="GC6" s="319" t="s">
        <v>238</v>
      </c>
      <c r="GD6" s="320" t="s">
        <v>225</v>
      </c>
      <c r="GE6" s="1156"/>
      <c r="GF6" s="1162" t="s">
        <v>256</v>
      </c>
      <c r="GG6" s="318" t="s">
        <v>206</v>
      </c>
      <c r="GH6" s="319" t="s">
        <v>238</v>
      </c>
      <c r="GI6" s="320" t="s">
        <v>225</v>
      </c>
      <c r="GJ6" s="1160"/>
      <c r="GK6" s="1122"/>
      <c r="GL6" s="1125"/>
      <c r="GM6" s="1125"/>
      <c r="GN6" s="1126"/>
      <c r="GO6" s="1187" t="s">
        <v>236</v>
      </c>
      <c r="GP6" s="1191" t="s">
        <v>224</v>
      </c>
      <c r="GQ6" s="1193" t="s">
        <v>202</v>
      </c>
      <c r="GR6" s="1155"/>
      <c r="GS6" s="1204" t="s">
        <v>248</v>
      </c>
      <c r="GT6" s="1205"/>
      <c r="GU6" s="1202" t="s">
        <v>247</v>
      </c>
      <c r="GV6" s="1203"/>
      <c r="GW6" s="1203"/>
      <c r="GX6" s="340" t="s">
        <v>106</v>
      </c>
      <c r="GY6" s="989" t="s">
        <v>246</v>
      </c>
      <c r="GZ6" s="1158"/>
      <c r="HA6" s="1214" t="s">
        <v>248</v>
      </c>
      <c r="HB6" s="1215"/>
      <c r="HC6" s="1215"/>
      <c r="HD6" s="1216"/>
      <c r="HE6" s="989" t="s">
        <v>247</v>
      </c>
      <c r="HF6" s="987"/>
      <c r="HG6" s="987"/>
      <c r="HH6" s="993"/>
      <c r="HI6" s="1180"/>
      <c r="HM6" s="901" t="s">
        <v>392</v>
      </c>
      <c r="HN6" s="1208" t="s">
        <v>393</v>
      </c>
      <c r="HO6" s="1208"/>
      <c r="HP6" s="1208"/>
      <c r="HQ6" s="1208"/>
      <c r="HR6" s="1209"/>
      <c r="HS6" s="1101" t="s">
        <v>105</v>
      </c>
      <c r="HT6" s="1102"/>
      <c r="HU6" s="1102"/>
      <c r="HV6" s="1103"/>
      <c r="HW6" s="877">
        <f>AVERAGE(HW$9:HW$150)</f>
        <v>29500</v>
      </c>
      <c r="HX6" s="878">
        <f t="shared" ref="HX6:IE6" si="0">SUM(HX$9:HX$150)</f>
        <v>3431.7587229166661</v>
      </c>
      <c r="HY6" s="879" t="e">
        <f t="shared" si="0"/>
        <v>#NUM!</v>
      </c>
      <c r="HZ6" s="880">
        <f t="shared" si="0"/>
        <v>21573.338501444865</v>
      </c>
      <c r="IA6" s="881" t="e">
        <f t="shared" si="0"/>
        <v>#NUM!</v>
      </c>
      <c r="IB6" s="882" t="e">
        <f t="shared" si="0"/>
        <v>#NUM!</v>
      </c>
      <c r="IC6" s="889" t="e">
        <f t="shared" si="0"/>
        <v>#NUM!</v>
      </c>
      <c r="ID6" s="890">
        <f t="shared" si="0"/>
        <v>22287.25</v>
      </c>
      <c r="IE6" s="890" t="e">
        <f t="shared" si="0"/>
        <v>#NUM!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94" t="s">
        <v>40</v>
      </c>
      <c r="C7" s="1295"/>
      <c r="D7" s="1296"/>
      <c r="E7" s="1297" t="s">
        <v>41</v>
      </c>
      <c r="F7" s="1295"/>
      <c r="G7" s="1298"/>
      <c r="H7" s="1092" t="s">
        <v>98</v>
      </c>
      <c r="I7" s="1090"/>
      <c r="J7" s="1093"/>
      <c r="K7" s="169"/>
      <c r="L7" s="1155"/>
      <c r="M7" s="1291"/>
      <c r="N7" s="1309"/>
      <c r="O7" s="1311"/>
      <c r="P7" s="1364"/>
      <c r="Q7" s="36" t="s">
        <v>18</v>
      </c>
      <c r="R7" s="2" t="s">
        <v>19</v>
      </c>
      <c r="S7" s="1305"/>
      <c r="T7" s="1339"/>
      <c r="U7" s="1341"/>
      <c r="V7" s="1300"/>
      <c r="W7" s="37" t="str">
        <f>$Q$7</f>
        <v>&lt; θ°</v>
      </c>
      <c r="X7" s="27" t="str">
        <f>$R$7</f>
        <v>r</v>
      </c>
      <c r="Y7" s="133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29"/>
      <c r="AS7" s="1334" t="s">
        <v>54</v>
      </c>
      <c r="AT7" s="1332" t="s">
        <v>53</v>
      </c>
      <c r="AV7" s="1323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55"/>
      <c r="BC7" s="37" t="str">
        <f>$Q$7</f>
        <v>&lt; θ°</v>
      </c>
      <c r="BD7" s="27" t="str">
        <f>$R$7</f>
        <v>r</v>
      </c>
      <c r="BE7" s="126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147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32"/>
      <c r="FK7" s="358" t="s">
        <v>210</v>
      </c>
      <c r="FL7" s="361" t="s">
        <v>211</v>
      </c>
      <c r="FM7" s="893" t="s">
        <v>212</v>
      </c>
      <c r="FN7" s="1140"/>
      <c r="FO7" s="1149"/>
      <c r="FP7" s="113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40"/>
      <c r="FY7" s="1149"/>
      <c r="FZ7" s="1137"/>
      <c r="GA7" s="1142"/>
      <c r="GB7" s="212" t="s">
        <v>231</v>
      </c>
      <c r="GC7" s="127" t="s">
        <v>232</v>
      </c>
      <c r="GD7" s="213" t="s">
        <v>233</v>
      </c>
      <c r="GE7" s="1157"/>
      <c r="GF7" s="1240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188"/>
      <c r="GP7" s="1192"/>
      <c r="GQ7" s="1194"/>
      <c r="GR7" s="1195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181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387" t="s">
        <v>394</v>
      </c>
      <c r="HP7" s="1388"/>
      <c r="HQ7" s="1206" t="s">
        <v>390</v>
      </c>
      <c r="HR7" s="1207"/>
      <c r="HS7" s="883" t="s">
        <v>29</v>
      </c>
      <c r="HT7" s="884" t="s">
        <v>110</v>
      </c>
      <c r="HU7" s="1104" t="s">
        <v>391</v>
      </c>
      <c r="HV7" s="1105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995" t="s">
        <v>33</v>
      </c>
      <c r="IJ7" s="1170" t="s">
        <v>376</v>
      </c>
      <c r="IK7" s="991" t="s">
        <v>324</v>
      </c>
      <c r="IL7" s="992"/>
      <c r="IM7" s="992"/>
      <c r="IN7" s="987"/>
      <c r="IO7" s="987"/>
      <c r="IP7" s="987"/>
      <c r="IQ7" s="988"/>
      <c r="IR7" s="989" t="s">
        <v>320</v>
      </c>
      <c r="IS7" s="987"/>
      <c r="IT7" s="987"/>
      <c r="IU7" s="987"/>
      <c r="IV7" s="987"/>
      <c r="IW7" s="989" t="s">
        <v>319</v>
      </c>
      <c r="IX7" s="987"/>
      <c r="IY7" s="987"/>
      <c r="IZ7" s="987"/>
      <c r="JA7" s="988"/>
      <c r="JC7" s="725"/>
      <c r="JD7" s="1366" t="s">
        <v>355</v>
      </c>
      <c r="JE7" s="1366"/>
      <c r="JF7" s="1366"/>
      <c r="JG7" s="1367"/>
      <c r="JH7" s="786"/>
      <c r="JI7" s="786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55"/>
      <c r="M8" s="411" cm="1">
        <f t="array" ref="M8">IF(AND(ISNUMBER('SN#.Run#'!$P$1),COUNT($M$9:$M$150)&gt;='SN#.Run#'!$P$1),INDEX($M$9:$M$150,'SN#.Run#'!$P$1),"")</f>
        <v>1.1100000000000001</v>
      </c>
      <c r="N8" s="551"/>
      <c r="O8" s="552"/>
      <c r="P8" s="562"/>
      <c r="Q8" s="554">
        <f>IFERROR(INDEX(Q$9:Q$150,MATCH($M$8,$M$9:$M$150,0)),"")</f>
        <v>90.000001574978342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-0.35475105104039617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335"/>
      <c r="AT8" s="133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#NUM!</v>
      </c>
      <c r="HB8" s="360" t="str">
        <f>IFERROR(IF((DEGREES(ATAN2(HC8,HD8)))&lt;0,(360+(DEGREES(ATAN2(HC8,HD8)))),(DEGREES(ATAN2(HC8,HD8)))),"")</f>
        <v/>
      </c>
      <c r="HC8" s="360" t="e">
        <f>SUM(HC9:HC150)</f>
        <v>#NUM!</v>
      </c>
      <c r="HD8" s="364" t="e">
        <f>SUM(HD9:HD150)</f>
        <v>#NUM!</v>
      </c>
      <c r="HE8" s="366" t="e">
        <f>SQRT(HG8^2+HH8^2)</f>
        <v>#NUM!</v>
      </c>
      <c r="HF8" s="360" t="str">
        <f>IFERROR(IF((DEGREES(ATAN2(HG8,HH8)))&lt;0,(360+(DEGREES(ATAN2(HG8,HH8)))),(DEGREES(ATAN2(HG8,HH8)))),"")</f>
        <v/>
      </c>
      <c r="HG8" s="360" t="e">
        <f>SUM(HG9:HG150)</f>
        <v>#NUM!</v>
      </c>
      <c r="HH8" s="367" t="e">
        <f>SUM(HH9:HH150)</f>
        <v>#NUM!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172"/>
      <c r="IJ8" s="1171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640">
        <f t="shared" ref="B9:B40" si="2">IFERROR(Q164+($A9*-E9),"")</f>
        <v>-9.8736745793030978E-8</v>
      </c>
      <c r="C9" s="641">
        <f t="shared" ref="C9:C40" si="3">IFERROR(R164+($A9*-F9),"")</f>
        <v>0.33880101542601143</v>
      </c>
      <c r="D9" s="642">
        <f t="shared" ref="D9:D40" si="4">IFERROR(S164+($A9*-G9),"")</f>
        <v>-0.93825278937596535</v>
      </c>
      <c r="E9" s="643">
        <f t="shared" ref="E9:E40" si="5">T164</f>
        <v>-0.92387955420894763</v>
      </c>
      <c r="F9" s="641">
        <f t="shared" ref="F9:F40" si="6">U164</f>
        <v>-5.9864861255108155E-2</v>
      </c>
      <c r="G9" s="644">
        <f t="shared" ref="G9:G40" si="7">V164</f>
        <v>0.3779719139057594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-9.8736745793030978E-8</v>
      </c>
      <c r="O9" s="567">
        <f t="shared" ref="O9:O40" si="14">IF(M9="","",C9)</f>
        <v>0.33880101542601143</v>
      </c>
      <c r="P9" s="568">
        <f t="shared" ref="P9:P40" si="15">IF(M9="","",D9)</f>
        <v>-0.93825278937596535</v>
      </c>
      <c r="Q9" s="526">
        <f>IF(M9="","",IF(DEGREES(ATAN2(N9,O9))&lt;0,DEGREES(ATAN2(N9,O9))+360,IF(DEGREES(ATAN2(N9,O9))&gt;360,DEGREES(ATAN2(N9,O9))-360,DEGREES(ATAN2(N9,O9)))))</f>
        <v>90.000016697703245</v>
      </c>
      <c r="R9" s="567">
        <f>IF(M9="","",SQRT(N9^2+O9^2))</f>
        <v>0.33880101542602581</v>
      </c>
      <c r="S9" s="569">
        <f>IF(M9="","",P9)</f>
        <v>-0.93825278937596535</v>
      </c>
      <c r="T9" s="570">
        <f>IF(M9="","",X9*COS(RADIANS(W9)))</f>
        <v>0.33880101542601399</v>
      </c>
      <c r="U9" s="567">
        <f>IF(M9="","",X9*SIN(RADIANS(W9)))</f>
        <v>8.9423594492279909E-8</v>
      </c>
      <c r="V9" s="571">
        <f>IF(M9="","",Y9)</f>
        <v>-0.93825278937596535</v>
      </c>
      <c r="W9" s="526">
        <f t="shared" ref="W9:W13" si="16">IF(M9="","",IF(Q9-$Q$8&lt;0,360+Q9-$Q$8,Q9-$Q$8))</f>
        <v>1.5122724903449125E-5</v>
      </c>
      <c r="X9" s="572">
        <f>IF(M9="","",R9)</f>
        <v>0.33880101542602581</v>
      </c>
      <c r="Y9" s="573">
        <f t="shared" ref="Y9:Y15" si="17">IF(M9="","",S9)</f>
        <v>-0.93825278937596535</v>
      </c>
      <c r="Z9" s="566">
        <f t="shared" ref="Z9:Z40" si="18">IF(M9="","",-E9)</f>
        <v>0.92387955420894763</v>
      </c>
      <c r="AA9" s="567">
        <f t="shared" ref="AA9:AA40" si="19">IF(M9="","",-F9)</f>
        <v>5.9864861255108155E-2</v>
      </c>
      <c r="AB9" s="567">
        <f t="shared" ref="AB9:AB40" si="20">IF(M9="","",-G9)</f>
        <v>-0.3779719139057594</v>
      </c>
      <c r="AC9" s="571">
        <f>IF(M9="","",SQRT(Z9^2+AA9^2+AB9^2))</f>
        <v>1</v>
      </c>
      <c r="AD9" s="574">
        <f>IF(M9="","",Z9*(1/SQRT(Z9^2+AA9^2+AB9^2)))</f>
        <v>0.92387955420894763</v>
      </c>
      <c r="AE9" s="567">
        <f>IF(M9="","",AA9*(1/SQRT(Z9^2+AA9^2+AB9^2)))</f>
        <v>5.9864861255108155E-2</v>
      </c>
      <c r="AF9" s="568">
        <f>IF(M9="","",AB9*(1/SQRT(Z9^2+AA9^2+AB9^2)))</f>
        <v>-0.3779719139057594</v>
      </c>
      <c r="AG9" s="542">
        <f>IF(M9="","",DEGREES(ATAN2(-AF9,AE9)))</f>
        <v>8.9999987005609636</v>
      </c>
      <c r="AH9" s="543">
        <f>IF(M9="","",DEGREES(ACOS(AD9)))</f>
        <v>22.499996751402403</v>
      </c>
      <c r="AI9" s="526">
        <f>IF(M9="","",DEGREES(-ACOS(-AF9)))</f>
        <v>-67.791885209493017</v>
      </c>
      <c r="AJ9" s="544">
        <f>IF(M9="","",DEGREES(ATAN2(-AE9,AD9)))</f>
        <v>93.70742639699148</v>
      </c>
      <c r="AK9" s="570">
        <f>IF(M9="","",(COS(RADIANS((90-$Q$8)-W9))*AD9)+(-SIN(RADIANS((90-$Q$8)-W9))*AE9))</f>
        <v>0.92387957165531887</v>
      </c>
      <c r="AL9" s="567">
        <f>IF(M9="","",(SIN(RADIANS((90-$Q$8)-W9))*AD9)+(COS(RADIANS((90-$Q$8)-W9))*AE9))</f>
        <v>5.9864592008980311E-2</v>
      </c>
      <c r="AM9" s="569">
        <f>IF(M9="","",AF9)</f>
        <v>-0.3779719139057594</v>
      </c>
      <c r="AN9" s="524">
        <f>IF(M9="","",DEGREES(ATAN2(-AM9,AL9)))</f>
        <v>8.9999588850334611</v>
      </c>
      <c r="AO9" s="525">
        <f>IF(ROUND(IF(M9="",0,DEGREES(ACOS(AK9))),4)=90,0,IF(M9="","",DEGREES(ACOS(AK9))))</f>
        <v>22.499994139312239</v>
      </c>
      <c r="AP9" s="722">
        <f>IF(M9="","",DEGREES(ATAN2(AK9,AL9)))</f>
        <v>3.7074096992882386</v>
      </c>
      <c r="AQ9" s="527">
        <f t="shared" ref="AQ9:AQ40" si="21">IF(M9="","",DEGREES(ATAN(($AS$5*SIN(RADIANS(90)))/(($X9*2*PI())-($AS$5*COS(RADIANS(90)))))))</f>
        <v>6.6981256358767221</v>
      </c>
      <c r="AS9" s="931">
        <f>IF(M9="","",W9)</f>
        <v>1.5122724903449125E-5</v>
      </c>
      <c r="AT9" s="927">
        <f t="shared" ref="AT9:AT40" si="22">IF(M9="","",Y9+(((AS9-$AS$9)*$AS$6)*-1))</f>
        <v>-0.93825278937596535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9.9308121494027249E-2</v>
      </c>
      <c r="BA9" s="296">
        <f t="shared" ref="BA9:BA40" si="24">IF(ISNUMBER(AV9),AZ9/$AZ$151,"")</f>
        <v>1.1316397103912912E-2</v>
      </c>
      <c r="BB9" s="290">
        <f>IF(ISNUMBER($AV9),$AX9-($AT9+$AS$5),"")</f>
        <v>0.48325278937596539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-9.8736745793030978E-8</v>
      </c>
      <c r="BG9" s="5">
        <f t="shared" ref="BG9:BG40" si="27">IF(ISNUMBER($AV9),O9,"")</f>
        <v>0.33880101542601143</v>
      </c>
      <c r="BH9" s="10">
        <f t="shared" ref="BH9:BH40" si="28">IF(ISNUMBER($AV9),P9,"")</f>
        <v>-0.93825278937596535</v>
      </c>
      <c r="BI9" s="9">
        <f>IF(ISNUMBER($AV9),BF9+0,"")</f>
        <v>-9.8736745793030978E-8</v>
      </c>
      <c r="BJ9" s="5">
        <f t="shared" ref="BJ9:BJ40" si="29">IF(ISNUMBER($AV9),BG9+COS(RADIANS($AG9)),"")</f>
        <v>1.3264893595690028</v>
      </c>
      <c r="BK9" s="8">
        <f t="shared" ref="BK9:BK40" si="30">IF(ISNUMBER($AV9),BH9+SIN(RADIANS($AG9)),"")</f>
        <v>-0.78181834673600203</v>
      </c>
      <c r="BL9" s="173">
        <f t="shared" ref="BL9:BL40" si="31">IF(ISNUMBER($AV9),BF9+SIN(RADIANS($AH9)),"")</f>
        <v>0.38268328124555256</v>
      </c>
      <c r="BM9" s="5">
        <f t="shared" ref="BM9:BM40" si="32">IF(ISNUMBER($AV9),BG9-SIN(RADIANS($AG9))*COS(RADIANS($AH9)),"")</f>
        <v>0.19427443229687688</v>
      </c>
      <c r="BN9" s="6">
        <f t="shared" ref="BN9:BN40" si="33">IF(ISNUMBER($AV9),BH9+COS(RADIANS($AG9))*COS(RADIANS($AH9)),"")</f>
        <v>-2.5747722291764807E-2</v>
      </c>
      <c r="BO9" s="4">
        <f>IF(ISNUMBER($AV9),BJ9*BN9-BM9*BK9-BG9*(BN9-BK9)+BH9*(BM9-BJ9),"")</f>
        <v>0.92387955420894796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5.9864861255108093E-2</v>
      </c>
      <c r="BQ9" s="5">
        <f>IF(ISNUMBER($AV9),BF9*(BJ9-BM9)-BG9*(BI9-BL9)+(BI9*BM9-BL9*BJ9),"")</f>
        <v>-0.37797191390575935</v>
      </c>
      <c r="BR9" s="6">
        <f>IF(ISNUMBER($AV9),-(BF9*(BJ9*BN9-BM9*BK9)-BG9*(BI9*BN9-BL9*BK9)+BH9*(BI9*BM9-BL9*BJ9)),"")</f>
        <v>-0.37491538708855821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-5.9864861255108093E-2</v>
      </c>
      <c r="CG9" s="5">
        <f>IF(ISNUMBER($AV9),(BQ9*CB9)-(BO9*CD9),"")</f>
        <v>0.92387955420894796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3.3899379704003172</v>
      </c>
      <c r="CK9" s="8">
        <f>IF(ISNUMBER($AV9),(CC9*BR9-BP9*CE9)/(-CC9*BQ9+BP9*CD9),"")</f>
        <v>-0.45500000000000002</v>
      </c>
      <c r="CL9" s="173">
        <f>IF(ISNUMBER($AV9),CI9+CF9,"")</f>
        <v>-5.9864861255108093E-2</v>
      </c>
      <c r="CM9" s="5">
        <f>IF(ISNUMBER($AV9),CJ9+CG9,"")</f>
        <v>4.3138175246092647</v>
      </c>
      <c r="CN9" s="181">
        <f>IF(ISNUMBER($AV9),CK9+CH9,"")</f>
        <v>-0.45500000000000002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0.85713723229841698</v>
      </c>
      <c r="CQ9" s="20">
        <f>IF(ISNUMBER($AV9),2*((CL9-CI9)*(CI9-BF9)+(CM9-CJ9)*(CJ9-BG9)+(CN9-CK9)*(CK9-BH9)),"")</f>
        <v>5.6377660877624916</v>
      </c>
      <c r="CR9" s="20">
        <f>IF(ISNUMBER($AV9),BF9^2+BG9^2+BH9^2+CI9^2+CJ9^2+CK9^2-2*(BF9*CI9+BG9*CJ9+BH9*CK9)-CO9^2,"")</f>
        <v>9.4453137264495393</v>
      </c>
      <c r="CS9" s="25">
        <f>IF(ISNUMBER($AV9),CQ9^2-(4*CP9*CR9),"")</f>
        <v>-0.59931380239203236</v>
      </c>
      <c r="CT9" s="24" t="e">
        <f>IF(ISNUMBER($AV9),(-CQ9+SQRT(CS9))/(CP9*2),"")</f>
        <v>#NUM!</v>
      </c>
      <c r="CU9" s="22" t="e">
        <f>IF(ISNUMBER($AV9),(-CQ9-SQRT(CS9))/(CP9*2),"")</f>
        <v>#NUM!</v>
      </c>
      <c r="CV9" s="23" t="e">
        <f t="shared" ref="CV9:CX10" si="36">IF(ISNUMBER($AV9),CI9+($CT9*(CL9-CI9)),"")</f>
        <v>#NUM!</v>
      </c>
      <c r="CW9" s="20" t="e">
        <f t="shared" si="36"/>
        <v>#NUM!</v>
      </c>
      <c r="CX9" s="25" t="e">
        <f t="shared" si="36"/>
        <v>#NUM!</v>
      </c>
      <c r="CY9" s="24" t="e">
        <f t="shared" ref="CY9:DA10" si="37">IF(ISNUMBER($AV9),CI9+($CU9*(CL9-CI9)),"")</f>
        <v>#NUM!</v>
      </c>
      <c r="CZ9" s="20" t="e">
        <f t="shared" si="37"/>
        <v>#NUM!</v>
      </c>
      <c r="DA9" s="22" t="e">
        <f t="shared" si="37"/>
        <v>#NUM!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 t="e">
        <f t="shared" ref="DL9:DN9" si="39">IF(ISNUMBER($AV9),CV9-DB9,"")</f>
        <v>#NUM!</v>
      </c>
      <c r="DM9" s="173" t="e">
        <f t="shared" si="39"/>
        <v>#NUM!</v>
      </c>
      <c r="DN9" s="178" t="e">
        <f t="shared" si="39"/>
        <v>#NUM!</v>
      </c>
      <c r="DO9" s="9" t="e">
        <f t="shared" ref="DO9:DQ10" si="40">IF(ISNUMBER($AV9),CY9-CV9,"")</f>
        <v>#NUM!</v>
      </c>
      <c r="DP9" s="173" t="e">
        <f t="shared" si="40"/>
        <v>#NUM!</v>
      </c>
      <c r="DQ9" s="11" t="e">
        <f t="shared" si="40"/>
        <v>#NUM!</v>
      </c>
      <c r="DR9" s="173" t="e">
        <f>IF(ISNUMBER($AV9),SUMPRODUCT(DI9:DK9,DL9:DN9),"")</f>
        <v>#NUM!</v>
      </c>
      <c r="DS9" s="5" t="e">
        <f>IF(ISNUMBER($AV9),SUMPRODUCT(DO9:DQ9,DI9:DK9),"")</f>
        <v>#NUM!</v>
      </c>
      <c r="DT9" s="5">
        <f>IF(ISNUMBER($AV9),SUMPRODUCT(DI9:DK9,DI9:DK9),"")</f>
        <v>400</v>
      </c>
      <c r="DU9" s="5" t="e">
        <f>IF(ISNUMBER($AV9),SUMPRODUCT(DO9:DQ9,DO9:DQ9),"")</f>
        <v>#NUM!</v>
      </c>
      <c r="DV9" s="5" t="e">
        <f>IF(ISNUMBER($AV9),SUMPRODUCT(DL9:DN9,DO9:DQ9),"")</f>
        <v>#NUM!</v>
      </c>
      <c r="DW9" s="5" t="e">
        <f>IF(ISNUMBER($AV9),SUMPRODUCT(DL9:DN9,DL9:DN9),"")</f>
        <v>#NUM!</v>
      </c>
      <c r="DX9" s="167" t="e">
        <f>IF(ISNUMBER($AV9),DW9-DH9*DH9,"")</f>
        <v>#NUM!</v>
      </c>
      <c r="DY9" s="9" t="e">
        <f>IF(ISNUMBER($AV9),DT9*DU9-DS9*DS9,"")</f>
        <v>#NUM!</v>
      </c>
      <c r="DZ9" s="5" t="e">
        <f>IF(ISNUMBER($AV9),DT9*DV9-DS9*DR9,"")</f>
        <v>#NUM!</v>
      </c>
      <c r="EA9" s="10" t="e">
        <f>IF(ISNUMBER($AV9),DT9*DX9-DR9*DR9,"")</f>
        <v>#NUM!</v>
      </c>
      <c r="EB9" s="6" t="e">
        <f>IF(ISNUMBER($AV9),DZ9*DZ9-DY9*EA9,"")</f>
        <v>#NUM!</v>
      </c>
      <c r="EC9" s="173" t="e">
        <f>IF(ISNUMBER($AV9),(-DZ9+SQRT(DZ9^2-DY9*EA9))/DY9,"")</f>
        <v>#NUM!</v>
      </c>
      <c r="ED9" s="5" t="e">
        <f>IF(ISNUMBER($AV9),(-DZ9-SQRT(DZ9^2-DY9*EA9))/DY9,"")</f>
        <v>#NUM!</v>
      </c>
      <c r="EE9" s="4" t="e">
        <f t="shared" ref="EE9:EG10" si="41">IF(ISNUMBER($AV9),CV9+DO9*$EC9,"")</f>
        <v>#NUM!</v>
      </c>
      <c r="EF9" s="5" t="e">
        <f t="shared" si="41"/>
        <v>#NUM!</v>
      </c>
      <c r="EG9" s="10" t="e">
        <f t="shared" si="41"/>
        <v>#NUM!</v>
      </c>
      <c r="EH9" s="9" t="e">
        <f t="shared" ref="EH9:EJ10" si="42">IF(ISNUMBER($AV9),CV9+DO9*$ED9,"")</f>
        <v>#NUM!</v>
      </c>
      <c r="EI9" s="5" t="e">
        <f t="shared" si="42"/>
        <v>#NUM!</v>
      </c>
      <c r="EJ9" s="6" t="e">
        <f t="shared" si="42"/>
        <v>#NUM!</v>
      </c>
      <c r="EK9" s="236" t="e">
        <f>IF(ISNUMBER($AV9),IF(OR($EC9&lt;0,$EC9&gt;1),FALSE,TRUE),"")</f>
        <v>#NUM!</v>
      </c>
      <c r="EL9" s="238" t="e">
        <f>IF(ISNUMBER($AV9),IF(OR($ED9&lt;0,$ED9&gt;1),FALSE,TRUE),"")</f>
        <v>#NUM!</v>
      </c>
      <c r="EM9" s="4" t="e">
        <f t="shared" ref="EM9:EO10" si="43">IF(ISNUMBER($AV9),IF($EK9=TRUE,EE9,IF($EL9=TRUE,EH9,"")),"")</f>
        <v>#NUM!</v>
      </c>
      <c r="EN9" s="5" t="e">
        <f t="shared" si="43"/>
        <v>#NUM!</v>
      </c>
      <c r="EO9" s="10" t="e">
        <f t="shared" si="43"/>
        <v>#NUM!</v>
      </c>
      <c r="EP9" s="9" t="e">
        <f>IF(ISNUMBER($AV9),IF(DEGREES(ATAN2(EM9,EN9))&lt;0,DEGREES(ATAN2(EM9,EN9))+360,IF(DEGREES(ATAN2(EM9,EN9))&gt;360,DEGREES(ATAN2(EM9,EN9))-360,DEGREES(ATAN2(EM9,EN9)))),"")</f>
        <v>#NUM!</v>
      </c>
      <c r="EQ9" s="5" t="e">
        <f>IF(ISNUMBER($AV9),SQRT(EM9^2+EN9^2),"")</f>
        <v>#NUM!</v>
      </c>
      <c r="ER9" s="7" t="e">
        <f>IF(ISNUMBER($AV9),EO9,"")</f>
        <v>#NUM!</v>
      </c>
      <c r="ES9" s="274">
        <f>IF(ISNUMBER($AV9),AD9,"")</f>
        <v>0.92387955420894763</v>
      </c>
      <c r="ET9" s="267">
        <f t="shared" ref="ET9:ET40" si="44">IF(ISNUMBER($AV9),AE9,"")</f>
        <v>5.9864861255108155E-2</v>
      </c>
      <c r="EU9" s="273">
        <f t="shared" ref="EU9:EU40" si="45">IF(ISNUMBER($AV9),AF9,"")</f>
        <v>-0.3779719139057594</v>
      </c>
      <c r="EV9" s="174" t="e">
        <f t="shared" ref="EV9:EV14" si="46">IF(ISNUMBER($AV9),IF(($EV$1-EP9)&lt;0,(360+($EV$1-EP9)),($EV$1-EP9)),"")</f>
        <v>#NUM!</v>
      </c>
      <c r="EW9" s="9" t="e">
        <f>IF(ISNUMBER($AV9),(COS(RADIANS($EV9))*ES9)+(-SIN(RADIANS($EV9))*ET9),"")</f>
        <v>#NUM!</v>
      </c>
      <c r="EX9" s="5" t="e">
        <f t="shared" ref="EX9:EX40" si="47">IF(ISNUMBER($AV9),(SIN(RADIANS($EV9))*ES9)+(COS(RADIANS($EV9))*ET9),"")</f>
        <v>#NUM!</v>
      </c>
      <c r="EY9" s="6">
        <f>IF(ISNUMBER($AV9),EU9,"")</f>
        <v>-0.3779719139057594</v>
      </c>
      <c r="EZ9" s="51" t="e">
        <f>IF(ISNUMBER($AV9),DEGREES(ATAN($AS$5/($EQ9*2*PI()))),"")</f>
        <v>#NUM!</v>
      </c>
      <c r="FA9" s="266" t="e">
        <f>IF(ISNUMBER($AV9),SIN(RADIANS($EP9))*COS(RADIANS($EZ9)),"")</f>
        <v>#NUM!</v>
      </c>
      <c r="FB9" s="267" t="e">
        <f>IF(ISNUMBER($AV9),-1*COS(RADIANS($EP9))*COS(RADIANS($EZ9)),"")</f>
        <v>#NUM!</v>
      </c>
      <c r="FC9" s="268" t="e">
        <f t="shared" ref="FC9:FC53" si="48">IF(ISNUMBER($AV9),-1*SIN(RADIANS($EZ9)),"")</f>
        <v>#NUM!</v>
      </c>
      <c r="FD9" s="4" t="e">
        <f>IF(ISNUMBER($AV9),(COS(RADIANS($EV9))*FA9)+(-SIN(RADIANS($EV9))*FB9),"")</f>
        <v>#NUM!</v>
      </c>
      <c r="FE9" s="5" t="e">
        <f t="shared" ref="FE9:FE40" si="49">IF(ISNUMBER($AV9),(SIN(RADIANS($EV9))*FA9)+(COS(RADIANS($EV9))*FB9),"")</f>
        <v>#NUM!</v>
      </c>
      <c r="FF9" s="7" t="e">
        <f>IF(ISNUMBER($AV9),FC9,"")</f>
        <v>#NUM!</v>
      </c>
      <c r="FG9" s="173" t="e">
        <f>IF(ISNUMBER($AV9),EW9-FD9,"")</f>
        <v>#NUM!</v>
      </c>
      <c r="FH9" s="5" t="e">
        <f t="shared" ref="FH9:FH40" si="50">IF(ISNUMBER($AV9),EX9-FE9,"")</f>
        <v>#NUM!</v>
      </c>
      <c r="FI9" s="10" t="e">
        <f t="shared" ref="FI9:FI40" si="51">IF(ISNUMBER($AV9),EY9-FF9,"")</f>
        <v>#NUM!</v>
      </c>
      <c r="FJ9" s="279" t="e">
        <f>IF(ISNUMBER($AV9),DEGREES(ACOS((2-SQRT((FG9)^2+(FH9)^2+(FI9)^2)^2)/2)),"")</f>
        <v>#NUM!</v>
      </c>
      <c r="FK9" s="23">
        <f t="shared" ref="FK9:FK40" si="52">IF(ISNUMBER($AV9),SQRT(ES9^2+ET9^2),"")</f>
        <v>0.92581706200437741</v>
      </c>
      <c r="FL9" s="20" t="e">
        <f>IF(ISNUMBER($AV9),SQRT(FA9^2+FB9^2),"")</f>
        <v>#NUM!</v>
      </c>
      <c r="FM9" s="25" t="e">
        <f>IF(ISNUMBER($AV9),SQRT(FG9^2+FH9^2),"")</f>
        <v>#NUM!</v>
      </c>
      <c r="FN9" s="24" t="e">
        <f>IF(ISNUMBER($AV9),DEGREES(ACOS((FK9^2+FL9^2-FM9^2)/(2*FK9*FL9))),"")</f>
        <v>#NUM!</v>
      </c>
      <c r="FO9" s="10" t="e">
        <f t="shared" ref="FO9:FO40" si="53">IF(ISNUMBER($AV9),IF(SQRT((EM9+(ES9/SQRT(ES9^2+(ET9/SQRT(ES9^2+ET9^2))^2)))^2+(EN9+ET9)^2)&gt;SQRT((EM9+(FA9/SQRT(FA9^2+FB9^2)))^2+(EN9+(FB9/SQRT(FA9^2+FB9^2)))^2),-1,1),"")</f>
        <v>#NUM!</v>
      </c>
      <c r="FP9" s="276" t="e">
        <f t="shared" ref="FP9:FP40" si="54">IF(ISNUMBER($AV9),FN9*FO9,"")</f>
        <v>#NUM!</v>
      </c>
      <c r="FQ9" s="173" t="e">
        <f>IF(ISNUMBER($AV9),SIN(RADIANS(FN9)),"")</f>
        <v>#NUM!</v>
      </c>
      <c r="FR9" s="10" t="e">
        <f>IF(ISNUMBER($AV9),COS(RADIANS(FN9)),"")</f>
        <v>#NUM!</v>
      </c>
      <c r="FS9" s="9" t="e">
        <f>IF(ISNUMBER($AV9),FQ9/(FQ9+FR9),"")</f>
        <v>#NUM!</v>
      </c>
      <c r="FT9" s="6" t="e">
        <f>IF(ISNUMBER($AV9),FR9/(FQ9+FR9),"")</f>
        <v>#NUM!</v>
      </c>
      <c r="FU9" s="4" t="e">
        <f>IF(ISNUMBER($AV9),SQRT(EW9^2+EY9^2),"")</f>
        <v>#NUM!</v>
      </c>
      <c r="FV9" s="5" t="e">
        <f>IF(ISNUMBER($AV9),SQRT(FD9^2+FF9^2),"")</f>
        <v>#NUM!</v>
      </c>
      <c r="FW9" s="8" t="e">
        <f>IF(ISNUMBER($AV9),SQRT(FG9^2+FI9^2),"")</f>
        <v>#NUM!</v>
      </c>
      <c r="FX9" s="9" t="e">
        <f>IF(ISNUMBER($AV9),DEGREES(ACOS((FU9^2+FV9^2-FW9^2)/(2*FU9*FV9))),"")</f>
        <v>#NUM!</v>
      </c>
      <c r="FY9" s="10" t="e">
        <f t="shared" ref="FY9:FY40" si="55">IF(ISNUMBER($AV9),IF(EU9&lt;FC9,1,-1),"")</f>
        <v>#NUM!</v>
      </c>
      <c r="FZ9" s="277" t="e">
        <f>IF(ISNUMBER($AV9),FX9*FY9,"")</f>
        <v>#NUM!</v>
      </c>
      <c r="GA9" s="177" t="e">
        <f>IF(ISNUMBER($AV9),DEGREES(FZ9*SIN(RADIANS(FU9))),"")</f>
        <v>#NUM!</v>
      </c>
      <c r="GB9" s="4" t="e">
        <f>IF(ISNUMBER($AV9),COS(RADIANS(FP9+90))*COS(RADIANS(FZ9)),"")</f>
        <v>#NUM!</v>
      </c>
      <c r="GC9" s="5" t="e">
        <f>IF(ISNUMBER($AV9),SIN(RADIANS(FP9+90))*COS(RADIANS(FZ9)),"")</f>
        <v>#NUM!</v>
      </c>
      <c r="GD9" s="10" t="e">
        <f>IF(ISNUMBER($AV9),-SIN(RADIANS(FZ9)),"")</f>
        <v>#NUM!</v>
      </c>
      <c r="GE9" s="311" t="e">
        <f>IF(ISNUMBER($AV9),SUM(ABS(GB9),ABS(GC9),ABS(GD9)),"")</f>
        <v>#NUM!</v>
      </c>
      <c r="GF9" s="341" t="e">
        <f>IF(ISNUMBER($AV9),1/GE9,"")</f>
        <v>#NUM!</v>
      </c>
      <c r="GG9" s="303" t="e">
        <f t="shared" ref="GG9:GG40" si="56">IF(ISNUMBER($AV9),ABS(GB9)/(ABS($GB9)+ABS($GC9)+ABS($GD9)),"")</f>
        <v>#NUM!</v>
      </c>
      <c r="GH9" s="304" t="e">
        <f t="shared" ref="GH9:GH40" si="57">IF(ISNUMBER($AV9),ABS(GC9)/(ABS($GB9)+ABS($GC9)+ABS($GD9)),"")</f>
        <v>#NUM!</v>
      </c>
      <c r="GI9" s="305" t="e">
        <f t="shared" ref="GI9:GI40" si="58">IF(ISNUMBER($AV9),ABS(GD9)/(ABS($GB9)+ABS($GC9)+ABS($GD9)),"")</f>
        <v>#NUM!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81">
        <f t="shared" si="60"/>
        <v>1.1316397103912912E-2</v>
      </c>
      <c r="GO9" s="4" t="e">
        <f>IF(ISNUMBER($AV9),FP9,"")</f>
        <v>#NUM!</v>
      </c>
      <c r="GP9" s="8" t="e">
        <f>IF(ISNUMBER($AV9),FZ9,"")</f>
        <v>#NUM!</v>
      </c>
      <c r="GQ9" s="177" t="e">
        <f>IF(ISNUMBER($AV9),FJ9,"")</f>
        <v>#NUM!</v>
      </c>
      <c r="GR9" s="371" t="e">
        <f>IF(ISNUMBER($AV9),GS9+GU9+GY9,"")</f>
        <v>#NUM!</v>
      </c>
      <c r="GS9" s="342" t="e">
        <f t="shared" ref="GS9:GS40" si="61">IF(ISNUMBER($AV9),GU9/GH9*GG9,"")</f>
        <v>#NUM!</v>
      </c>
      <c r="GT9" s="343" t="e">
        <f t="shared" ref="GT9:GT40" si="62">IF(ISNUMBER($AV9),GS9/$GK9,"")</f>
        <v>#NUM!</v>
      </c>
      <c r="GU9" s="344">
        <f t="shared" ref="GU9:GU53" si="63">IF(ISNUMBER($AV9),$GV9*$GK9,"")</f>
        <v>244.13246533948367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 t="e">
        <f t="shared" ref="GY9:GY40" si="66">IF(ISNUMBER($AV9),GU9/GH9*GI9,"")</f>
        <v>#NUM!</v>
      </c>
      <c r="GZ9" s="345" t="e">
        <f t="shared" ref="GZ9:GZ40" si="67">IF(ISNUMBER($AV9),GY9/$GK9,"")</f>
        <v>#NUM!</v>
      </c>
      <c r="HA9" s="342" t="e">
        <f t="shared" ref="HA9:HA53" si="68">IF(ISNUMBER($AV9),$FO9*$GS9,"")</f>
        <v>#NUM!</v>
      </c>
      <c r="HB9" s="191" t="e">
        <f>IF(ISNUMBER($AV9),$EV9,"")</f>
        <v>#NUM!</v>
      </c>
      <c r="HC9" s="362" t="e">
        <f>IF(ISNUMBER($AV9),HA9*COS(RADIANS(HB9)),"")</f>
        <v>#NUM!</v>
      </c>
      <c r="HD9" s="365" t="e">
        <f>IF(ISNUMBER($AV9),HA9*SIN(RADIANS(HB9)),"")</f>
        <v>#NUM!</v>
      </c>
      <c r="HE9" s="344" t="e">
        <f t="shared" ref="HE9:HE53" si="69">IF(ISNUMBER($AV9),$FY9*$GV9,"")</f>
        <v>#NUM!</v>
      </c>
      <c r="HF9" s="5" t="e">
        <f t="shared" ref="HF9:HF53" si="70">IF(ISNUMBER($AV9),IF(($HB9+90)&lt;0,(360+($HB9+90)),($HB9+90)),"")</f>
        <v>#NUM!</v>
      </c>
      <c r="HG9" s="362" t="e">
        <f>IF(ISNUMBER($AV9),HE9*COS(RADIANS(HF9)),"")</f>
        <v>#NUM!</v>
      </c>
      <c r="HH9" s="368" t="e">
        <f>IF(ISNUMBER($AV9),HE9*SIN(RADIANS(HF9)),"")</f>
        <v>#NUM!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 t="e">
        <f>IF(ISNUMBER($HL9),INDEX(GO$9:GO$150,MATCH($HL9,$AV$9:$AV$150,0)),"")</f>
        <v>#NUM!</v>
      </c>
      <c r="HN9" s="904">
        <f t="shared" ref="HN9:HN40" si="73">IF(ISNUMBER($HL9),INDEX(AO$9:AO$150,MATCH($HL9,$AV$9:$AV$150,0)),"")</f>
        <v>22.499994139312239</v>
      </c>
      <c r="HO9" s="905"/>
      <c r="HP9" s="906"/>
      <c r="HQ9" s="907" t="e">
        <f t="shared" ref="HQ9:HQ40" si="74">IF(ISNUMBER($HL9),INDEX(GQ$9:GQ$150,MATCH($HL9,$AV$9:$AV$150,0)),"")</f>
        <v>#NUM!</v>
      </c>
      <c r="HR9" s="908" t="e">
        <f t="shared" ref="HR9:HR40" si="75">IF(ISNUMBER($HL9),INDEX(GP$9:GP$150,MATCH($HL9,$AV$9:$AV$150,0)),"")</f>
        <v>#NUM!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9.9308121494027249E-2</v>
      </c>
      <c r="HV9" s="871">
        <f t="shared" ref="HV9:HV40" si="78">IF(ISNUMBER($HL9),INDEX(GN$9:GN$150,MATCH($HL9,$AV$9:$AV$150,0)),"")</f>
        <v>1.1316397103912912E-2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 t="e">
        <f t="shared" ref="HY9:HY40" si="81">IF(ISNUMBER($HL9),INDEX(GS$9:GS$150,MATCH($HL9,$AV$9:$AV$150,0)),"")</f>
        <v>#NUM!</v>
      </c>
      <c r="HZ9" s="862">
        <f t="shared" ref="HZ9:HZ40" si="82">IF(ISNUMBER($HL9),INDEX(GU$9:GU$150,MATCH($HL9,$AV$9:$AV$150,0)),"")</f>
        <v>244.13246533948367</v>
      </c>
      <c r="IA9" s="863" t="e">
        <f t="shared" ref="IA9:IA40" si="83">IF(ISNUMBER($HL9),INDEX(GY$9:GY$150,MATCH($HL9,$AV$9:$AV$150,0)),"")</f>
        <v>#NUM!</v>
      </c>
      <c r="IB9" s="864" t="e">
        <f t="shared" ref="IB9:IB40" si="84">IF(ISNUMBER($HL9),INDEX(GR$9:GR$150,MATCH($HL9,$AV$9:$AV$150,0)),"")</f>
        <v>#NUM!</v>
      </c>
      <c r="IC9" s="840" t="e">
        <f t="shared" ref="IC9:IC40" si="85">IF(ISNUMBER($HL9),INDEX(GT$9:GT$150,MATCH($HL9,$AV$9:$AV$150,0)),"")</f>
        <v>#NUM!</v>
      </c>
      <c r="ID9" s="350">
        <f t="shared" ref="ID9:ID40" si="86">IF(ISNUMBER($HL9),INDEX(GV$9:GV$150,MATCH($HL9,$AV$9:$AV$150,0)),"")</f>
        <v>2274.4500000000003</v>
      </c>
      <c r="IE9" s="842" t="e">
        <f t="shared" ref="IE9:IE40" si="87">IF(ISNUMBER($HL9),INDEX(GZ$9:GZ$150,MATCH($HL9,$AV$9:$AV$150,0)),"")</f>
        <v>#NUM!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69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578">
        <f t="shared" si="2"/>
        <v>-7.4814880362101331E-8</v>
      </c>
      <c r="C10" s="572">
        <f t="shared" si="3"/>
        <v>1.083803267627905</v>
      </c>
      <c r="D10" s="576">
        <f t="shared" si="4"/>
        <v>-0.75095224344861278</v>
      </c>
      <c r="E10" s="580">
        <f t="shared" si="5"/>
        <v>-0.96126170705176617</v>
      </c>
      <c r="F10" s="572">
        <f t="shared" si="6"/>
        <v>-1.4425740483648619E-2</v>
      </c>
      <c r="G10" s="579">
        <f t="shared" si="7"/>
        <v>0.27525956580548266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-7.4814880362101331E-8</v>
      </c>
      <c r="O10" s="572">
        <f t="shared" si="14"/>
        <v>1.083803267627905</v>
      </c>
      <c r="P10" s="576">
        <f t="shared" si="15"/>
        <v>-0.75095224344861278</v>
      </c>
      <c r="Q10" s="528">
        <f>IF(M10="","",IF(DEGREES(ATAN2(N10,O10))&lt;0,DEGREES(ATAN2(N10,O10))+360,IF(DEGREES(ATAN2(N10,O10))&gt;360,DEGREES(ATAN2(N10,O10))-360,DEGREES(ATAN2(N10,O10)))))</f>
        <v>90.000003955124527</v>
      </c>
      <c r="R10" s="572">
        <f t="shared" ref="R10:R105" si="101">IF(M10="","",SQRT(N10^2+O10^2))</f>
        <v>1.0838032676279075</v>
      </c>
      <c r="S10" s="577">
        <f t="shared" ref="S10:S105" si="102">IF(M10="","",P10)</f>
        <v>-0.75095224344861278</v>
      </c>
      <c r="T10" s="578">
        <f t="shared" ref="T10:T105" si="103">IF(M10="","",X10*COS(RADIANS(W10)))</f>
        <v>1.0838032676279066</v>
      </c>
      <c r="U10" s="572">
        <f t="shared" ref="U10:U105" si="104">IF(M10="","",X10*SIN(RADIANS(W10)))</f>
        <v>4.5022691630914942E-8</v>
      </c>
      <c r="V10" s="579">
        <f>IF(M10="","",Y10)</f>
        <v>-0.75095224344861278</v>
      </c>
      <c r="W10" s="528">
        <f t="shared" si="16"/>
        <v>2.3801461850325722E-6</v>
      </c>
      <c r="X10" s="572">
        <f t="shared" ref="X10:X105" si="105">IF(M10="","",R10)</f>
        <v>1.0838032676279075</v>
      </c>
      <c r="Y10" s="573">
        <f t="shared" si="17"/>
        <v>-0.75095224344861278</v>
      </c>
      <c r="Z10" s="575">
        <f>IF(M10="","",-E10)</f>
        <v>0.96126170705176617</v>
      </c>
      <c r="AA10" s="572">
        <f t="shared" si="19"/>
        <v>1.4425740483648619E-2</v>
      </c>
      <c r="AB10" s="572">
        <f t="shared" si="20"/>
        <v>-0.27525956580548266</v>
      </c>
      <c r="AC10" s="579">
        <f t="shared" ref="AC10:AC105" si="106">IF(M10="","",SQRT(Z10^2+AA10^2+AB10^2))</f>
        <v>1</v>
      </c>
      <c r="AD10" s="580">
        <f>IF(M10="","",Z10*(1/SQRT(Z10^2+AA10^2+AB10^2)))</f>
        <v>0.96126170705176617</v>
      </c>
      <c r="AE10" s="572">
        <f t="shared" ref="AE10:AE105" si="107">IF(M10="","",AA10*(1/SQRT(Z10^2+AA10^2+AB10^2)))</f>
        <v>1.4425740483648619E-2</v>
      </c>
      <c r="AF10" s="576">
        <f t="shared" ref="AF10:AF105" si="108">IF(M10="","",AB10*(1/SQRT(Z10^2+AA10^2+AB10^2)))</f>
        <v>-0.27525956580548266</v>
      </c>
      <c r="AG10" s="545">
        <f t="shared" ref="AG10:AG105" si="109">IF(M10="","",DEGREES(ATAN2(-AF10,AE10)))</f>
        <v>2.9999995668536559</v>
      </c>
      <c r="AH10" s="546">
        <f t="shared" ref="AH10:AH105" si="110">IF(M10="","",DEGREES(ACOS(AD10)))</f>
        <v>15.99999768988615</v>
      </c>
      <c r="AI10" s="528">
        <f t="shared" ref="AI10:AI105" si="111">IF(M10="","",DEGREES(-ACOS(-AF10)))</f>
        <v>-74.022516817533798</v>
      </c>
      <c r="AJ10" s="529">
        <f t="shared" ref="AJ10:AJ105" si="112">IF(M10="","",DEGREES(ATAN2(-AE10,AD10)))</f>
        <v>90.859778351430947</v>
      </c>
      <c r="AK10" s="578">
        <f>IF(M10="","",(COS(RADIANS((90-$Q$8)-W10))*AD10)+(-SIN(RADIANS((90-$Q$8)-W10))*AE10))</f>
        <v>0.96126170804757205</v>
      </c>
      <c r="AL10" s="572">
        <f t="shared" ref="AL10:AL105" si="113">IF(M10="","",(SIN(RADIANS((90-$Q$8)-W10))*AD10)+(COS(RADIANS((90-$Q$8)-W10))*AE10))</f>
        <v>1.4425674127805516E-2</v>
      </c>
      <c r="AM10" s="577">
        <f t="shared" ref="AM10:AM105" si="114">IF(M10="","",AF10)</f>
        <v>-0.27525956580548266</v>
      </c>
      <c r="AN10" s="524">
        <f t="shared" ref="AN10:AN105" si="115">IF(M10="","",DEGREES(ATAN2(-AM10,AL10)))</f>
        <v>2.9999857925960174</v>
      </c>
      <c r="AO10" s="525">
        <f t="shared" ref="AO10:AO54" si="116">IF(ROUND(IF(M10="",0,DEGREES(ACOS(AK10))),4)=90,0,IF(M10="","",DEGREES(ACOS(AK10))))</f>
        <v>15.999997482891414</v>
      </c>
      <c r="AP10" s="528">
        <f t="shared" ref="AP10:AP105" si="117">IF(M10="","",DEGREES(ATAN2(AK10,AL10)))</f>
        <v>0.85977439630642793</v>
      </c>
      <c r="AQ10" s="529">
        <f t="shared" si="21"/>
        <v>2.1025063649572098</v>
      </c>
      <c r="AS10" s="932">
        <f>IF($M10="","",IF(AND($W10&lt;($AS$9+180),$W10&gt;($AS$9-180)),$W10,IF($W10&gt;($AS$9+180),$W10-360,IF($W10&lt;($AS$9-180),$W10+360,"Error"))))</f>
        <v>2.3801461850325722E-6</v>
      </c>
      <c r="AT10" s="928">
        <f t="shared" si="22"/>
        <v>-0.75095223459959981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0.3356592079101951</v>
      </c>
      <c r="BA10" s="296">
        <f t="shared" si="24"/>
        <v>3.8249166645701646E-2</v>
      </c>
      <c r="BB10" s="291">
        <f>IF(ISNUMBER($AV10),$AX10-($AT10+$AS$5),"")</f>
        <v>0.54005223459959983</v>
      </c>
      <c r="BC10" s="9"/>
      <c r="BD10" s="5">
        <f>IF(ISNUMBER(AV10),AW10,"")</f>
        <v>0.93310000000000004</v>
      </c>
      <c r="BE10" s="6">
        <f t="shared" si="25"/>
        <v>-0.21090000884901294</v>
      </c>
      <c r="BF10" s="4">
        <f t="shared" si="26"/>
        <v>-7.4814880362101331E-8</v>
      </c>
      <c r="BG10" s="5">
        <f t="shared" si="27"/>
        <v>1.083803267627905</v>
      </c>
      <c r="BH10" s="10">
        <f t="shared" si="28"/>
        <v>-0.75095224344861278</v>
      </c>
      <c r="BI10" s="9">
        <f>IF(ISNUMBER($AV10),BF10+0,"")</f>
        <v>-7.4814880362101331E-8</v>
      </c>
      <c r="BJ10" s="5">
        <f t="shared" si="29"/>
        <v>2.08243280277813</v>
      </c>
      <c r="BK10" s="8">
        <f t="shared" si="30"/>
        <v>-0.69861629475513831</v>
      </c>
      <c r="BL10" s="173">
        <f t="shared" si="31"/>
        <v>0.27563724224491909</v>
      </c>
      <c r="BM10" s="5">
        <f t="shared" si="32"/>
        <v>1.0334947242466421</v>
      </c>
      <c r="BN10" s="6">
        <f t="shared" si="33"/>
        <v>0.20899208822220405</v>
      </c>
      <c r="BO10" s="4">
        <f>IF(ISNUMBER($AV10),BJ10*BN10-BM10*BK10-BG10*(BN10-BK10)+BH10*(BM10-BJ10),"")</f>
        <v>0.96126170705176628</v>
      </c>
      <c r="BP10" s="5">
        <f t="shared" si="34"/>
        <v>1.4425740483648614E-2</v>
      </c>
      <c r="BQ10" s="5">
        <f>IF(ISNUMBER($AV10),BF10*(BJ10-BM10)-BG10*(BI10-BL10)+(BI10*BM10-BL10*BJ10),"")</f>
        <v>-0.27525956580548266</v>
      </c>
      <c r="BR10" s="6">
        <f>IF(ISNUMBER($AV10),-(BF10*(BJ10*BN10-BM10*BK10)-BG10*(BI10*BN10-BL10*BK10)+BH10*(BI10*BM10-BL10*BJ10)),"")</f>
        <v>-0.22234138122976918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-0.21090000884901294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-0.21090000884901294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-0.21090000884901294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-0.21090000884901294</v>
      </c>
      <c r="CF10" s="4">
        <f>IF(ISNUMBER($AV10),(BP10*CD10)-(BQ10*CC10),"")</f>
        <v>-1.4425740483648614E-2</v>
      </c>
      <c r="CG10" s="5">
        <f>IF(ISNUMBER($AV10),(BQ10*CB10)-(BO10*CD10),"")</f>
        <v>0.96126170705176628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11.388610279786816</v>
      </c>
      <c r="CK10" s="8">
        <f t="shared" ref="CK10:CK73" si="128">IF(ISNUMBER($AV10),(CC10*BR10-BP10*CE10)/(-CC10*BQ10+BP10*CD10),"")</f>
        <v>-0.21090000884901297</v>
      </c>
      <c r="CL10" s="173">
        <f t="shared" ref="CL10:CL73" si="129">IF(ISNUMBER($AV10),CI10+CF10,"")</f>
        <v>-1.4425740483648614E-2</v>
      </c>
      <c r="CM10" s="5">
        <f t="shared" ref="CM10:CM73" si="130">IF(ISNUMBER($AV10),CJ10+CG10,"")</f>
        <v>12.349871986838583</v>
      </c>
      <c r="CN10" s="6">
        <f t="shared" ref="CN10:CN73" si="131">IF(ISNUMBER($AV10),CK10+CH10,"")</f>
        <v>-0.21090000884901297</v>
      </c>
      <c r="CO10" s="167">
        <f t="shared" si="35"/>
        <v>0.3125</v>
      </c>
      <c r="CP10" s="4">
        <f>IF(ISNUMBER($AV10),(CL10-CI10)^2+(CM10-CJ10)^2+(CN10-CK10)^2,"")</f>
        <v>0.92423217143257841</v>
      </c>
      <c r="CQ10" s="5">
        <f>IF(ISNUMBER($AV10),2*((CL10-CI10)*(CI10-BF10)+(CM10-CJ10)*(CJ10-BG10)+(CN10-CK10)*(CK10-BH10)),"")</f>
        <v>19.811232756535265</v>
      </c>
      <c r="CR10" s="5">
        <f>IF(ISNUMBER($AV10),BF10^2+BG10^2+BH10^2+CI10^2+CJ10^2+CK10^2-2*(BF10*CI10+BG10*CJ10+BH10*CK10)-CO10^2,"")</f>
        <v>106.38304772393549</v>
      </c>
      <c r="CS10" s="8">
        <f>IF(ISNUMBER($AV10),CQ10^2-(4*CP10*CR10),"")</f>
        <v>-0.80559747241818513</v>
      </c>
      <c r="CT10" s="9" t="e">
        <f>IF(ISNUMBER($AV10),(-CQ10+SQRT(CS10))/(CP10*2),"")</f>
        <v>#NUM!</v>
      </c>
      <c r="CU10" s="6" t="e">
        <f>IF(ISNUMBER($AV10),(-CQ10-SQRT(CS10))/(CP10*2),"")</f>
        <v>#NUM!</v>
      </c>
      <c r="CV10" s="4" t="e">
        <f t="shared" si="36"/>
        <v>#NUM!</v>
      </c>
      <c r="CW10" s="5" t="e">
        <f t="shared" si="36"/>
        <v>#NUM!</v>
      </c>
      <c r="CX10" s="8" t="e">
        <f t="shared" si="36"/>
        <v>#NUM!</v>
      </c>
      <c r="CY10" s="9" t="e">
        <f t="shared" si="37"/>
        <v>#NUM!</v>
      </c>
      <c r="CZ10" s="5" t="e">
        <f t="shared" si="37"/>
        <v>#NUM!</v>
      </c>
      <c r="DA10" s="6" t="e">
        <f t="shared" si="37"/>
        <v>#NUM!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 t="e">
        <f>IF(ISNUMBER($AV10),CV10-DB10,"")</f>
        <v>#NUM!</v>
      </c>
      <c r="DM10" s="173" t="e">
        <f>IF(ISNUMBER($AV10),CW10-DC10,"")</f>
        <v>#NUM!</v>
      </c>
      <c r="DN10" s="178" t="e">
        <f>IF(ISNUMBER($AV10),CX10-DD10,"")</f>
        <v>#NUM!</v>
      </c>
      <c r="DO10" s="9" t="e">
        <f t="shared" si="40"/>
        <v>#NUM!</v>
      </c>
      <c r="DP10" s="173" t="e">
        <f t="shared" si="40"/>
        <v>#NUM!</v>
      </c>
      <c r="DQ10" s="11" t="e">
        <f t="shared" si="40"/>
        <v>#NUM!</v>
      </c>
      <c r="DR10" s="173" t="e">
        <f>IF(ISNUMBER($AV10),SUMPRODUCT(DI10:DK10,DL10:DN10),"")</f>
        <v>#NUM!</v>
      </c>
      <c r="DS10" s="5" t="e">
        <f>IF(ISNUMBER($AV10),SUMPRODUCT(DO10:DQ10,DI10:DK10),"")</f>
        <v>#NUM!</v>
      </c>
      <c r="DT10" s="5">
        <f>IF(ISNUMBER($AV10),SUMPRODUCT(DI10:DK10,DI10:DK10),"")</f>
        <v>400</v>
      </c>
      <c r="DU10" s="5" t="e">
        <f>IF(ISNUMBER($AV10),SUMPRODUCT(DO10:DQ10,DO10:DQ10),"")</f>
        <v>#NUM!</v>
      </c>
      <c r="DV10" s="5" t="e">
        <f>IF(ISNUMBER($AV10),SUMPRODUCT(DL10:DN10,DO10:DQ10),"")</f>
        <v>#NUM!</v>
      </c>
      <c r="DW10" s="5" t="e">
        <f>IF(ISNUMBER($AV10),SUMPRODUCT(DL10:DN10,DL10:DN10),"")</f>
        <v>#NUM!</v>
      </c>
      <c r="DX10" s="167" t="e">
        <f>IF(ISNUMBER($AV10),DW10-DH10*DH10,"")</f>
        <v>#NUM!</v>
      </c>
      <c r="DY10" s="9" t="e">
        <f>IF(ISNUMBER($AV10),DT10*DU10-DS10*DS10,"")</f>
        <v>#NUM!</v>
      </c>
      <c r="DZ10" s="5" t="e">
        <f>IF(ISNUMBER($AV10),DT10*DV10-DS10*DR10,"")</f>
        <v>#NUM!</v>
      </c>
      <c r="EA10" s="10" t="e">
        <f>IF(ISNUMBER($AV10),DT10*DX10-DR10*DR10,"")</f>
        <v>#NUM!</v>
      </c>
      <c r="EB10" s="6" t="e">
        <f>IF(ISNUMBER($AV10),DZ10*DZ10-DY10*EA10,"")</f>
        <v>#NUM!</v>
      </c>
      <c r="EC10" s="173" t="e">
        <f>IF(ISNUMBER($AV10),(-DZ10+SQRT(DZ10^2-DY10*EA10))/DY10,"")</f>
        <v>#NUM!</v>
      </c>
      <c r="ED10" s="5" t="e">
        <f>IF(ISNUMBER($AV10),(-DZ10-SQRT(DZ10^2-DY10*EA10))/DY10,"")</f>
        <v>#NUM!</v>
      </c>
      <c r="EE10" s="4" t="e">
        <f t="shared" si="41"/>
        <v>#NUM!</v>
      </c>
      <c r="EF10" s="5" t="e">
        <f>IF(ISNUMBER($AV10),CW10+DP10*$EC10,"")</f>
        <v>#NUM!</v>
      </c>
      <c r="EG10" s="10" t="e">
        <f>IF(ISNUMBER($AV10),CX10+DQ10*$EC10,"")</f>
        <v>#NUM!</v>
      </c>
      <c r="EH10" s="9" t="e">
        <f>IF(ISNUMBER($AV10),CV10+DO10*$ED10,"")</f>
        <v>#NUM!</v>
      </c>
      <c r="EI10" s="5" t="e">
        <f>IF(ISNUMBER($AV10),CW10+DP10*$ED10,"")</f>
        <v>#NUM!</v>
      </c>
      <c r="EJ10" s="6" t="e">
        <f t="shared" si="42"/>
        <v>#NUM!</v>
      </c>
      <c r="EK10" s="236" t="e">
        <f>IF(ISNUMBER($AV10),IF(OR($EC10&lt;0,$EC10&gt;1),FALSE,TRUE),"")</f>
        <v>#NUM!</v>
      </c>
      <c r="EL10" s="238" t="e">
        <f>IF(ISNUMBER($AV10),IF(OR($ED10&lt;0,$ED10&gt;1),FALSE,TRUE),"")</f>
        <v>#NUM!</v>
      </c>
      <c r="EM10" s="4" t="e">
        <f t="shared" si="43"/>
        <v>#NUM!</v>
      </c>
      <c r="EN10" s="5" t="e">
        <f t="shared" si="43"/>
        <v>#NUM!</v>
      </c>
      <c r="EO10" s="10" t="e">
        <f t="shared" si="43"/>
        <v>#NUM!</v>
      </c>
      <c r="EP10" s="9" t="e">
        <f>IF(ISNUMBER($AV10),IF(DEGREES(ATAN2(EM10,EN10))&lt;0,DEGREES(ATAN2(EM10,EN10))+360,IF(DEGREES(ATAN2(EM10,EN10))&gt;360,DEGREES(ATAN2(EM10,EN10))-360,DEGREES(ATAN2(EM10,EN10)))),"")</f>
        <v>#NUM!</v>
      </c>
      <c r="EQ10" s="5" t="e">
        <f>IF(ISNUMBER($AV10),SQRT(EM10^2+EN10^2),"")</f>
        <v>#NUM!</v>
      </c>
      <c r="ER10" s="7" t="e">
        <f>IF(ISNUMBER($AV10),EO10,"")</f>
        <v>#NUM!</v>
      </c>
      <c r="ES10" s="21">
        <f t="shared" ref="ES10:ES40" si="132">IF(ISNUMBER($AV10),AD10,"")</f>
        <v>0.96126170705176617</v>
      </c>
      <c r="ET10" s="5">
        <f t="shared" si="44"/>
        <v>1.4425740483648619E-2</v>
      </c>
      <c r="EU10" s="10">
        <f t="shared" si="45"/>
        <v>-0.27525956580548266</v>
      </c>
      <c r="EV10" s="174" t="e">
        <f t="shared" si="46"/>
        <v>#NUM!</v>
      </c>
      <c r="EW10" s="9" t="e">
        <f t="shared" ref="EW10:EW40" si="133">IF(ISNUMBER($AV10),(COS(RADIANS($EV10))*ES10)+(-SIN(RADIANS($EV10))*ET10),"")</f>
        <v>#NUM!</v>
      </c>
      <c r="EX10" s="5" t="e">
        <f t="shared" si="47"/>
        <v>#NUM!</v>
      </c>
      <c r="EY10" s="6">
        <f>IF(ISNUMBER($AV10),EU10,"")</f>
        <v>-0.27525956580548266</v>
      </c>
      <c r="EZ10" s="51" t="e">
        <f>IF(ISNUMBER($AV10),DEGREES(ATAN($AS$5/($EQ10*2*PI()))),"")</f>
        <v>#NUM!</v>
      </c>
      <c r="FA10" s="266" t="e">
        <f t="shared" ref="FA10:FA53" si="134">IF(ISNUMBER($AV10),SIN(RADIANS($EP10))*COS(RADIANS($EZ10)),"")</f>
        <v>#NUM!</v>
      </c>
      <c r="FB10" s="267" t="e">
        <f t="shared" ref="FB10:FB53" si="135">IF(ISNUMBER($AV10),-1*COS(RADIANS($EP10))*COS(RADIANS($EZ10)),"")</f>
        <v>#NUM!</v>
      </c>
      <c r="FC10" s="269" t="e">
        <f t="shared" si="48"/>
        <v>#NUM!</v>
      </c>
      <c r="FD10" s="4" t="e">
        <f t="shared" ref="FD10:FD40" si="136">IF(ISNUMBER($AV10),(COS(RADIANS($EV10))*FA10)+(-SIN(RADIANS($EV10))*FB10),"")</f>
        <v>#NUM!</v>
      </c>
      <c r="FE10" s="5" t="e">
        <f t="shared" si="49"/>
        <v>#NUM!</v>
      </c>
      <c r="FF10" s="7" t="e">
        <f>IF(ISNUMBER($AV10),FC10,"")</f>
        <v>#NUM!</v>
      </c>
      <c r="FG10" s="173" t="e">
        <f>IF(ISNUMBER($AV10),EW10-FD10,"")</f>
        <v>#NUM!</v>
      </c>
      <c r="FH10" s="5" t="e">
        <f t="shared" si="50"/>
        <v>#NUM!</v>
      </c>
      <c r="FI10" s="10" t="e">
        <f t="shared" si="51"/>
        <v>#NUM!</v>
      </c>
      <c r="FJ10" s="279" t="e">
        <f>IF(ISNUMBER($AV10),DEGREES(ACOS((2-SQRT((FG10)^2+(FH10)^2+(FI10)^2)^2)/2)),"")</f>
        <v>#NUM!</v>
      </c>
      <c r="FK10" s="4">
        <f t="shared" si="52"/>
        <v>0.96136994514732843</v>
      </c>
      <c r="FL10" s="5" t="e">
        <f>IF(ISNUMBER($AV10),SQRT(FA10^2+FB10^2),"")</f>
        <v>#NUM!</v>
      </c>
      <c r="FM10" s="8" t="e">
        <f>IF(ISNUMBER($AV10),SQRT(FG10^2+FH10^2),"")</f>
        <v>#NUM!</v>
      </c>
      <c r="FN10" s="9" t="e">
        <f>IF(ISNUMBER($AV10),DEGREES(ACOS((FK10^2+FL10^2-FM10^2)/(2*FK10*FL10))),"")</f>
        <v>#NUM!</v>
      </c>
      <c r="FO10" s="10" t="e">
        <f t="shared" si="53"/>
        <v>#NUM!</v>
      </c>
      <c r="FP10" s="277" t="e">
        <f t="shared" si="54"/>
        <v>#NUM!</v>
      </c>
      <c r="FQ10" s="173" t="e">
        <f>IF(ISNUMBER($AV10),SIN(RADIANS(FN10)),"")</f>
        <v>#NUM!</v>
      </c>
      <c r="FR10" s="10" t="e">
        <f>IF(ISNUMBER($AV10),COS(RADIANS(FN10)),"")</f>
        <v>#NUM!</v>
      </c>
      <c r="FS10" s="9" t="e">
        <f>IF(ISNUMBER($AV10),FQ10/(FQ10+FR10),"")</f>
        <v>#NUM!</v>
      </c>
      <c r="FT10" s="6" t="e">
        <f>IF(ISNUMBER($AV10),FR10/(FQ10+FR10),"")</f>
        <v>#NUM!</v>
      </c>
      <c r="FU10" s="4" t="e">
        <f>IF(ISNUMBER($AV10),SQRT(EW10^2+EY10^2),"")</f>
        <v>#NUM!</v>
      </c>
      <c r="FV10" s="5" t="e">
        <f>IF(ISNUMBER($AV10),SQRT(FD10^2+FF10^2),"")</f>
        <v>#NUM!</v>
      </c>
      <c r="FW10" s="8" t="e">
        <f>IF(ISNUMBER($AV10),SQRT(FG10^2+FI10^2),"")</f>
        <v>#NUM!</v>
      </c>
      <c r="FX10" s="9" t="e">
        <f>IF(ISNUMBER($AV10),DEGREES(ACOS((FU10^2+FV10^2-FW10^2)/(2*FU10*FV10))),"")</f>
        <v>#NUM!</v>
      </c>
      <c r="FY10" s="10" t="e">
        <f t="shared" si="55"/>
        <v>#NUM!</v>
      </c>
      <c r="FZ10" s="277" t="e">
        <f>IF(ISNUMBER($AV10),FX10*FY10,"")</f>
        <v>#NUM!</v>
      </c>
      <c r="GA10" s="177" t="e">
        <f>IF(ISNUMBER($AV10),DEGREES(FZ10*SIN(RADIANS(FU10))),"")</f>
        <v>#NUM!</v>
      </c>
      <c r="GB10" s="4" t="e">
        <f>IF(ISNUMBER($AV10),COS(RADIANS(FP10+90))*COS(RADIANS(FZ10)),"")</f>
        <v>#NUM!</v>
      </c>
      <c r="GC10" s="5" t="e">
        <f>IF(ISNUMBER($AV10),SIN(RADIANS(FP10+90))*COS(RADIANS(FZ10)),"")</f>
        <v>#NUM!</v>
      </c>
      <c r="GD10" s="10" t="e">
        <f>IF(ISNUMBER($AV10),-SIN(RADIANS(FZ10)),"")</f>
        <v>#NUM!</v>
      </c>
      <c r="GE10" s="311" t="e">
        <f>IF(ISNUMBER($AV10),SUM(ABS(GB10),ABS(GC10),ABS(GD10)),"")</f>
        <v>#NUM!</v>
      </c>
      <c r="GF10" s="341" t="e">
        <f>IF(ISNUMBER($AV10),1/GE10,"")</f>
        <v>#NUM!</v>
      </c>
      <c r="GG10" s="285" t="e">
        <f t="shared" si="56"/>
        <v>#NUM!</v>
      </c>
      <c r="GH10" s="286" t="e">
        <f t="shared" si="57"/>
        <v>#NUM!</v>
      </c>
      <c r="GI10" s="281" t="e">
        <f t="shared" si="58"/>
        <v>#NUM!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81">
        <f>IF(ISNUMBER($AV10),BA10,"")</f>
        <v>3.8249166645701646E-2</v>
      </c>
      <c r="GO10" s="4" t="e">
        <f>IF(ISNUMBER($AV10),FP10,"")</f>
        <v>#NUM!</v>
      </c>
      <c r="GP10" s="8" t="e">
        <f>IF(ISNUMBER($AV10),FZ10,"")</f>
        <v>#NUM!</v>
      </c>
      <c r="GQ10" s="177" t="e">
        <f>IF(ISNUMBER($AV10),FJ10,"")</f>
        <v>#NUM!</v>
      </c>
      <c r="GR10" s="371" t="e">
        <f>IF(ISNUMBER($AV10),GS10+GU10+GY10,"")</f>
        <v>#NUM!</v>
      </c>
      <c r="GS10" s="342" t="e">
        <f t="shared" si="61"/>
        <v>#NUM!</v>
      </c>
      <c r="GT10" s="343" t="e">
        <f t="shared" si="62"/>
        <v>#NUM!</v>
      </c>
      <c r="GU10" s="344">
        <f t="shared" si="63"/>
        <v>825.16221944589643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 t="e">
        <f t="shared" si="66"/>
        <v>#NUM!</v>
      </c>
      <c r="GZ10" s="345" t="e">
        <f t="shared" si="67"/>
        <v>#NUM!</v>
      </c>
      <c r="HA10" s="342" t="e">
        <f t="shared" si="68"/>
        <v>#NUM!</v>
      </c>
      <c r="HB10" s="5" t="e">
        <f>IF(ISNUMBER($AV10),$EV10,"")</f>
        <v>#NUM!</v>
      </c>
      <c r="HC10" s="343" t="e">
        <f>IF(ISNUMBER($AV10),HA10*COS(RADIANS(HB10)),"")</f>
        <v>#NUM!</v>
      </c>
      <c r="HD10" s="345" t="e">
        <f>IF(ISNUMBER($AV10),HA10*SIN(RADIANS(HB10)),"")</f>
        <v>#NUM!</v>
      </c>
      <c r="HE10" s="344" t="e">
        <f t="shared" si="69"/>
        <v>#NUM!</v>
      </c>
      <c r="HF10" s="5" t="e">
        <f t="shared" si="70"/>
        <v>#NUM!</v>
      </c>
      <c r="HG10" s="343" t="e">
        <f>IF(ISNUMBER($AV10),HE10*COS(RADIANS(HF10)),"")</f>
        <v>#NUM!</v>
      </c>
      <c r="HH10" s="349" t="e">
        <f>IF(ISNUMBER($AV10),HE10*SIN(RADIANS(HF10)),"")</f>
        <v>#NUM!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5.1020000000000003</v>
      </c>
      <c r="HM10" s="909" t="e">
        <f t="shared" ref="HM10:HM40" si="138">IF(ISNUMBER($HL10),INDEX(GO$9:GO$150,MATCH($HL10,$AV$9:$AV$150,0)),"")</f>
        <v>#NUM!</v>
      </c>
      <c r="HN10" s="910">
        <f t="shared" si="73"/>
        <v>19.999997112357704</v>
      </c>
      <c r="HO10" s="911"/>
      <c r="HP10" s="912"/>
      <c r="HQ10" s="910" t="e">
        <f t="shared" si="74"/>
        <v>#NUM!</v>
      </c>
      <c r="HR10" s="913" t="e">
        <f t="shared" si="75"/>
        <v>#NUM!</v>
      </c>
      <c r="HS10" s="865">
        <f>IFERROR(SMALL($GJ$9:$GJ$150,($HK9+1)),"")</f>
        <v>0.46260000000000001</v>
      </c>
      <c r="HT10" s="875">
        <f t="shared" si="76"/>
        <v>5.7200000000000001E-2</v>
      </c>
      <c r="HU10" s="876">
        <f t="shared" si="77"/>
        <v>0.16687145329783487</v>
      </c>
      <c r="HV10" s="872">
        <f t="shared" si="78"/>
        <v>1.9015399772101534E-2</v>
      </c>
      <c r="HW10" s="866">
        <f t="shared" si="79"/>
        <v>29500</v>
      </c>
      <c r="HX10" s="867">
        <f t="shared" si="80"/>
        <v>65.049270000000007</v>
      </c>
      <c r="HY10" s="866" t="e">
        <f t="shared" si="81"/>
        <v>#NUM!</v>
      </c>
      <c r="HZ10" s="868">
        <f t="shared" si="82"/>
        <v>410.22565602384407</v>
      </c>
      <c r="IA10" s="869" t="e">
        <f t="shared" si="83"/>
        <v>#NUM!</v>
      </c>
      <c r="IB10" s="870" t="e">
        <f t="shared" si="84"/>
        <v>#NUM!</v>
      </c>
      <c r="IC10" s="841" t="e">
        <f t="shared" si="85"/>
        <v>#NUM!</v>
      </c>
      <c r="ID10" s="351">
        <f t="shared" si="86"/>
        <v>1687.4</v>
      </c>
      <c r="IE10" s="843" t="e">
        <f t="shared" si="87"/>
        <v>#NUM!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578">
        <f t="shared" si="2"/>
        <v>-7.059082892006046E-8</v>
      </c>
      <c r="C11" s="572">
        <f t="shared" si="3"/>
        <v>1.8261055065442895</v>
      </c>
      <c r="D11" s="576">
        <f t="shared" si="4"/>
        <v>-0.55355165062300449</v>
      </c>
      <c r="E11" s="580">
        <f t="shared" si="5"/>
        <v>-0.96592583607220739</v>
      </c>
      <c r="F11" s="572">
        <f t="shared" si="6"/>
        <v>-1.3545538354532609E-2</v>
      </c>
      <c r="G11" s="579">
        <f t="shared" si="7"/>
        <v>0.2584643062376179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-7.059082892006046E-8</v>
      </c>
      <c r="O11" s="572">
        <f t="shared" si="14"/>
        <v>1.8261055065442895</v>
      </c>
      <c r="P11" s="576">
        <f t="shared" si="15"/>
        <v>-0.55355165062300449</v>
      </c>
      <c r="Q11" s="528">
        <f t="shared" ref="Q11:Q73" si="140">IF(M11="","",IF(DEGREES(ATAN2(N11,O11))&lt;0,DEGREES(ATAN2(N11,O11))+360,IF(DEGREES(ATAN2(N11,O11))&gt;360,DEGREES(ATAN2(N11,O11))-360,DEGREES(ATAN2(N11,O11)))))</f>
        <v>90.000002214853708</v>
      </c>
      <c r="R11" s="572">
        <f t="shared" si="101"/>
        <v>1.8261055065442908</v>
      </c>
      <c r="S11" s="577">
        <f t="shared" si="102"/>
        <v>-0.55355165062300449</v>
      </c>
      <c r="T11" s="578">
        <f t="shared" si="103"/>
        <v>1.8261055065442908</v>
      </c>
      <c r="U11" s="572">
        <f t="shared" si="104"/>
        <v>2.0393822039857916E-8</v>
      </c>
      <c r="V11" s="579">
        <f t="shared" ref="V11:V105" si="141">IF(M11="","",Y11)</f>
        <v>-0.55355165062300449</v>
      </c>
      <c r="W11" s="528">
        <f t="shared" si="16"/>
        <v>6.3987536691456626E-7</v>
      </c>
      <c r="X11" s="572">
        <f>IF(M11="","",R11)</f>
        <v>1.8261055065442908</v>
      </c>
      <c r="Y11" s="573">
        <f t="shared" si="17"/>
        <v>-0.55355165062300449</v>
      </c>
      <c r="Z11" s="575">
        <f t="shared" si="18"/>
        <v>0.96592583607220739</v>
      </c>
      <c r="AA11" s="572">
        <f t="shared" si="19"/>
        <v>1.3545538354532609E-2</v>
      </c>
      <c r="AB11" s="572">
        <f t="shared" si="20"/>
        <v>-0.2584643062376179</v>
      </c>
      <c r="AC11" s="579">
        <f t="shared" si="106"/>
        <v>1</v>
      </c>
      <c r="AD11" s="580">
        <f t="shared" ref="AD11:AD105" si="142">IF(M11="","",Z11*(1/SQRT(Z11^2+AA11^2+AB11^2)))</f>
        <v>0.96592583607220739</v>
      </c>
      <c r="AE11" s="572">
        <f t="shared" si="107"/>
        <v>1.3545538354532609E-2</v>
      </c>
      <c r="AF11" s="576">
        <f t="shared" si="108"/>
        <v>-0.2584643062376179</v>
      </c>
      <c r="AG11" s="545">
        <f>IF(M11="","",DEGREES(ATAN2(-AF11,AE11)))</f>
        <v>2.999999566853655</v>
      </c>
      <c r="AH11" s="546">
        <f t="shared" si="110"/>
        <v>14.999997834268255</v>
      </c>
      <c r="AI11" s="528">
        <f t="shared" si="111"/>
        <v>-75.021040994812239</v>
      </c>
      <c r="AJ11" s="529">
        <f t="shared" si="112"/>
        <v>90.803427428047385</v>
      </c>
      <c r="AK11" s="578">
        <f>IF(M11="","",(COS(RADIANS((90-$Q$8)-W11))*AD11)+(-SIN(RADIANS((90-$Q$8)-W11))*AE11))</f>
        <v>0.96592583659582953</v>
      </c>
      <c r="AL11" s="572">
        <f t="shared" si="113"/>
        <v>1.3545501015230502E-2</v>
      </c>
      <c r="AM11" s="577">
        <f t="shared" si="114"/>
        <v>-0.2584643062376179</v>
      </c>
      <c r="AN11" s="524">
        <f>IF(M11="","",DEGREES(ATAN2(-AM11,AL11)))</f>
        <v>2.9999913122339605</v>
      </c>
      <c r="AO11" s="525">
        <f>IF(ROUND(IF(M11="",0,DEGREES(ACOS(AK11))),4)=90,0,IF(M11="","",DEGREES(ACOS(AK11))))</f>
        <v>14.999997718351972</v>
      </c>
      <c r="AP11" s="528">
        <f t="shared" si="117"/>
        <v>0.80342521319367755</v>
      </c>
      <c r="AQ11" s="529">
        <f>IF(M11="","",DEGREES(ATAN(($AS$5*SIN(RADIANS(90)))/(($X11*2*PI())-($AS$5*COS(RADIANS(90)))))))</f>
        <v>1.2482115391503295</v>
      </c>
      <c r="AS11" s="932">
        <f t="shared" ref="AS11:AS42" si="143">IF(G11="","",IF(AND(W11&lt;(AS10+180),W11&gt;(AS10-180)),W11,IF(W11&gt;(AS10+180),W11-360,IF(W11&lt;(AS10-180),W11+360,"Error"))))</f>
        <v>6.3987536691456626E-7</v>
      </c>
      <c r="AT11" s="928">
        <f t="shared" si="22"/>
        <v>-0.55355164056547013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0.63838146813450858</v>
      </c>
      <c r="BA11" s="296">
        <f t="shared" si="24"/>
        <v>7.2745089611059799E-2</v>
      </c>
      <c r="BB11" s="291">
        <f t="shared" ref="BB11:BB73" si="145">IF(ISNUMBER($AV11),$AX11-($AT11+$AS$5),"")</f>
        <v>0.52935164056547013</v>
      </c>
      <c r="BC11" s="9"/>
      <c r="BD11" s="5">
        <f t="shared" ref="BD11:BD73" si="146">IF(ISNUMBER(AV11),AW11,"")</f>
        <v>1.6409</v>
      </c>
      <c r="BE11" s="6">
        <f t="shared" si="25"/>
        <v>-2.420001005753436E-2</v>
      </c>
      <c r="BF11" s="4">
        <f t="shared" si="26"/>
        <v>-7.059082892006046E-8</v>
      </c>
      <c r="BG11" s="5">
        <f t="shared" si="27"/>
        <v>1.8261055065442895</v>
      </c>
      <c r="BH11" s="10">
        <f t="shared" si="28"/>
        <v>-0.55355165062300449</v>
      </c>
      <c r="BI11" s="9">
        <f t="shared" ref="BI11:BI74" si="147">IF(ISNUMBER($AV11),BF11+0,"")</f>
        <v>-7.059082892006046E-8</v>
      </c>
      <c r="BJ11" s="5">
        <f t="shared" si="29"/>
        <v>2.8247350416945141</v>
      </c>
      <c r="BK11" s="8">
        <f t="shared" si="30"/>
        <v>-0.50121570192953002</v>
      </c>
      <c r="BL11" s="173">
        <f t="shared" si="31"/>
        <v>0.25881893800051681</v>
      </c>
      <c r="BM11" s="5">
        <f t="shared" si="32"/>
        <v>1.7755528615459131</v>
      </c>
      <c r="BN11" s="6">
        <f t="shared" si="33"/>
        <v>0.41105041804337616</v>
      </c>
      <c r="BO11" s="4">
        <f t="shared" ref="BO11:BO74" si="148">IF(ISNUMBER($AV11),BJ11*BN11-BM11*BK11-BG11*(BN11-BK11)+BH11*(BM11-BJ11),"")</f>
        <v>0.96592583607220728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1.3545538354532594E-2</v>
      </c>
      <c r="BQ11" s="5">
        <f t="shared" ref="BQ11:BQ74" si="149">IF(ISNUMBER($AV11),BF11*(BJ11-BM11)-BG11*(BI11-BL11)+(BI11*BM11-BL11*BJ11),"")</f>
        <v>-0.25846430623761762</v>
      </c>
      <c r="BR11" s="6">
        <f t="shared" ref="BR11:BR74" si="150">IF(ISNUMBER($AV11),-(BF11*(BJ11*BN11-BM11*BK11)-BG11*(BI11*BN11-BL11*BK11)+BH11*(BI11*BM11-BL11*BJ11)),"")</f>
        <v>-0.16780885733777631</v>
      </c>
      <c r="BS11" s="4">
        <f t="shared" si="118"/>
        <v>0</v>
      </c>
      <c r="BT11" s="5">
        <f t="shared" si="118"/>
        <v>0</v>
      </c>
      <c r="BU11" s="10">
        <f t="shared" si="119"/>
        <v>-2.420001005753436E-2</v>
      </c>
      <c r="BV11" s="9">
        <f t="shared" si="120"/>
        <v>0</v>
      </c>
      <c r="BW11" s="5">
        <f t="shared" si="121"/>
        <v>1</v>
      </c>
      <c r="BX11" s="8">
        <f t="shared" si="122"/>
        <v>-2.420001005753436E-2</v>
      </c>
      <c r="BY11" s="173">
        <f t="shared" si="123"/>
        <v>1</v>
      </c>
      <c r="BZ11" s="5">
        <f t="shared" si="124"/>
        <v>0</v>
      </c>
      <c r="CA11" s="6">
        <f t="shared" si="125"/>
        <v>-2.420001005753436E-2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-2.420001005753436E-2</v>
      </c>
      <c r="CF11" s="4">
        <f t="shared" ref="CF11:CF74" si="155">IF(ISNUMBER($AV11),(BP11*CD11)-(BQ11*CC11),"")</f>
        <v>-1.3545538354532594E-2</v>
      </c>
      <c r="CG11" s="5">
        <f t="shared" ref="CG11:CG74" si="156">IF(ISNUMBER($AV11),(BQ11*CB11)-(BO11*CD11),"")</f>
        <v>0.96592583607220728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11.926732943268608</v>
      </c>
      <c r="CK11" s="8">
        <f t="shared" si="128"/>
        <v>-2.4200010057534364E-2</v>
      </c>
      <c r="CL11" s="173">
        <f t="shared" si="129"/>
        <v>-1.3545538354532594E-2</v>
      </c>
      <c r="CM11" s="5">
        <f t="shared" si="130"/>
        <v>12.892658779340815</v>
      </c>
      <c r="CN11" s="6">
        <f t="shared" si="131"/>
        <v>-2.4200010057534364E-2</v>
      </c>
      <c r="CO11" s="167">
        <f t="shared" si="35"/>
        <v>0.3125</v>
      </c>
      <c r="CP11" s="4">
        <f>IF(ISNUMBER($AV11),(CL11-CI11)^2+(CM11-CJ11)^2+(CN11-CK11)^2,"")</f>
        <v>0.93319620240110701</v>
      </c>
      <c r="CQ11" s="5">
        <f>IF(ISNUMBER($AV11),2*((CL11-CI11)*(CI11-BF11)+(CM11-CJ11)*(CJ11-BG11)+(CN11-CK11)*(CK11-BH11)),"")</f>
        <v>19.512914001431245</v>
      </c>
      <c r="CR11" s="5">
        <f t="shared" ref="CR11:CR74" si="158">IF(ISNUMBER($AV11),BF11^2+BG11^2+BH11^2+CI11^2+CJ11^2+CK11^2-2*(BF11*CI11+BG11*CJ11+BH11*CK11)-CO11^2,"")</f>
        <v>102.20523152487742</v>
      </c>
      <c r="CS11" s="8">
        <f t="shared" ref="CS11:CS74" si="159">IF(ISNUMBER($AV11),CQ11^2-(4*CP11*CR11),"")</f>
        <v>-0.75632287091451644</v>
      </c>
      <c r="CT11" s="9" t="e">
        <f t="shared" ref="CT11:CT74" si="160">IF(ISNUMBER($AV11),(-CQ11+SQRT(CS11))/(CP11*2),"")</f>
        <v>#NUM!</v>
      </c>
      <c r="CU11" s="6" t="e">
        <f t="shared" ref="CU11:CU74" si="161">IF(ISNUMBER($AV11),(-CQ11-SQRT(CS11))/(CP11*2),"")</f>
        <v>#NUM!</v>
      </c>
      <c r="CV11" s="4" t="e">
        <f>IF(ISNUMBER($AV11),CI11+($CT11*(CL11-CI11)),"")</f>
        <v>#NUM!</v>
      </c>
      <c r="CW11" s="5" t="e">
        <f t="shared" ref="CW11:CW74" si="162">IF(ISNUMBER($AV11),CJ11+($CT11*(CM11-CJ11)),"")</f>
        <v>#NUM!</v>
      </c>
      <c r="CX11" s="8" t="e">
        <f t="shared" ref="CX11:CX74" si="163">IF(ISNUMBER($AV11),CK11+($CT11*(CN11-CK11)),"")</f>
        <v>#NUM!</v>
      </c>
      <c r="CY11" s="9" t="e">
        <f t="shared" ref="CY11:CY74" si="164">IF(ISNUMBER($AV11),CI11+($CU11*(CL11-CI11)),"")</f>
        <v>#NUM!</v>
      </c>
      <c r="CZ11" s="5" t="e">
        <f t="shared" ref="CZ11:CZ74" si="165">IF(ISNUMBER($AV11),CJ11+($CU11*(CM11-CJ11)),"")</f>
        <v>#NUM!</v>
      </c>
      <c r="DA11" s="6" t="e">
        <f t="shared" ref="DA11:DA74" si="166">IF(ISNUMBER($AV11),CK11+($CU11*(CN11-CK11)),"")</f>
        <v>#NUM!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 t="e">
        <f t="shared" ref="DL11:DL74" si="175">IF(ISNUMBER($AV11),CV11-DB11,"")</f>
        <v>#NUM!</v>
      </c>
      <c r="DM11" s="173" t="e">
        <f t="shared" ref="DM11:DM74" si="176">IF(ISNUMBER($AV11),CW11-DC11,"")</f>
        <v>#NUM!</v>
      </c>
      <c r="DN11" s="178" t="e">
        <f t="shared" ref="DN11:DN74" si="177">IF(ISNUMBER($AV11),CX11-DD11,"")</f>
        <v>#NUM!</v>
      </c>
      <c r="DO11" s="9" t="e">
        <f t="shared" ref="DO11:DO74" si="178">IF(ISNUMBER($AV11),CY11-CV11,"")</f>
        <v>#NUM!</v>
      </c>
      <c r="DP11" s="173" t="e">
        <f t="shared" ref="DP11:DP74" si="179">IF(ISNUMBER($AV11),CZ11-CW11,"")</f>
        <v>#NUM!</v>
      </c>
      <c r="DQ11" s="11" t="e">
        <f t="shared" ref="DQ11:DQ74" si="180">IF(ISNUMBER($AV11),DA11-CX11,"")</f>
        <v>#NUM!</v>
      </c>
      <c r="DR11" s="173" t="e">
        <f t="shared" ref="DR11:DR74" si="181">IF(ISNUMBER($AV11),SUMPRODUCT(DI11:DK11,DL11:DN11),"")</f>
        <v>#NUM!</v>
      </c>
      <c r="DS11" s="5" t="e">
        <f t="shared" ref="DS11:DS74" si="182">IF(ISNUMBER($AV11),SUMPRODUCT(DO11:DQ11,DI11:DK11),"")</f>
        <v>#NUM!</v>
      </c>
      <c r="DT11" s="5">
        <f t="shared" ref="DT11:DT74" si="183">IF(ISNUMBER($AV11),SUMPRODUCT(DI11:DK11,DI11:DK11),"")</f>
        <v>400</v>
      </c>
      <c r="DU11" s="5" t="e">
        <f t="shared" ref="DU11:DU74" si="184">IF(ISNUMBER($AV11),SUMPRODUCT(DO11:DQ11,DO11:DQ11),"")</f>
        <v>#NUM!</v>
      </c>
      <c r="DV11" s="5" t="e">
        <f t="shared" ref="DV11:DV74" si="185">IF(ISNUMBER($AV11),SUMPRODUCT(DL11:DN11,DO11:DQ11),"")</f>
        <v>#NUM!</v>
      </c>
      <c r="DW11" s="5" t="e">
        <f t="shared" ref="DW11:DW74" si="186">IF(ISNUMBER($AV11),SUMPRODUCT(DL11:DN11,DL11:DN11),"")</f>
        <v>#NUM!</v>
      </c>
      <c r="DX11" s="167" t="e">
        <f t="shared" ref="DX11:DX74" si="187">IF(ISNUMBER($AV11),DW11-DH11*DH11,"")</f>
        <v>#NUM!</v>
      </c>
      <c r="DY11" s="9" t="e">
        <f t="shared" ref="DY11:DY74" si="188">IF(ISNUMBER($AV11),DT11*DU11-DS11*DS11,"")</f>
        <v>#NUM!</v>
      </c>
      <c r="DZ11" s="5" t="e">
        <f t="shared" ref="DZ11:DZ74" si="189">IF(ISNUMBER($AV11),DT11*DV11-DS11*DR11,"")</f>
        <v>#NUM!</v>
      </c>
      <c r="EA11" s="10" t="e">
        <f t="shared" ref="EA11:EA74" si="190">IF(ISNUMBER($AV11),DT11*DX11-DR11*DR11,"")</f>
        <v>#NUM!</v>
      </c>
      <c r="EB11" s="6" t="e">
        <f t="shared" ref="EB11:EB74" si="191">IF(ISNUMBER($AV11),DZ11*DZ11-DY11*EA11,"")</f>
        <v>#NUM!</v>
      </c>
      <c r="EC11" s="173" t="e">
        <f t="shared" ref="EC11:EC74" si="192">IF(ISNUMBER($AV11),(-DZ11+SQRT(DZ11^2-DY11*EA11))/DY11,"")</f>
        <v>#NUM!</v>
      </c>
      <c r="ED11" s="5" t="e">
        <f t="shared" ref="ED11:ED74" si="193">IF(ISNUMBER($AV11),(-DZ11-SQRT(DZ11^2-DY11*EA11))/DY11,"")</f>
        <v>#NUM!</v>
      </c>
      <c r="EE11" s="4" t="e">
        <f t="shared" ref="EE11:EE74" si="194">IF(ISNUMBER($AV11),CV11+DO11*$EC11,"")</f>
        <v>#NUM!</v>
      </c>
      <c r="EF11" s="5" t="e">
        <f t="shared" ref="EF11:EF74" si="195">IF(ISNUMBER($AV11),CW11+DP11*$EC11,"")</f>
        <v>#NUM!</v>
      </c>
      <c r="EG11" s="10" t="e">
        <f t="shared" ref="EG11:EG74" si="196">IF(ISNUMBER($AV11),CX11+DQ11*$EC11,"")</f>
        <v>#NUM!</v>
      </c>
      <c r="EH11" s="9" t="e">
        <f t="shared" ref="EH11:EH74" si="197">IF(ISNUMBER($AV11),CV11+DO11*$ED11,"")</f>
        <v>#NUM!</v>
      </c>
      <c r="EI11" s="5" t="e">
        <f t="shared" ref="EI11:EI74" si="198">IF(ISNUMBER($AV11),CW11+DP11*$ED11,"")</f>
        <v>#NUM!</v>
      </c>
      <c r="EJ11" s="6" t="e">
        <f t="shared" ref="EJ11:EJ74" si="199">IF(ISNUMBER($AV11),CX11+DQ11*$ED11,"")</f>
        <v>#NUM!</v>
      </c>
      <c r="EK11" s="236" t="e">
        <f t="shared" ref="EK11:EK74" si="200">IF(ISNUMBER($AV11),IF(OR($EC11&lt;0,$EC11&gt;1),FALSE,TRUE),"")</f>
        <v>#NUM!</v>
      </c>
      <c r="EL11" s="238" t="e">
        <f t="shared" ref="EL11:EL74" si="201">IF(ISNUMBER($AV11),IF(OR($ED11&lt;0,$ED11&gt;1),FALSE,TRUE),"")</f>
        <v>#NUM!</v>
      </c>
      <c r="EM11" s="4" t="e">
        <f t="shared" ref="EM11:EM74" si="202">IF(ISNUMBER($AV11),IF($EK11=TRUE,EE11,IF($EL11=TRUE,EH11,"")),"")</f>
        <v>#NUM!</v>
      </c>
      <c r="EN11" s="5" t="e">
        <f t="shared" ref="EN11:EN74" si="203">IF(ISNUMBER($AV11),IF($EK11=TRUE,EF11,IF($EL11=TRUE,EI11,"")),"")</f>
        <v>#NUM!</v>
      </c>
      <c r="EO11" s="10" t="e">
        <f t="shared" ref="EO11:EO74" si="204">IF(ISNUMBER($AV11),IF($EK11=TRUE,EG11,IF($EL11=TRUE,EJ11,"")),"")</f>
        <v>#NUM!</v>
      </c>
      <c r="EP11" s="9" t="e">
        <f t="shared" ref="EP11:EP74" si="205">IF(ISNUMBER($AV11),IF(DEGREES(ATAN2(EM11,EN11))&lt;0,DEGREES(ATAN2(EM11,EN11))+360,IF(DEGREES(ATAN2(EM11,EN11))&gt;360,DEGREES(ATAN2(EM11,EN11))-360,DEGREES(ATAN2(EM11,EN11)))),"")</f>
        <v>#NUM!</v>
      </c>
      <c r="EQ11" s="5" t="e">
        <f t="shared" ref="EQ11:EQ74" si="206">IF(ISNUMBER($AV11),SQRT(EM11^2+EN11^2),"")</f>
        <v>#NUM!</v>
      </c>
      <c r="ER11" s="7" t="e">
        <f t="shared" ref="ER11:ER74" si="207">IF(ISNUMBER($AV11),EO11,"")</f>
        <v>#NUM!</v>
      </c>
      <c r="ES11" s="21">
        <f t="shared" si="132"/>
        <v>0.96592583607220739</v>
      </c>
      <c r="ET11" s="5">
        <f t="shared" si="44"/>
        <v>1.3545538354532609E-2</v>
      </c>
      <c r="EU11" s="10">
        <f t="shared" si="45"/>
        <v>-0.2584643062376179</v>
      </c>
      <c r="EV11" s="174" t="e">
        <f t="shared" si="46"/>
        <v>#NUM!</v>
      </c>
      <c r="EW11" s="9" t="e">
        <f t="shared" si="133"/>
        <v>#NUM!</v>
      </c>
      <c r="EX11" s="5" t="e">
        <f t="shared" si="47"/>
        <v>#NUM!</v>
      </c>
      <c r="EY11" s="6">
        <f t="shared" ref="EY11:EY74" si="208">IF(ISNUMBER($AV11),EU11,"")</f>
        <v>-0.2584643062376179</v>
      </c>
      <c r="EZ11" s="51" t="e">
        <f t="shared" ref="EZ11:EZ74" si="209">IF(ISNUMBER($AV11),DEGREES(ATAN($AS$5/($EQ11*2*PI()))),"")</f>
        <v>#NUM!</v>
      </c>
      <c r="FA11" s="266" t="e">
        <f t="shared" si="134"/>
        <v>#NUM!</v>
      </c>
      <c r="FB11" s="267" t="e">
        <f t="shared" si="135"/>
        <v>#NUM!</v>
      </c>
      <c r="FC11" s="269" t="e">
        <f t="shared" si="48"/>
        <v>#NUM!</v>
      </c>
      <c r="FD11" s="4" t="e">
        <f t="shared" si="136"/>
        <v>#NUM!</v>
      </c>
      <c r="FE11" s="5" t="e">
        <f t="shared" si="49"/>
        <v>#NUM!</v>
      </c>
      <c r="FF11" s="7" t="e">
        <f t="shared" ref="FF11:FF74" si="210">IF(ISNUMBER($AV11),FC11,"")</f>
        <v>#NUM!</v>
      </c>
      <c r="FG11" s="173" t="e">
        <f t="shared" ref="FG11:FG40" si="211">IF(ISNUMBER($AV11),EW11-FD11,"")</f>
        <v>#NUM!</v>
      </c>
      <c r="FH11" s="5" t="e">
        <f t="shared" si="50"/>
        <v>#NUM!</v>
      </c>
      <c r="FI11" s="10" t="e">
        <f t="shared" si="51"/>
        <v>#NUM!</v>
      </c>
      <c r="FJ11" s="279" t="e">
        <f t="shared" ref="FJ11:FJ74" si="212">IF(ISNUMBER($AV11),DEGREES(ACOS((2-SQRT((FG11)^2+(FH11)^2+(FI11)^2)^2)/2)),"")</f>
        <v>#NUM!</v>
      </c>
      <c r="FK11" s="4">
        <f t="shared" si="52"/>
        <v>0.96602080847210892</v>
      </c>
      <c r="FL11" s="5" t="e">
        <f t="shared" ref="FL11:FL73" si="213">IF(ISNUMBER($AV11),SQRT(FA11^2+FB11^2),"")</f>
        <v>#NUM!</v>
      </c>
      <c r="FM11" s="8" t="e">
        <f t="shared" ref="FM11:FM73" si="214">IF(ISNUMBER($AV11),SQRT(FG11^2+FH11^2),"")</f>
        <v>#NUM!</v>
      </c>
      <c r="FN11" s="9" t="e">
        <f t="shared" ref="FN11:FN73" si="215">IF(ISNUMBER($AV11),DEGREES(ACOS((FK11^2+FL11^2-FM11^2)/(2*FK11*FL11))),"")</f>
        <v>#NUM!</v>
      </c>
      <c r="FO11" s="10" t="e">
        <f t="shared" si="53"/>
        <v>#NUM!</v>
      </c>
      <c r="FP11" s="277" t="e">
        <f t="shared" si="54"/>
        <v>#NUM!</v>
      </c>
      <c r="FQ11" s="173" t="e">
        <f>IF(ISNUMBER($AV11),SIN(RADIANS(FN11)),"")</f>
        <v>#NUM!</v>
      </c>
      <c r="FR11" s="10" t="e">
        <f t="shared" ref="FR11:FR74" si="216">IF(ISNUMBER($AV11),COS(RADIANS(FN11)),"")</f>
        <v>#NUM!</v>
      </c>
      <c r="FS11" s="9" t="e">
        <f t="shared" ref="FS11:FS74" si="217">IF(ISNUMBER($AV11),FQ11/(FQ11+FR11),"")</f>
        <v>#NUM!</v>
      </c>
      <c r="FT11" s="6" t="e">
        <f t="shared" ref="FT11:FT74" si="218">IF(ISNUMBER($AV11),FR11/(FQ11+FR11),"")</f>
        <v>#NUM!</v>
      </c>
      <c r="FU11" s="4" t="e">
        <f t="shared" ref="FU11:FU74" si="219">IF(ISNUMBER($AV11),SQRT(EW11^2+EY11^2),"")</f>
        <v>#NUM!</v>
      </c>
      <c r="FV11" s="5" t="e">
        <f t="shared" ref="FV11:FV74" si="220">IF(ISNUMBER($AV11),SQRT(FD11^2+FF11^2),"")</f>
        <v>#NUM!</v>
      </c>
      <c r="FW11" s="8" t="e">
        <f>IF(ISNUMBER($AV11),SQRT(FG11^2+FI11^2),"")</f>
        <v>#NUM!</v>
      </c>
      <c r="FX11" s="9" t="e">
        <f>IF(ISNUMBER($AV11),DEGREES(ACOS((FU11^2+FV11^2-FW11^2)/(2*FU11*FV11))),"")</f>
        <v>#NUM!</v>
      </c>
      <c r="FY11" s="10" t="e">
        <f t="shared" si="55"/>
        <v>#NUM!</v>
      </c>
      <c r="FZ11" s="277" t="e">
        <f>IF(ISNUMBER($AV11),FX11*FY11,"")</f>
        <v>#NUM!</v>
      </c>
      <c r="GA11" s="177" t="e">
        <f t="shared" ref="GA11:GA74" si="221">IF(ISNUMBER($AV11),DEGREES(FZ11*SIN(RADIANS(FU11))),"")</f>
        <v>#NUM!</v>
      </c>
      <c r="GB11" s="4" t="e">
        <f t="shared" ref="GB11:GB74" si="222">IF(ISNUMBER($AV11),COS(RADIANS(FP11+90))*COS(RADIANS(FZ11)),"")</f>
        <v>#NUM!</v>
      </c>
      <c r="GC11" s="5" t="e">
        <f t="shared" ref="GC11:GC74" si="223">IF(ISNUMBER($AV11),SIN(RADIANS(FP11+90))*COS(RADIANS(FZ11)),"")</f>
        <v>#NUM!</v>
      </c>
      <c r="GD11" s="10" t="e">
        <f t="shared" ref="GD11:GD74" si="224">IF(ISNUMBER($AV11),-SIN(RADIANS(FZ11)),"")</f>
        <v>#NUM!</v>
      </c>
      <c r="GE11" s="311" t="e">
        <f t="shared" ref="GE11:GE74" si="225">IF(ISNUMBER($AV11),SUM(ABS(GB11),ABS(GC11),ABS(GD11)),"")</f>
        <v>#NUM!</v>
      </c>
      <c r="GF11" s="341" t="e">
        <f>IF(ISNUMBER($AV11),1/GE11,"")</f>
        <v>#NUM!</v>
      </c>
      <c r="GG11" s="285" t="e">
        <f t="shared" si="56"/>
        <v>#NUM!</v>
      </c>
      <c r="GH11" s="286" t="e">
        <f t="shared" si="57"/>
        <v>#NUM!</v>
      </c>
      <c r="GI11" s="281" t="e">
        <f t="shared" si="58"/>
        <v>#NUM!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81">
        <f t="shared" ref="GN11:GN74" si="228">IF(ISNUMBER($AV11),BA11,"")</f>
        <v>7.2745089611059799E-2</v>
      </c>
      <c r="GO11" s="4" t="e">
        <f t="shared" ref="GO11:GO74" si="229">IF(ISNUMBER($AV11),FP11,"")</f>
        <v>#NUM!</v>
      </c>
      <c r="GP11" s="8" t="e">
        <f>IF(ISNUMBER($AV11),FZ11,"")</f>
        <v>#NUM!</v>
      </c>
      <c r="GQ11" s="177" t="e">
        <f t="shared" ref="GQ11:GQ74" si="230">IF(ISNUMBER($AV11),FJ11,"")</f>
        <v>#NUM!</v>
      </c>
      <c r="GR11" s="371" t="e">
        <f>IF(ISNUMBER($AV11),GS11+GU11+GY11,"")</f>
        <v>#NUM!</v>
      </c>
      <c r="GS11" s="342" t="e">
        <f>IF(ISNUMBER($AV11),GU11/GH11*GG11,"")</f>
        <v>#NUM!</v>
      </c>
      <c r="GT11" s="343" t="e">
        <f t="shared" si="62"/>
        <v>#NUM!</v>
      </c>
      <c r="GU11" s="344">
        <f>IF(ISNUMBER($AV11),$GV11*$GK11,"")</f>
        <v>1569.3544424973336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 t="e">
        <f t="shared" si="66"/>
        <v>#NUM!</v>
      </c>
      <c r="GZ11" s="345" t="e">
        <f t="shared" si="67"/>
        <v>#NUM!</v>
      </c>
      <c r="HA11" s="342" t="e">
        <f t="shared" si="68"/>
        <v>#NUM!</v>
      </c>
      <c r="HB11" s="5" t="e">
        <f t="shared" ref="HB11:HB74" si="231">IF(ISNUMBER($AV11),$EV11,"")</f>
        <v>#NUM!</v>
      </c>
      <c r="HC11" s="343" t="e">
        <f t="shared" ref="HC11:HC74" si="232">IF(ISNUMBER($AV11),HA11*COS(RADIANS(HB11)),"")</f>
        <v>#NUM!</v>
      </c>
      <c r="HD11" s="345" t="e">
        <f t="shared" ref="HD11:HD74" si="233">IF(ISNUMBER($AV11),HA11*SIN(RADIANS(HB11)),"")</f>
        <v>#NUM!</v>
      </c>
      <c r="HE11" s="344" t="e">
        <f t="shared" si="69"/>
        <v>#NUM!</v>
      </c>
      <c r="HF11" s="5" t="e">
        <f t="shared" si="70"/>
        <v>#NUM!</v>
      </c>
      <c r="HG11" s="343" t="e">
        <f t="shared" ref="HG11:HG74" si="234">IF(ISNUMBER($AV11),HE11*COS(RADIANS(HF11)),"")</f>
        <v>#NUM!</v>
      </c>
      <c r="HH11" s="349" t="e">
        <f t="shared" ref="HH11:HH74" si="235">IF(ISNUMBER($AV11),HE11*SIN(RADIANS(HF11)),"")</f>
        <v>#NUM!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3.1030000000000002</v>
      </c>
      <c r="HM11" s="909" t="e">
        <f>IF(ISNUMBER($HL11),INDEX(GO$9:GO$150,MATCH($HL11,$AV$9:$AV$150,0)),"")</f>
        <v>#NUM!</v>
      </c>
      <c r="HN11" s="910">
        <f t="shared" si="73"/>
        <v>17.499997473312991</v>
      </c>
      <c r="HO11" s="911"/>
      <c r="HP11" s="912"/>
      <c r="HQ11" s="910" t="e">
        <f t="shared" si="74"/>
        <v>#NUM!</v>
      </c>
      <c r="HR11" s="913" t="e">
        <f t="shared" si="75"/>
        <v>#NUM!</v>
      </c>
      <c r="HS11" s="865">
        <f>IFERROR(SMALL($GJ$9:$GJ$150,($HK10+1)),"")</f>
        <v>0.69930000000000003</v>
      </c>
      <c r="HT11" s="875">
        <f t="shared" si="76"/>
        <v>6.0400000000000002E-2</v>
      </c>
      <c r="HU11" s="876">
        <f t="shared" si="77"/>
        <v>0.26581665411209499</v>
      </c>
      <c r="HV11" s="872">
        <f t="shared" si="78"/>
        <v>3.029044119968425E-2</v>
      </c>
      <c r="HW11" s="866">
        <f t="shared" si="79"/>
        <v>29500</v>
      </c>
      <c r="HX11" s="867">
        <f t="shared" si="80"/>
        <v>103.834395</v>
      </c>
      <c r="HY11" s="866" t="e">
        <f t="shared" si="81"/>
        <v>#NUM!</v>
      </c>
      <c r="HZ11" s="868">
        <f t="shared" si="82"/>
        <v>653.46594135890018</v>
      </c>
      <c r="IA11" s="869" t="e">
        <f t="shared" si="83"/>
        <v>#NUM!</v>
      </c>
      <c r="IB11" s="870" t="e">
        <f t="shared" si="84"/>
        <v>#NUM!</v>
      </c>
      <c r="IC11" s="841" t="e">
        <f t="shared" si="85"/>
        <v>#NUM!</v>
      </c>
      <c r="ID11" s="351">
        <f t="shared" si="86"/>
        <v>1781.8</v>
      </c>
      <c r="IE11" s="843" t="e">
        <f t="shared" si="87"/>
        <v>#NUM!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578">
        <f t="shared" si="2"/>
        <v>-7.059082892859748E-8</v>
      </c>
      <c r="C12" s="572">
        <f t="shared" si="3"/>
        <v>2.568007744121438</v>
      </c>
      <c r="D12" s="576">
        <f t="shared" si="4"/>
        <v>-0.35475105104039617</v>
      </c>
      <c r="E12" s="580">
        <f t="shared" si="5"/>
        <v>-0.96592583607220739</v>
      </c>
      <c r="F12" s="572">
        <f t="shared" si="6"/>
        <v>-1.3545538354532602E-2</v>
      </c>
      <c r="G12" s="579">
        <f t="shared" si="7"/>
        <v>0.2584643062376179</v>
      </c>
      <c r="H12" s="580">
        <f t="shared" si="8"/>
        <v>0.3125</v>
      </c>
      <c r="I12" s="572">
        <f t="shared" si="9"/>
        <v>0.52</v>
      </c>
      <c r="J12" s="483">
        <f t="shared" si="10"/>
        <v>1.1100000000000001</v>
      </c>
      <c r="K12" s="806">
        <f t="shared" si="11"/>
        <v>1613</v>
      </c>
      <c r="L12" s="716" t="s">
        <v>357</v>
      </c>
      <c r="M12" s="164">
        <f t="shared" si="12"/>
        <v>1.1100000000000001</v>
      </c>
      <c r="N12" s="575">
        <f t="shared" si="13"/>
        <v>-7.059082892859748E-8</v>
      </c>
      <c r="O12" s="572">
        <f t="shared" si="14"/>
        <v>2.568007744121438</v>
      </c>
      <c r="P12" s="576">
        <f t="shared" si="15"/>
        <v>-0.35475105104039617</v>
      </c>
      <c r="Q12" s="528">
        <f>IF(M12="","",IF(DEGREES(ATAN2(N12,O12))&lt;0,DEGREES(ATAN2(N12,O12))+360,IF(DEGREES(ATAN2(N12,O12))&gt;360,DEGREES(ATAN2(N12,O12))-360,DEGREES(ATAN2(N12,O12)))))</f>
        <v>90.000001574978342</v>
      </c>
      <c r="R12" s="572">
        <f t="shared" si="101"/>
        <v>2.5680077441214388</v>
      </c>
      <c r="S12" s="577">
        <f t="shared" si="102"/>
        <v>-0.35475105104039617</v>
      </c>
      <c r="T12" s="578">
        <f>IF(M12="","",X12*COS(RADIANS(W12)))</f>
        <v>2.5680077441214388</v>
      </c>
      <c r="U12" s="572">
        <f t="shared" si="104"/>
        <v>0</v>
      </c>
      <c r="V12" s="579">
        <f t="shared" si="141"/>
        <v>-0.35475105104039617</v>
      </c>
      <c r="W12" s="528">
        <f>IF(M12="","",IF(Q12-$Q$8&lt;0,360+Q12-$Q$8,Q12-$Q$8))</f>
        <v>0</v>
      </c>
      <c r="X12" s="572">
        <f t="shared" si="105"/>
        <v>2.5680077441214388</v>
      </c>
      <c r="Y12" s="573">
        <f t="shared" si="17"/>
        <v>-0.35475105104039617</v>
      </c>
      <c r="Z12" s="575">
        <f t="shared" si="18"/>
        <v>0.96592583607220739</v>
      </c>
      <c r="AA12" s="572">
        <f t="shared" si="19"/>
        <v>1.3545538354532602E-2</v>
      </c>
      <c r="AB12" s="572">
        <f t="shared" si="20"/>
        <v>-0.2584643062376179</v>
      </c>
      <c r="AC12" s="579">
        <f t="shared" si="106"/>
        <v>1</v>
      </c>
      <c r="AD12" s="580">
        <f t="shared" si="142"/>
        <v>0.96592583607220739</v>
      </c>
      <c r="AE12" s="572">
        <f t="shared" si="107"/>
        <v>1.3545538354532602E-2</v>
      </c>
      <c r="AF12" s="576">
        <f t="shared" si="108"/>
        <v>-0.2584643062376179</v>
      </c>
      <c r="AG12" s="545">
        <f t="shared" si="109"/>
        <v>2.9999995668536537</v>
      </c>
      <c r="AH12" s="546">
        <f t="shared" si="110"/>
        <v>14.999997834268255</v>
      </c>
      <c r="AI12" s="528">
        <f t="shared" si="111"/>
        <v>-75.021040994812239</v>
      </c>
      <c r="AJ12" s="529">
        <f t="shared" si="112"/>
        <v>90.803427428047385</v>
      </c>
      <c r="AK12" s="578">
        <f t="shared" ref="AK12:AK105" si="238">IF(M12="","",(COS(RADIANS((90-$Q$8)-W12))*AD12)+(-SIN(RADIANS((90-$Q$8)-W12))*AE12))</f>
        <v>0.96592583644455432</v>
      </c>
      <c r="AL12" s="572">
        <f>IF(M12="","",(SIN(RADIANS((90-$Q$8)-W12))*AD12)+(COS(RADIANS((90-$Q$8)-W12))*AE12))</f>
        <v>1.3545511802624512E-2</v>
      </c>
      <c r="AM12" s="577">
        <f t="shared" si="114"/>
        <v>-0.2584643062376179</v>
      </c>
      <c r="AN12" s="524">
        <f>IF(M12="","",DEGREES(ATAN2(-AM12,AL12)))</f>
        <v>2.9999936970089967</v>
      </c>
      <c r="AO12" s="525">
        <f t="shared" si="116"/>
        <v>14.999997751840365</v>
      </c>
      <c r="AP12" s="528">
        <f t="shared" si="117"/>
        <v>0.80342585306904402</v>
      </c>
      <c r="AQ12" s="529">
        <f t="shared" si="21"/>
        <v>0.88767031035348709</v>
      </c>
      <c r="AS12" s="932">
        <f t="shared" si="143"/>
        <v>0</v>
      </c>
      <c r="AT12" s="928">
        <f>IF(M12="","",Y12+(((AS12-$AS$9)*$AS$6)*-1))</f>
        <v>-0.35475104053850387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>
        <f t="shared" si="137"/>
        <v>4</v>
      </c>
      <c r="HL12" s="348">
        <f t="shared" si="72"/>
        <v>1.1040000000000001</v>
      </c>
      <c r="HM12" s="909" t="e">
        <f t="shared" si="138"/>
        <v>#NUM!</v>
      </c>
      <c r="HN12" s="910">
        <f t="shared" si="73"/>
        <v>15.999997482891414</v>
      </c>
      <c r="HO12" s="911"/>
      <c r="HP12" s="912"/>
      <c r="HQ12" s="910" t="e">
        <f t="shared" si="74"/>
        <v>#NUM!</v>
      </c>
      <c r="HR12" s="913" t="e">
        <f t="shared" si="75"/>
        <v>#NUM!</v>
      </c>
      <c r="HS12" s="865">
        <f>IFERROR(SMALL($GJ$9:$GJ$150,($HK11+1)),"")</f>
        <v>0.93310000000000004</v>
      </c>
      <c r="HT12" s="875">
        <f t="shared" si="76"/>
        <v>5.7200000000000001E-2</v>
      </c>
      <c r="HU12" s="876">
        <f t="shared" si="77"/>
        <v>0.3356592079101951</v>
      </c>
      <c r="HV12" s="872">
        <f t="shared" si="78"/>
        <v>3.8249166645701646E-2</v>
      </c>
      <c r="HW12" s="866">
        <f t="shared" si="79"/>
        <v>29500</v>
      </c>
      <c r="HX12" s="867">
        <f t="shared" si="80"/>
        <v>131.20941166666668</v>
      </c>
      <c r="HY12" s="866" t="e">
        <f t="shared" si="81"/>
        <v>#NUM!</v>
      </c>
      <c r="HZ12" s="868">
        <f t="shared" si="82"/>
        <v>825.16221944589643</v>
      </c>
      <c r="IA12" s="869" t="e">
        <f t="shared" si="83"/>
        <v>#NUM!</v>
      </c>
      <c r="IB12" s="870" t="e">
        <f t="shared" si="84"/>
        <v>#NUM!</v>
      </c>
      <c r="IC12" s="841" t="e">
        <f t="shared" si="85"/>
        <v>#NUM!</v>
      </c>
      <c r="ID12" s="351">
        <f t="shared" si="86"/>
        <v>1687.4</v>
      </c>
      <c r="IE12" s="843" t="e">
        <f t="shared" si="87"/>
        <v>#NUM!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578">
        <f t="shared" si="2"/>
        <v>-7.0548217947758436E-8</v>
      </c>
      <c r="C13" s="572">
        <f t="shared" si="3"/>
        <v>3.3149099989555042</v>
      </c>
      <c r="D13" s="576">
        <f t="shared" si="4"/>
        <v>-0.18335053411923408</v>
      </c>
      <c r="E13" s="580">
        <f t="shared" si="5"/>
        <v>-0.96592583607220739</v>
      </c>
      <c r="F13" s="572">
        <f t="shared" si="6"/>
        <v>1.6251377670192361E-2</v>
      </c>
      <c r="G13" s="579">
        <f t="shared" si="7"/>
        <v>0.25830828854689897</v>
      </c>
      <c r="H13" s="580">
        <f t="shared" si="8"/>
        <v>0.3125</v>
      </c>
      <c r="I13" s="572">
        <f t="shared" si="9"/>
        <v>0.52</v>
      </c>
      <c r="J13" s="483">
        <f t="shared" si="10"/>
        <v>1.113</v>
      </c>
      <c r="K13" s="806">
        <f t="shared" si="11"/>
        <v>1613</v>
      </c>
      <c r="L13" s="717" t="str">
        <f>IF($L12=$JJ$22,$JJ$29,IF($L12=$JK$22,$JK$29,""))</f>
        <v/>
      </c>
      <c r="M13" s="164">
        <f t="shared" si="12"/>
        <v>1.113</v>
      </c>
      <c r="N13" s="575">
        <f t="shared" si="13"/>
        <v>-7.0548217947758436E-8</v>
      </c>
      <c r="O13" s="572">
        <f t="shared" si="14"/>
        <v>3.3149099989555042</v>
      </c>
      <c r="P13" s="576">
        <f t="shared" si="15"/>
        <v>-0.18335053411923408</v>
      </c>
      <c r="Q13" s="528">
        <f t="shared" si="140"/>
        <v>90.000001219374013</v>
      </c>
      <c r="R13" s="572">
        <f t="shared" si="101"/>
        <v>3.3149099989555051</v>
      </c>
      <c r="S13" s="577">
        <f t="shared" si="102"/>
        <v>-0.18335053411923408</v>
      </c>
      <c r="T13" s="578">
        <f>IF(M13="","",X13*COS(RADIANS(W13)))</f>
        <v>3.3149099989555051</v>
      </c>
      <c r="U13" s="572">
        <f t="shared" si="104"/>
        <v>-2.0573878511789232E-8</v>
      </c>
      <c r="V13" s="579">
        <f t="shared" si="141"/>
        <v>-0.18335053411923408</v>
      </c>
      <c r="W13" s="528">
        <f t="shared" si="16"/>
        <v>359.99999964439564</v>
      </c>
      <c r="X13" s="572">
        <f t="shared" si="105"/>
        <v>3.3149099989555051</v>
      </c>
      <c r="Y13" s="573">
        <f t="shared" si="17"/>
        <v>-0.18335053411923408</v>
      </c>
      <c r="Z13" s="575">
        <f t="shared" si="18"/>
        <v>0.96592583607220739</v>
      </c>
      <c r="AA13" s="572">
        <f t="shared" si="19"/>
        <v>-1.6251377670192361E-2</v>
      </c>
      <c r="AB13" s="572">
        <f t="shared" si="20"/>
        <v>-0.25830828854689897</v>
      </c>
      <c r="AC13" s="579">
        <f t="shared" si="106"/>
        <v>1</v>
      </c>
      <c r="AD13" s="580">
        <f>IF(M13="","",Z13*(1/SQRT(Z13^2+AA13^2+AB13^2)))</f>
        <v>0.96592583607220739</v>
      </c>
      <c r="AE13" s="572">
        <f t="shared" si="107"/>
        <v>-1.6251377670192361E-2</v>
      </c>
      <c r="AF13" s="576">
        <f t="shared" si="108"/>
        <v>-0.25830828854689897</v>
      </c>
      <c r="AG13" s="545">
        <f>IF(M13="","",DEGREES(ATAN2(-AF13,AE13)))</f>
        <v>-3.5999994802243811</v>
      </c>
      <c r="AH13" s="546">
        <f t="shared" si="110"/>
        <v>14.999997834268255</v>
      </c>
      <c r="AI13" s="528">
        <f t="shared" si="111"/>
        <v>-75.030294379458098</v>
      </c>
      <c r="AJ13" s="529">
        <f t="shared" si="112"/>
        <v>89.036108701819913</v>
      </c>
      <c r="AK13" s="578">
        <f t="shared" si="238"/>
        <v>0.96592583572634383</v>
      </c>
      <c r="AL13" s="572">
        <f t="shared" si="113"/>
        <v>-1.6251398227113429E-2</v>
      </c>
      <c r="AM13" s="577">
        <f t="shared" si="114"/>
        <v>-0.25830828854689897</v>
      </c>
      <c r="AN13" s="524">
        <f t="shared" si="115"/>
        <v>-3.6000040220107441</v>
      </c>
      <c r="AO13" s="525">
        <f t="shared" si="116"/>
        <v>14.99999791083343</v>
      </c>
      <c r="AP13" s="528">
        <f t="shared" si="117"/>
        <v>-0.96389251755405936</v>
      </c>
      <c r="AQ13" s="529">
        <f t="shared" si="21"/>
        <v>0.6876859888336978</v>
      </c>
      <c r="AS13" s="932">
        <f t="shared" si="143"/>
        <v>-3.5560435662773671E-7</v>
      </c>
      <c r="AT13" s="928">
        <f t="shared" si="22"/>
        <v>-0.18335052337039431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>
        <f t="shared" si="137"/>
        <v>5</v>
      </c>
      <c r="HL13" s="348">
        <f t="shared" si="72"/>
        <v>5.1050000000000004</v>
      </c>
      <c r="HM13" s="909" t="e">
        <f t="shared" si="138"/>
        <v>#NUM!</v>
      </c>
      <c r="HN13" s="910">
        <f t="shared" si="73"/>
        <v>14.999997834268255</v>
      </c>
      <c r="HO13" s="911"/>
      <c r="HP13" s="912"/>
      <c r="HQ13" s="910" t="e">
        <f t="shared" si="74"/>
        <v>#NUM!</v>
      </c>
      <c r="HR13" s="913" t="e">
        <f t="shared" si="75"/>
        <v>#NUM!</v>
      </c>
      <c r="HS13" s="865">
        <f t="shared" ref="HS13:HS41" si="251">IFERROR(SMALL($GJ$9:$GJ$150,($HK12+1)),"")</f>
        <v>1.161</v>
      </c>
      <c r="HT13" s="875">
        <f t="shared" si="76"/>
        <v>5.6800000000000003E-2</v>
      </c>
      <c r="HU13" s="876">
        <f t="shared" si="77"/>
        <v>0.41458665178086257</v>
      </c>
      <c r="HV13" s="872">
        <f t="shared" si="78"/>
        <v>4.7243136965550957E-2</v>
      </c>
      <c r="HW13" s="866">
        <f t="shared" si="79"/>
        <v>29500</v>
      </c>
      <c r="HX13" s="867">
        <f t="shared" si="80"/>
        <v>162.11430000000001</v>
      </c>
      <c r="HY13" s="866" t="e">
        <f t="shared" si="81"/>
        <v>#NUM!</v>
      </c>
      <c r="HZ13" s="868">
        <f>IF(ISNUMBER($HL13),INDEX(GU$9:GU$150,MATCH($HL13,$AV$9:$AV$150,0)),"")</f>
        <v>1019.1921856279538</v>
      </c>
      <c r="IA13" s="869" t="e">
        <f t="shared" si="83"/>
        <v>#NUM!</v>
      </c>
      <c r="IB13" s="870" t="e">
        <f t="shared" si="84"/>
        <v>#NUM!</v>
      </c>
      <c r="IC13" s="841" t="e">
        <f t="shared" si="85"/>
        <v>#NUM!</v>
      </c>
      <c r="ID13" s="351">
        <f t="shared" si="86"/>
        <v>1675.6000000000001</v>
      </c>
      <c r="IE13" s="843" t="e">
        <f t="shared" si="87"/>
        <v>#NUM!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1.113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578">
        <f t="shared" si="2"/>
        <v>4.1347566715413172E-3</v>
      </c>
      <c r="C14" s="572">
        <f t="shared" si="3"/>
        <v>4.0497101080598652</v>
      </c>
      <c r="D14" s="576">
        <f t="shared" si="4"/>
        <v>-0.17285050294834448</v>
      </c>
      <c r="E14" s="580">
        <f t="shared" si="5"/>
        <v>-0.96448719513258974</v>
      </c>
      <c r="F14" s="572">
        <f t="shared" si="6"/>
        <v>6.9280145772251583E-2</v>
      </c>
      <c r="G14" s="579">
        <f t="shared" si="7"/>
        <v>0.25488176048325872</v>
      </c>
      <c r="H14" s="580">
        <f t="shared" si="8"/>
        <v>0.3125</v>
      </c>
      <c r="I14" s="572">
        <f t="shared" si="9"/>
        <v>0.52</v>
      </c>
      <c r="J14" s="483">
        <f t="shared" si="10"/>
        <v>1.1160000000000001</v>
      </c>
      <c r="K14" s="806">
        <f t="shared" si="11"/>
        <v>1613</v>
      </c>
      <c r="L14" s="719" t="s">
        <v>358</v>
      </c>
      <c r="M14" s="164">
        <f t="shared" si="12"/>
        <v>1.1160000000000001</v>
      </c>
      <c r="N14" s="575">
        <f t="shared" si="13"/>
        <v>4.1347566715413172E-3</v>
      </c>
      <c r="O14" s="572">
        <f t="shared" si="14"/>
        <v>4.0497101080598652</v>
      </c>
      <c r="P14" s="576">
        <f t="shared" si="15"/>
        <v>-0.17285050294834448</v>
      </c>
      <c r="Q14" s="528">
        <f t="shared" si="140"/>
        <v>89.94150099193476</v>
      </c>
      <c r="R14" s="572">
        <f t="shared" si="101"/>
        <v>4.0497122188539496</v>
      </c>
      <c r="S14" s="577">
        <f>IF(M14="","",P14)</f>
        <v>-0.17285050294834448</v>
      </c>
      <c r="T14" s="578">
        <f t="shared" si="103"/>
        <v>4.049710107946205</v>
      </c>
      <c r="U14" s="572">
        <f t="shared" si="104"/>
        <v>-4.1348679922316393E-3</v>
      </c>
      <c r="V14" s="579">
        <f t="shared" si="141"/>
        <v>-0.17285050294834448</v>
      </c>
      <c r="W14" s="528">
        <f>IF(M14="","",IF(Q14-$Q$8&lt;0,360+Q14-$Q$8,Q14-$Q$8))</f>
        <v>359.94149941695639</v>
      </c>
      <c r="X14" s="572">
        <f t="shared" si="105"/>
        <v>4.0497122188539496</v>
      </c>
      <c r="Y14" s="573">
        <f t="shared" si="17"/>
        <v>-0.17285050294834448</v>
      </c>
      <c r="Z14" s="575">
        <f t="shared" si="18"/>
        <v>0.96448719513258974</v>
      </c>
      <c r="AA14" s="572">
        <f t="shared" si="19"/>
        <v>-6.9280145772251583E-2</v>
      </c>
      <c r="AB14" s="572">
        <f t="shared" si="20"/>
        <v>-0.25488176048325872</v>
      </c>
      <c r="AC14" s="579">
        <f t="shared" si="106"/>
        <v>1</v>
      </c>
      <c r="AD14" s="580">
        <f>IF(M14="","",Z14*(1/SQRT(Z14^2+AA14^2+AB14^2)))</f>
        <v>0.96448719513258974</v>
      </c>
      <c r="AE14" s="572">
        <f t="shared" si="107"/>
        <v>-6.9280145772251583E-2</v>
      </c>
      <c r="AF14" s="576">
        <f t="shared" si="108"/>
        <v>-0.25488176048325872</v>
      </c>
      <c r="AG14" s="545">
        <f t="shared" si="109"/>
        <v>-15.206343690606737</v>
      </c>
      <c r="AH14" s="546">
        <f t="shared" si="110"/>
        <v>15.315240454057166</v>
      </c>
      <c r="AI14" s="528">
        <f t="shared" si="111"/>
        <v>-75.23342098048613</v>
      </c>
      <c r="AJ14" s="529">
        <f t="shared" si="112"/>
        <v>85.891439557443263</v>
      </c>
      <c r="AK14" s="578">
        <f>IF(M14="","",(COS(RADIANS((90-$Q$8)-W14))*AD14)+(-SIN(RADIANS((90-$Q$8)-W14))*AE14))</f>
        <v>0.9645574274591604</v>
      </c>
      <c r="AL14" s="572">
        <f t="shared" si="113"/>
        <v>-6.8295368117620284E-2</v>
      </c>
      <c r="AM14" s="577">
        <f t="shared" si="114"/>
        <v>-0.25488176048325872</v>
      </c>
      <c r="AN14" s="524">
        <f t="shared" si="115"/>
        <v>-15.000001306799158</v>
      </c>
      <c r="AO14" s="525">
        <f t="shared" si="116"/>
        <v>15.299998045499139</v>
      </c>
      <c r="AP14" s="528">
        <f>IF(M14="","",DEGREES(ATAN2(AK14,AL14)))</f>
        <v>-4.0500614344914601</v>
      </c>
      <c r="AQ14" s="529">
        <f t="shared" si="21"/>
        <v>0.56291735248593688</v>
      </c>
      <c r="AS14" s="932">
        <f t="shared" si="143"/>
        <v>-5.8500583043610277E-2</v>
      </c>
      <c r="AT14" s="928">
        <f>IF(M14="","",Y14+(((AS14-$AS$9)*$AS$6)*-1))</f>
        <v>-0.17280986704156079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>
        <f t="shared" si="137"/>
        <v>6</v>
      </c>
      <c r="HL14" s="348">
        <f t="shared" si="72"/>
        <v>3.1059999999999999</v>
      </c>
      <c r="HM14" s="909" t="e">
        <f t="shared" si="138"/>
        <v>#NUM!</v>
      </c>
      <c r="HN14" s="910">
        <f t="shared" si="73"/>
        <v>14.999997834268255</v>
      </c>
      <c r="HO14" s="911"/>
      <c r="HP14" s="912"/>
      <c r="HQ14" s="910" t="e">
        <f t="shared" si="74"/>
        <v>#NUM!</v>
      </c>
      <c r="HR14" s="913" t="e">
        <f t="shared" si="75"/>
        <v>#NUM!</v>
      </c>
      <c r="HS14" s="865">
        <f t="shared" si="251"/>
        <v>1.3966000000000001</v>
      </c>
      <c r="HT14" s="875">
        <f t="shared" si="76"/>
        <v>6.0299999999999999E-2</v>
      </c>
      <c r="HU14" s="876">
        <f t="shared" si="77"/>
        <v>0.52935302264942963</v>
      </c>
      <c r="HV14" s="872">
        <f t="shared" si="78"/>
        <v>6.0321038424010813E-2</v>
      </c>
      <c r="HW14" s="866">
        <f t="shared" si="79"/>
        <v>29500</v>
      </c>
      <c r="HX14" s="867">
        <f t="shared" si="80"/>
        <v>207.0284925</v>
      </c>
      <c r="HY14" s="866" t="e">
        <f t="shared" si="81"/>
        <v>#NUM!</v>
      </c>
      <c r="HZ14" s="868">
        <f t="shared" si="82"/>
        <v>1301.3261806798475</v>
      </c>
      <c r="IA14" s="869" t="e">
        <f t="shared" si="83"/>
        <v>#NUM!</v>
      </c>
      <c r="IB14" s="870" t="e">
        <f t="shared" si="84"/>
        <v>#NUM!</v>
      </c>
      <c r="IC14" s="841" t="e">
        <f t="shared" si="85"/>
        <v>#NUM!</v>
      </c>
      <c r="ID14" s="351">
        <f t="shared" si="86"/>
        <v>1778.85</v>
      </c>
      <c r="IE14" s="843" t="e">
        <f t="shared" si="87"/>
        <v>#NUM!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1.1160000000000001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</v>
      </c>
      <c r="B15" s="578">
        <f t="shared" si="2"/>
        <v>3.897562586386677E-2</v>
      </c>
      <c r="C15" s="572">
        <f t="shared" si="3"/>
        <v>4.7992562222876192</v>
      </c>
      <c r="D15" s="576">
        <f t="shared" si="4"/>
        <v>-0.34065101034889045</v>
      </c>
      <c r="E15" s="580">
        <f t="shared" si="5"/>
        <v>-0.96021378318356498</v>
      </c>
      <c r="F15" s="572">
        <f t="shared" si="6"/>
        <v>0.13293891593253968</v>
      </c>
      <c r="G15" s="579">
        <f t="shared" si="7"/>
        <v>0.2455946563241696</v>
      </c>
      <c r="H15" s="580">
        <f t="shared" si="8"/>
        <v>0.3125</v>
      </c>
      <c r="I15" s="572">
        <f t="shared" si="9"/>
        <v>0.52</v>
      </c>
      <c r="J15" s="483">
        <f t="shared" si="10"/>
        <v>1.119</v>
      </c>
      <c r="K15" s="806">
        <f t="shared" si="11"/>
        <v>1613</v>
      </c>
      <c r="L15" s="814" t="str">
        <f>IF($L14=$JJ$22,$JJ$29,IF($L14=$JK$22,$JK$29,""))</f>
        <v/>
      </c>
      <c r="M15" s="164">
        <f t="shared" si="12"/>
        <v>1.119</v>
      </c>
      <c r="N15" s="575">
        <f t="shared" si="13"/>
        <v>3.897562586386677E-2</v>
      </c>
      <c r="O15" s="572">
        <f t="shared" si="14"/>
        <v>4.7992562222876192</v>
      </c>
      <c r="P15" s="576">
        <f t="shared" si="15"/>
        <v>-0.34065101034889045</v>
      </c>
      <c r="Q15" s="528">
        <f t="shared" si="140"/>
        <v>89.53470086407188</v>
      </c>
      <c r="R15" s="572">
        <f t="shared" si="101"/>
        <v>4.7994144837238126</v>
      </c>
      <c r="S15" s="577">
        <f t="shared" si="102"/>
        <v>-0.34065101034889045</v>
      </c>
      <c r="T15" s="578">
        <f t="shared" si="103"/>
        <v>4.7992562212162335</v>
      </c>
      <c r="U15" s="572">
        <f t="shared" si="104"/>
        <v>-3.8975757788502194E-2</v>
      </c>
      <c r="V15" s="579">
        <f t="shared" si="141"/>
        <v>-0.34065101034889045</v>
      </c>
      <c r="W15" s="528">
        <f t="shared" ref="W15:W78" si="253">IF(M15="","",IF(Q15-$Q$8&lt;0,360+Q15-$Q$8,Q15-$Q$8))</f>
        <v>359.53469928909351</v>
      </c>
      <c r="X15" s="572">
        <f>IF(M15="","",R15)</f>
        <v>4.7994144837238126</v>
      </c>
      <c r="Y15" s="573">
        <f t="shared" si="17"/>
        <v>-0.34065101034889045</v>
      </c>
      <c r="Z15" s="575">
        <f t="shared" si="18"/>
        <v>0.96021378318356498</v>
      </c>
      <c r="AA15" s="572">
        <f t="shared" si="19"/>
        <v>-0.13293891593253968</v>
      </c>
      <c r="AB15" s="572">
        <f t="shared" si="20"/>
        <v>-0.2455946563241696</v>
      </c>
      <c r="AC15" s="579">
        <f t="shared" si="106"/>
        <v>1</v>
      </c>
      <c r="AD15" s="580">
        <f t="shared" si="142"/>
        <v>0.96021378318356498</v>
      </c>
      <c r="AE15" s="572">
        <f t="shared" si="107"/>
        <v>-0.13293891593253968</v>
      </c>
      <c r="AF15" s="576">
        <f t="shared" si="108"/>
        <v>-0.2455946563241696</v>
      </c>
      <c r="AG15" s="545">
        <f t="shared" si="109"/>
        <v>-28.42641784701723</v>
      </c>
      <c r="AH15" s="546">
        <f t="shared" si="110"/>
        <v>16.216401316462711</v>
      </c>
      <c r="AI15" s="528">
        <f t="shared" si="111"/>
        <v>-75.783021217788999</v>
      </c>
      <c r="AJ15" s="529">
        <f t="shared" si="112"/>
        <v>82.11766639845402</v>
      </c>
      <c r="AK15" s="578">
        <f t="shared" si="238"/>
        <v>0.9612617053113186</v>
      </c>
      <c r="AL15" s="572">
        <f t="shared" si="113"/>
        <v>-0.12513671997854486</v>
      </c>
      <c r="AM15" s="577">
        <f t="shared" si="114"/>
        <v>-0.2455946563241696</v>
      </c>
      <c r="AN15" s="524">
        <f>IF(M15="","",DEGREES(ATAN2(-AM15,AL15)))</f>
        <v>-26.999998577869427</v>
      </c>
      <c r="AO15" s="525">
        <f t="shared" si="116"/>
        <v>15.999998051666994</v>
      </c>
      <c r="AP15" s="528">
        <f t="shared" si="117"/>
        <v>-7.417034465617836</v>
      </c>
      <c r="AQ15" s="529">
        <f t="shared" si="21"/>
        <v>0.47499010839974215</v>
      </c>
      <c r="AS15" s="932">
        <f t="shared" si="143"/>
        <v>-0.46530071090649017</v>
      </c>
      <c r="AT15" s="928">
        <f t="shared" si="22"/>
        <v>-0.34032787435331308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>
        <f t="shared" si="137"/>
        <v>7</v>
      </c>
      <c r="HL15" s="348">
        <f t="shared" si="72"/>
        <v>1.107</v>
      </c>
      <c r="HM15" s="909" t="e">
        <f t="shared" si="138"/>
        <v>#NUM!</v>
      </c>
      <c r="HN15" s="910">
        <f t="shared" si="73"/>
        <v>14.999997718351972</v>
      </c>
      <c r="HO15" s="911"/>
      <c r="HP15" s="912"/>
      <c r="HQ15" s="910" t="e">
        <f t="shared" si="74"/>
        <v>#NUM!</v>
      </c>
      <c r="HR15" s="913" t="e">
        <f t="shared" si="75"/>
        <v>#NUM!</v>
      </c>
      <c r="HS15" s="865">
        <f t="shared" si="251"/>
        <v>1.6409</v>
      </c>
      <c r="HT15" s="875">
        <f t="shared" si="76"/>
        <v>6.1899999999999997E-2</v>
      </c>
      <c r="HU15" s="876">
        <f t="shared" si="77"/>
        <v>0.63838146813450858</v>
      </c>
      <c r="HV15" s="872">
        <f t="shared" si="78"/>
        <v>7.2745089611059799E-2</v>
      </c>
      <c r="HW15" s="866">
        <f t="shared" si="79"/>
        <v>29500</v>
      </c>
      <c r="HX15" s="867">
        <f t="shared" si="80"/>
        <v>249.69712041666668</v>
      </c>
      <c r="HY15" s="866" t="e">
        <f t="shared" si="81"/>
        <v>#NUM!</v>
      </c>
      <c r="HZ15" s="868">
        <f t="shared" si="82"/>
        <v>1569.3544424973336</v>
      </c>
      <c r="IA15" s="869" t="e">
        <f t="shared" si="83"/>
        <v>#NUM!</v>
      </c>
      <c r="IB15" s="870" t="e">
        <f t="shared" si="84"/>
        <v>#NUM!</v>
      </c>
      <c r="IC15" s="841" t="e">
        <f t="shared" si="85"/>
        <v>#NUM!</v>
      </c>
      <c r="ID15" s="351">
        <f t="shared" si="86"/>
        <v>1826.05</v>
      </c>
      <c r="IE15" s="843" t="e">
        <f t="shared" si="87"/>
        <v>#NUM!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1.119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69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578">
        <f t="shared" si="2"/>
        <v>0.10114156174335165</v>
      </c>
      <c r="C16" s="572">
        <f t="shared" si="3"/>
        <v>5.4766826872127856</v>
      </c>
      <c r="D16" s="576">
        <f t="shared" si="4"/>
        <v>-0.67655202613442689</v>
      </c>
      <c r="E16" s="580">
        <f t="shared" si="5"/>
        <v>-0.9538122207719516</v>
      </c>
      <c r="F16" s="572">
        <f t="shared" si="6"/>
        <v>0.19875395826450512</v>
      </c>
      <c r="G16" s="579">
        <f t="shared" si="7"/>
        <v>0.22525343855370816</v>
      </c>
      <c r="H16" s="580">
        <f t="shared" si="8"/>
        <v>0.3125</v>
      </c>
      <c r="I16" s="572">
        <f t="shared" si="9"/>
        <v>0.52</v>
      </c>
      <c r="J16" s="483">
        <f t="shared" si="10"/>
        <v>1.1220000000000001</v>
      </c>
      <c r="K16" s="806">
        <f t="shared" si="11"/>
        <v>1613</v>
      </c>
      <c r="L16" s="309"/>
      <c r="M16" s="164">
        <f t="shared" si="12"/>
        <v>1.1220000000000001</v>
      </c>
      <c r="N16" s="575">
        <f t="shared" si="13"/>
        <v>0.10114156174335165</v>
      </c>
      <c r="O16" s="572">
        <f t="shared" si="14"/>
        <v>5.4766826872127856</v>
      </c>
      <c r="P16" s="576">
        <f t="shared" si="15"/>
        <v>-0.67655202613442689</v>
      </c>
      <c r="Q16" s="528">
        <f>IF(M16="","",IF(DEGREES(ATAN2(N16,O16))&lt;0,DEGREES(ATAN2(N16,O16))+360,IF(DEGREES(ATAN2(N16,O16))&gt;360,DEGREES(ATAN2(N16,O16))-360,DEGREES(ATAN2(N16,O16)))))</f>
        <v>88.942000790525086</v>
      </c>
      <c r="R16" s="572">
        <f t="shared" si="101"/>
        <v>5.477616532026329</v>
      </c>
      <c r="S16" s="577">
        <f t="shared" si="102"/>
        <v>-0.67655202613442689</v>
      </c>
      <c r="T16" s="578">
        <f t="shared" si="103"/>
        <v>5.4766826844325482</v>
      </c>
      <c r="U16" s="572">
        <f t="shared" si="104"/>
        <v>-0.10114171228945908</v>
      </c>
      <c r="V16" s="579">
        <f t="shared" si="141"/>
        <v>-0.67655202613442689</v>
      </c>
      <c r="W16" s="528">
        <f>IF(M16="","",IF(Q16-$Q$8&lt;0,360+Q16-$Q$8,Q16-$Q$8))</f>
        <v>358.94199921554673</v>
      </c>
      <c r="X16" s="572">
        <f t="shared" si="105"/>
        <v>5.477616532026329</v>
      </c>
      <c r="Y16" s="573">
        <f t="shared" ref="Y16:Y75" si="255">IF(M16="","",S16)</f>
        <v>-0.67655202613442689</v>
      </c>
      <c r="Z16" s="575">
        <f t="shared" si="18"/>
        <v>0.9538122207719516</v>
      </c>
      <c r="AA16" s="572">
        <f t="shared" si="19"/>
        <v>-0.19875395826450512</v>
      </c>
      <c r="AB16" s="572">
        <f t="shared" si="20"/>
        <v>-0.22525343855370816</v>
      </c>
      <c r="AC16" s="579">
        <f t="shared" si="106"/>
        <v>1</v>
      </c>
      <c r="AD16" s="580">
        <f t="shared" si="142"/>
        <v>0.9538122207719516</v>
      </c>
      <c r="AE16" s="572">
        <f t="shared" si="107"/>
        <v>-0.19875395826450512</v>
      </c>
      <c r="AF16" s="576">
        <f t="shared" si="108"/>
        <v>-0.22525343855370816</v>
      </c>
      <c r="AG16" s="545">
        <f t="shared" si="109"/>
        <v>-41.423797807170516</v>
      </c>
      <c r="AH16" s="546">
        <f t="shared" si="110"/>
        <v>17.481838342997936</v>
      </c>
      <c r="AI16" s="528">
        <f t="shared" si="111"/>
        <v>-76.982218296086572</v>
      </c>
      <c r="AJ16" s="529">
        <f t="shared" si="112"/>
        <v>78.229230970088651</v>
      </c>
      <c r="AK16" s="578">
        <f t="shared" si="238"/>
        <v>0.9573195077522938</v>
      </c>
      <c r="AL16" s="572">
        <f t="shared" si="113"/>
        <v>-0.18110838880801883</v>
      </c>
      <c r="AM16" s="577">
        <f t="shared" si="114"/>
        <v>-0.22525343855370816</v>
      </c>
      <c r="AN16" s="524">
        <f t="shared" si="115"/>
        <v>-38.799996044241624</v>
      </c>
      <c r="AO16" s="525">
        <f t="shared" si="116"/>
        <v>16.799997974008789</v>
      </c>
      <c r="AP16" s="528">
        <f t="shared" si="117"/>
        <v>-10.712769820436408</v>
      </c>
      <c r="AQ16" s="529">
        <f t="shared" si="21"/>
        <v>0.41618220700994951</v>
      </c>
      <c r="AS16" s="932">
        <f t="shared" si="143"/>
        <v>-1.0580007844532702</v>
      </c>
      <c r="AT16" s="928">
        <f t="shared" si="22"/>
        <v>-0.67581729286555314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>
        <f t="shared" si="137"/>
        <v>8</v>
      </c>
      <c r="HL16" s="348">
        <f t="shared" si="72"/>
        <v>5.1079999999999997</v>
      </c>
      <c r="HM16" s="909" t="e">
        <f t="shared" si="138"/>
        <v>#NUM!</v>
      </c>
      <c r="HN16" s="910">
        <f t="shared" si="73"/>
        <v>14.999997834268203</v>
      </c>
      <c r="HO16" s="911"/>
      <c r="HP16" s="912"/>
      <c r="HQ16" s="910" t="e">
        <f t="shared" si="74"/>
        <v>#NUM!</v>
      </c>
      <c r="HR16" s="913" t="e">
        <f t="shared" si="75"/>
        <v>#NUM!</v>
      </c>
      <c r="HS16" s="865">
        <f t="shared" si="251"/>
        <v>1.8936999999999999</v>
      </c>
      <c r="HT16" s="875">
        <f t="shared" si="76"/>
        <v>6.4399999999999999E-2</v>
      </c>
      <c r="HU16" s="876">
        <f t="shared" si="77"/>
        <v>0.76643046100218259</v>
      </c>
      <c r="HV16" s="872">
        <f t="shared" si="78"/>
        <v>8.7336577499931636E-2</v>
      </c>
      <c r="HW16" s="866">
        <f t="shared" si="79"/>
        <v>29500</v>
      </c>
      <c r="HX16" s="867">
        <f t="shared" si="80"/>
        <v>299.80427166666664</v>
      </c>
      <c r="HY16" s="866" t="e">
        <f t="shared" si="81"/>
        <v>#NUM!</v>
      </c>
      <c r="HZ16" s="868">
        <f t="shared" si="82"/>
        <v>1884.1415499636989</v>
      </c>
      <c r="IA16" s="869" t="e">
        <f t="shared" si="83"/>
        <v>#NUM!</v>
      </c>
      <c r="IB16" s="870" t="e">
        <f t="shared" si="84"/>
        <v>#NUM!</v>
      </c>
      <c r="IC16" s="841" t="e">
        <f t="shared" si="85"/>
        <v>#NUM!</v>
      </c>
      <c r="ID16" s="351">
        <f t="shared" si="86"/>
        <v>1899.8</v>
      </c>
      <c r="IE16" s="843" t="e">
        <f t="shared" si="87"/>
        <v>#NUM!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1.1220000000000001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578">
        <f t="shared" si="2"/>
        <v>0.17776393662822648</v>
      </c>
      <c r="C17" s="572">
        <f t="shared" si="3"/>
        <v>6.0565100865315848</v>
      </c>
      <c r="D17" s="576">
        <f t="shared" si="4"/>
        <v>-1.1616534911557319</v>
      </c>
      <c r="E17" s="580">
        <f t="shared" si="5"/>
        <v>-0.93589099160587108</v>
      </c>
      <c r="F17" s="572">
        <f t="shared" si="6"/>
        <v>0.28334464705400031</v>
      </c>
      <c r="G17" s="579">
        <f t="shared" si="7"/>
        <v>0.20934149807628549</v>
      </c>
      <c r="H17" s="580">
        <f t="shared" si="8"/>
        <v>0.3125</v>
      </c>
      <c r="I17" s="572">
        <f t="shared" si="9"/>
        <v>0.52</v>
      </c>
      <c r="J17" s="483">
        <f t="shared" si="10"/>
        <v>1.125</v>
      </c>
      <c r="K17" s="806">
        <f t="shared" si="11"/>
        <v>1613</v>
      </c>
      <c r="M17" s="164">
        <f t="shared" si="12"/>
        <v>1.125</v>
      </c>
      <c r="N17" s="575">
        <f t="shared" si="13"/>
        <v>0.17776393662822648</v>
      </c>
      <c r="O17" s="572">
        <f t="shared" si="14"/>
        <v>6.0565100865315848</v>
      </c>
      <c r="P17" s="576">
        <f t="shared" si="15"/>
        <v>-1.1616534911557319</v>
      </c>
      <c r="Q17" s="528">
        <f>IF(M17="","",IF(DEGREES(ATAN2(N17,O17))&lt;0,DEGREES(ATAN2(N17,O17))+360,IF(DEGREES(ATAN2(N17,O17))&gt;360,DEGREES(ATAN2(N17,O17))-360,DEGREES(ATAN2(N17,O17)))))</f>
        <v>88.318800771001463</v>
      </c>
      <c r="R17" s="572">
        <f>IF(M17="","",SQRT(N17^2+O17^2))</f>
        <v>6.0591182894398417</v>
      </c>
      <c r="S17" s="577">
        <f>IF(M17="","",P17)</f>
        <v>-1.1616534911557319</v>
      </c>
      <c r="T17" s="578">
        <f>IF(M17="","",X17*COS(RADIANS(W17)))</f>
        <v>6.0565100816451087</v>
      </c>
      <c r="U17" s="572">
        <f>IF(M17="","",X17*SIN(RADIANS(W17)))</f>
        <v>-0.17776410311295318</v>
      </c>
      <c r="V17" s="579">
        <f>IF(M17="","",Y17)</f>
        <v>-1.1616534911557319</v>
      </c>
      <c r="W17" s="528">
        <f t="shared" si="253"/>
        <v>358.31879919602312</v>
      </c>
      <c r="X17" s="572">
        <f>IF(M17="","",R17)</f>
        <v>6.0591182894398417</v>
      </c>
      <c r="Y17" s="573">
        <f t="shared" si="255"/>
        <v>-1.1616534911557319</v>
      </c>
      <c r="Z17" s="575">
        <f t="shared" si="18"/>
        <v>0.93589099160587108</v>
      </c>
      <c r="AA17" s="572">
        <f t="shared" si="19"/>
        <v>-0.28334464705400031</v>
      </c>
      <c r="AB17" s="572">
        <f t="shared" si="20"/>
        <v>-0.20934149807628549</v>
      </c>
      <c r="AC17" s="579">
        <f>IF(M17="","",SQRT(Z17^2+AA17^2+AB17^2))</f>
        <v>1</v>
      </c>
      <c r="AD17" s="580">
        <f>IF(M17="","",Z17*(1/SQRT(Z17^2+AA17^2+AB17^2)))</f>
        <v>0.93589099160587108</v>
      </c>
      <c r="AE17" s="572">
        <f>IF(M17="","",AA17*(1/SQRT(Z17^2+AA17^2+AB17^2)))</f>
        <v>-0.28334464705400031</v>
      </c>
      <c r="AF17" s="576">
        <f>IF(M17="","",AB17*(1/SQRT(Z17^2+AA17^2+AB17^2)))</f>
        <v>-0.20934149807628549</v>
      </c>
      <c r="AG17" s="545">
        <f>IF(M17="","",DEGREES(ATAN2(-AF17,AE17)))</f>
        <v>-53.54216447555045</v>
      </c>
      <c r="AH17" s="546">
        <f>IF(M17="","",DEGREES(ACOS(AD17)))</f>
        <v>20.627429163476439</v>
      </c>
      <c r="AI17" s="528">
        <f>IF(M17="","",DEGREES(-ACOS(-AF17)))</f>
        <v>-77.916234849140878</v>
      </c>
      <c r="AJ17" s="529">
        <f>IF(M17="","",DEGREES(ATAN2(-AE17,AD17)))</f>
        <v>73.156107170468033</v>
      </c>
      <c r="AK17" s="578">
        <f>IF(M17="","",(COS(RADIANS((90-$Q$8)-W17))*AD17)+(-SIN(RADIANS((90-$Q$8)-W17))*AE17))</f>
        <v>0.94380096529961266</v>
      </c>
      <c r="AL17" s="572">
        <f>IF(M17="","",(SIN(RADIANS((90-$Q$8)-W17))*AD17)+(COS(RADIANS((90-$Q$8)-W17))*AE17))</f>
        <v>-0.25576527341039867</v>
      </c>
      <c r="AM17" s="577">
        <f>IF(M17="","",AF17)</f>
        <v>-0.20934149807628549</v>
      </c>
      <c r="AN17" s="524">
        <f>IF(M17="","",DEGREES(ATAN2(-AM17,AL17)))</f>
        <v>-50.699993635276748</v>
      </c>
      <c r="AO17" s="525">
        <f t="shared" si="116"/>
        <v>19.299997622218779</v>
      </c>
      <c r="AP17" s="528">
        <f>IF(M17="","",DEGREES(ATAN2(AK17,AL17)))</f>
        <v>-15.162693600533416</v>
      </c>
      <c r="AQ17" s="529">
        <f t="shared" si="21"/>
        <v>0.37624184822280216</v>
      </c>
      <c r="AS17" s="932">
        <f t="shared" si="143"/>
        <v>-1.6812008039768784</v>
      </c>
      <c r="AT17" s="928">
        <f t="shared" si="22"/>
        <v>-1.1604859800955223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>
        <f t="shared" si="137"/>
        <v>9</v>
      </c>
      <c r="HL17" s="348">
        <f t="shared" si="72"/>
        <v>3.109</v>
      </c>
      <c r="HM17" s="909" t="e">
        <f t="shared" si="138"/>
        <v>#NUM!</v>
      </c>
      <c r="HN17" s="910">
        <f t="shared" si="73"/>
        <v>14.999997834268255</v>
      </c>
      <c r="HO17" s="911"/>
      <c r="HP17" s="912"/>
      <c r="HQ17" s="910" t="e">
        <f t="shared" si="74"/>
        <v>#NUM!</v>
      </c>
      <c r="HR17" s="913" t="e">
        <f t="shared" si="75"/>
        <v>#NUM!</v>
      </c>
      <c r="HS17" s="865">
        <f t="shared" si="251"/>
        <v>2.1025999999999998</v>
      </c>
      <c r="HT17" s="875">
        <f t="shared" si="76"/>
        <v>3.61E-2</v>
      </c>
      <c r="HU17" s="876">
        <f t="shared" si="77"/>
        <v>0.47700340295684407</v>
      </c>
      <c r="HV17" s="872">
        <f t="shared" si="78"/>
        <v>5.4355674506461053E-2</v>
      </c>
      <c r="HW17" s="866">
        <f t="shared" si="79"/>
        <v>29500</v>
      </c>
      <c r="HX17" s="867">
        <f t="shared" si="80"/>
        <v>186.59698916666667</v>
      </c>
      <c r="HY17" s="866" t="e">
        <f t="shared" si="81"/>
        <v>#NUM!</v>
      </c>
      <c r="HZ17" s="868">
        <f t="shared" si="82"/>
        <v>1172.6333656022416</v>
      </c>
      <c r="IA17" s="869" t="e">
        <f t="shared" si="83"/>
        <v>#NUM!</v>
      </c>
      <c r="IB17" s="870" t="e">
        <f t="shared" si="84"/>
        <v>#NUM!</v>
      </c>
      <c r="IC17" s="841" t="e">
        <f t="shared" si="85"/>
        <v>#NUM!</v>
      </c>
      <c r="ID17" s="351">
        <f t="shared" si="86"/>
        <v>1064.95</v>
      </c>
      <c r="IE17" s="843" t="e">
        <f t="shared" si="87"/>
        <v>#NUM!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1.125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</v>
      </c>
      <c r="B18" s="578">
        <f t="shared" si="2"/>
        <v>0.25283501958839538</v>
      </c>
      <c r="C18" s="572">
        <f t="shared" si="3"/>
        <v>6.5095113504141935</v>
      </c>
      <c r="D18" s="576">
        <f t="shared" si="4"/>
        <v>-1.7686553252865127</v>
      </c>
      <c r="E18" s="580">
        <f t="shared" si="5"/>
        <v>-0.9085577025869136</v>
      </c>
      <c r="F18" s="572">
        <f t="shared" si="6"/>
        <v>0.37785003824266566</v>
      </c>
      <c r="G18" s="579">
        <f t="shared" si="7"/>
        <v>0.17819160942649803</v>
      </c>
      <c r="H18" s="580">
        <f t="shared" si="8"/>
        <v>0.3125</v>
      </c>
      <c r="I18" s="572">
        <f t="shared" si="9"/>
        <v>0.52</v>
      </c>
      <c r="J18" s="483">
        <f t="shared" si="10"/>
        <v>1.1279999999999999</v>
      </c>
      <c r="K18" s="806">
        <f t="shared" si="11"/>
        <v>1613</v>
      </c>
      <c r="L18" s="720" t="s">
        <v>322</v>
      </c>
      <c r="M18" s="164">
        <f t="shared" si="12"/>
        <v>1.1279999999999999</v>
      </c>
      <c r="N18" s="575">
        <f t="shared" si="13"/>
        <v>0.25283501958839538</v>
      </c>
      <c r="O18" s="572">
        <f t="shared" si="14"/>
        <v>6.5095113504141935</v>
      </c>
      <c r="P18" s="576">
        <f t="shared" si="15"/>
        <v>-1.7686553252865127</v>
      </c>
      <c r="Q18" s="528">
        <f t="shared" si="140"/>
        <v>87.775700729959979</v>
      </c>
      <c r="R18" s="572">
        <f>IF(M18="","",SQRT(N18^2+O18^2))</f>
        <v>6.5144196647361827</v>
      </c>
      <c r="S18" s="577">
        <f>IF(M18="","",P18)</f>
        <v>-1.7686553252865127</v>
      </c>
      <c r="T18" s="578">
        <f>IF(M18="","",X18*COS(RADIANS(W18)))</f>
        <v>6.509511343464121</v>
      </c>
      <c r="U18" s="572">
        <f>IF(M18="","",X18*SIN(RADIANS(W18)))</f>
        <v>-0.25283519852547676</v>
      </c>
      <c r="V18" s="579">
        <f>IF(M18="","",Y18)</f>
        <v>-1.7686553252865127</v>
      </c>
      <c r="W18" s="528">
        <f t="shared" si="253"/>
        <v>357.77569915498162</v>
      </c>
      <c r="X18" s="572">
        <f>IF(M18="","",R18)</f>
        <v>6.5144196647361827</v>
      </c>
      <c r="Y18" s="573">
        <f t="shared" si="255"/>
        <v>-1.7686553252865127</v>
      </c>
      <c r="Z18" s="575">
        <f t="shared" si="18"/>
        <v>0.9085577025869136</v>
      </c>
      <c r="AA18" s="572">
        <f t="shared" si="19"/>
        <v>-0.37785003824266566</v>
      </c>
      <c r="AB18" s="572">
        <f t="shared" si="20"/>
        <v>-0.17819160942649803</v>
      </c>
      <c r="AC18" s="579">
        <f>IF(M18="","",SQRT(Z18^2+AA18^2+AB18^2))</f>
        <v>1</v>
      </c>
      <c r="AD18" s="580">
        <f>IF(M18="","",Z18*(1/SQRT(Z18^2+AA18^2+AB18^2)))</f>
        <v>0.9085577025869136</v>
      </c>
      <c r="AE18" s="572">
        <f>IF(M18="","",AA18*(1/SQRT(Z18^2+AA18^2+AB18^2)))</f>
        <v>-0.37785003824266566</v>
      </c>
      <c r="AF18" s="576">
        <f>IF(M18="","",AB18*(1/SQRT(Z18^2+AA18^2+AB18^2)))</f>
        <v>-0.17819160942649803</v>
      </c>
      <c r="AG18" s="545">
        <f>IF(M18="","",DEGREES(ATAN2(-AF18,AE18)))</f>
        <v>-64.751741349675328</v>
      </c>
      <c r="AH18" s="546">
        <f>IF(M18="","",DEGREES(ACOS(AD18)))</f>
        <v>24.693208503855207</v>
      </c>
      <c r="AI18" s="528">
        <f>IF(M18="","",DEGREES(-ACOS(-AF18)))</f>
        <v>-79.735556144492364</v>
      </c>
      <c r="AJ18" s="529">
        <f>IF(M18="","",DEGREES(ATAN2(-AE18,AD18)))</f>
        <v>67.418601388959829</v>
      </c>
      <c r="AK18" s="578">
        <f>IF(M18="","",(COS(RADIANS((90-$Q$8)-W18))*AD18)+(-SIN(RADIANS((90-$Q$8)-W18))*AE18))</f>
        <v>0.92253810908875467</v>
      </c>
      <c r="AL18" s="572">
        <f>IF(M18="","",(SIN(RADIANS((90-$Q$8)-W18))*AD18)+(COS(RADIANS((90-$Q$8)-W18))*AE18))</f>
        <v>-0.34230277183940439</v>
      </c>
      <c r="AM18" s="577">
        <f>IF(M18="","",AF18)</f>
        <v>-0.17819160942649803</v>
      </c>
      <c r="AN18" s="524">
        <f>IF(M18="","",DEGREES(ATAN2(-AM18,AL18)))</f>
        <v>-62.499991427382007</v>
      </c>
      <c r="AO18" s="525">
        <f t="shared" si="116"/>
        <v>22.699997085145576</v>
      </c>
      <c r="AP18" s="528">
        <f>IF(M18="","",DEGREES(ATAN2(AK18,AL18)))</f>
        <v>-20.35709934100014</v>
      </c>
      <c r="AQ18" s="529">
        <f t="shared" si="21"/>
        <v>0.34994648815938356</v>
      </c>
      <c r="AS18" s="932">
        <f t="shared" si="143"/>
        <v>-2.2243008450183765</v>
      </c>
      <c r="AT18" s="928">
        <f t="shared" si="22"/>
        <v>-1.7671106614200243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6.1120000000000001</v>
      </c>
      <c r="HM18" s="909" t="e">
        <f t="shared" si="138"/>
        <v>#VALUE!</v>
      </c>
      <c r="HN18" s="910">
        <f t="shared" si="73"/>
        <v>14.999997834268255</v>
      </c>
      <c r="HO18" s="911"/>
      <c r="HP18" s="912"/>
      <c r="HQ18" s="910" t="e">
        <f t="shared" si="74"/>
        <v>#VALUE!</v>
      </c>
      <c r="HR18" s="913" t="e">
        <f t="shared" si="75"/>
        <v>#VALUE!</v>
      </c>
      <c r="HS18" s="865">
        <f t="shared" si="251"/>
        <v>2.5207000000000002</v>
      </c>
      <c r="HT18" s="875">
        <f t="shared" si="76"/>
        <v>3.5200000000000002E-2</v>
      </c>
      <c r="HU18" s="876">
        <f t="shared" si="77"/>
        <v>0.55756793595160115</v>
      </c>
      <c r="HV18" s="872">
        <f t="shared" si="78"/>
        <v>6.3536195033322473E-2</v>
      </c>
      <c r="HW18" s="866">
        <f t="shared" si="79"/>
        <v>29500</v>
      </c>
      <c r="HX18" s="867">
        <f t="shared" si="80"/>
        <v>218.12457333333336</v>
      </c>
      <c r="HY18" s="866" t="e">
        <f t="shared" si="81"/>
        <v>#VALUE!</v>
      </c>
      <c r="HZ18" s="868">
        <f t="shared" si="82"/>
        <v>1370.6878425476862</v>
      </c>
      <c r="IA18" s="869" t="e">
        <f t="shared" si="83"/>
        <v>#VALUE!</v>
      </c>
      <c r="IB18" s="870" t="e">
        <f t="shared" si="84"/>
        <v>#VALUE!</v>
      </c>
      <c r="IC18" s="841" t="e">
        <f t="shared" si="85"/>
        <v>#VALUE!</v>
      </c>
      <c r="ID18" s="351">
        <f t="shared" si="86"/>
        <v>1038.4000000000001</v>
      </c>
      <c r="IE18" s="843" t="e">
        <f t="shared" si="87"/>
        <v>#VALUE!</v>
      </c>
      <c r="IF18" s="844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1.1279999999999999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8"/>
        <v>1613</v>
      </c>
      <c r="IM18" s="482" t="str">
        <f t="shared" si="237"/>
        <v/>
      </c>
      <c r="IN18" s="670" t="str">
        <f t="shared" si="90"/>
        <v/>
      </c>
      <c r="IO18" s="702"/>
      <c r="IP18" s="5" t="str">
        <f t="shared" si="91"/>
        <v/>
      </c>
      <c r="IQ18" s="714"/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70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705" t="str">
        <f t="shared" si="100"/>
        <v/>
      </c>
    </row>
    <row r="19" spans="1:271" ht="15" customHeight="1" thickBot="1" x14ac:dyDescent="0.3">
      <c r="A19" s="75">
        <f t="shared" si="1"/>
        <v>0</v>
      </c>
      <c r="B19" s="578">
        <f t="shared" si="2"/>
        <v>0.30887597304864939</v>
      </c>
      <c r="C19" s="572">
        <f t="shared" si="3"/>
        <v>6.8038130684464617</v>
      </c>
      <c r="D19" s="576">
        <f t="shared" si="4"/>
        <v>-2.4581574098407448</v>
      </c>
      <c r="E19" s="580">
        <f t="shared" si="5"/>
        <v>-0.88205895505185161</v>
      </c>
      <c r="F19" s="572">
        <f t="shared" si="6"/>
        <v>0.45602588866680205</v>
      </c>
      <c r="G19" s="579">
        <f t="shared" si="7"/>
        <v>0.11837393580720949</v>
      </c>
      <c r="H19" s="580">
        <f t="shared" si="8"/>
        <v>0.3125</v>
      </c>
      <c r="I19" s="572">
        <f t="shared" si="9"/>
        <v>0.52</v>
      </c>
      <c r="J19" s="483">
        <f t="shared" si="10"/>
        <v>1.131</v>
      </c>
      <c r="K19" s="806">
        <f t="shared" si="11"/>
        <v>1613</v>
      </c>
      <c r="L19" s="718" t="s">
        <v>357</v>
      </c>
      <c r="M19" s="164">
        <f t="shared" si="12"/>
        <v>1.131</v>
      </c>
      <c r="N19" s="575">
        <f t="shared" si="13"/>
        <v>0.30887597304864939</v>
      </c>
      <c r="O19" s="572">
        <f t="shared" si="14"/>
        <v>6.8038130684464617</v>
      </c>
      <c r="P19" s="576">
        <f t="shared" si="15"/>
        <v>-2.4581574098407448</v>
      </c>
      <c r="Q19" s="528">
        <f t="shared" si="140"/>
        <v>87.400700629219571</v>
      </c>
      <c r="R19" s="572">
        <f>IF(M19="","",SQRT(N19^2+O19^2))</f>
        <v>6.8108205553435051</v>
      </c>
      <c r="S19" s="577">
        <f>IF(M19="","",P19)</f>
        <v>-2.4581574098407448</v>
      </c>
      <c r="T19" s="578">
        <f>IF(M19="","",X19*COS(RADIANS(W19)))</f>
        <v>6.8038130599559041</v>
      </c>
      <c r="U19" s="572">
        <f>IF(M19="","",X19*SIN(RADIANS(W19)))</f>
        <v>-0.30887616007565888</v>
      </c>
      <c r="V19" s="579">
        <f>IF(M19="","",Y19)</f>
        <v>-2.4581574098407448</v>
      </c>
      <c r="W19" s="528">
        <f t="shared" si="253"/>
        <v>357.40069905424122</v>
      </c>
      <c r="X19" s="572">
        <f>IF(M19="","",R19)</f>
        <v>6.8108205553435051</v>
      </c>
      <c r="Y19" s="573">
        <f t="shared" si="255"/>
        <v>-2.4581574098407448</v>
      </c>
      <c r="Z19" s="575">
        <f t="shared" si="18"/>
        <v>0.88205895505185161</v>
      </c>
      <c r="AA19" s="572">
        <f t="shared" si="19"/>
        <v>-0.45602588866680205</v>
      </c>
      <c r="AB19" s="572">
        <f t="shared" si="20"/>
        <v>-0.11837393580720949</v>
      </c>
      <c r="AC19" s="579">
        <f>IF(M19="","",SQRT(Z19^2+AA19^2+AB19^2))</f>
        <v>1</v>
      </c>
      <c r="AD19" s="580">
        <f>IF(M19="","",Z19*(1/SQRT(Z19^2+AA19^2+AB19^2)))</f>
        <v>0.88205895505185161</v>
      </c>
      <c r="AE19" s="572">
        <f>IF(M19="","",AA19*(1/SQRT(Z19^2+AA19^2+AB19^2)))</f>
        <v>-0.45602588866680205</v>
      </c>
      <c r="AF19" s="576">
        <f>IF(M19="","",AB19*(1/SQRT(Z19^2+AA19^2+AB19^2)))</f>
        <v>-0.11837393580720949</v>
      </c>
      <c r="AG19" s="545">
        <f>IF(M19="","",DEGREES(ATAN2(-AF19,AE19)))</f>
        <v>-75.448475426286961</v>
      </c>
      <c r="AH19" s="546">
        <f>IF(M19="","",DEGREES(ACOS(AD19)))</f>
        <v>28.108259847989331</v>
      </c>
      <c r="AI19" s="528">
        <f>IF(M19="","",DEGREES(-ACOS(-AF19)))</f>
        <v>-83.201732922584839</v>
      </c>
      <c r="AJ19" s="529">
        <f>IF(M19="","",DEGREES(ATAN2(-AE19,AD19)))</f>
        <v>62.660964001425391</v>
      </c>
      <c r="AK19" s="578">
        <f>IF(M19="","",(COS(RADIANS((90-$Q$8)-W19))*AD19)+(-SIN(RADIANS((90-$Q$8)-W19))*AE19))</f>
        <v>0.90183255243751903</v>
      </c>
      <c r="AL19" s="572">
        <f>IF(M19="","",(SIN(RADIANS((90-$Q$8)-W19))*AD19)+(COS(RADIANS((90-$Q$8)-W19))*AE19))</f>
        <v>-0.41555463983156349</v>
      </c>
      <c r="AM19" s="577">
        <f>IF(M19="","",AF19)</f>
        <v>-0.11837393580720949</v>
      </c>
      <c r="AN19" s="524">
        <f>IF(M19="","",DEGREES(ATAN2(-AM19,AL19)))</f>
        <v>-74.099989446480123</v>
      </c>
      <c r="AO19" s="525">
        <f t="shared" si="116"/>
        <v>25.599996548029999</v>
      </c>
      <c r="AP19" s="528">
        <f>IF(M19="","",DEGREES(ATAN2(AK19,AL19)))</f>
        <v>-24.739736627794144</v>
      </c>
      <c r="AQ19" s="529">
        <f t="shared" si="21"/>
        <v>0.3347174806850472</v>
      </c>
      <c r="AS19" s="932">
        <f t="shared" si="143"/>
        <v>-2.5993009457587846</v>
      </c>
      <c r="AT19" s="928">
        <f t="shared" si="22"/>
        <v>-2.4563523292376312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3.1150000000000002</v>
      </c>
      <c r="HM19" s="909" t="e">
        <f t="shared" si="138"/>
        <v>#VALUE!</v>
      </c>
      <c r="HN19" s="910">
        <f t="shared" si="73"/>
        <v>15.19999780539186</v>
      </c>
      <c r="HO19" s="911"/>
      <c r="HP19" s="912"/>
      <c r="HQ19" s="910" t="e">
        <f t="shared" si="74"/>
        <v>#VALUE!</v>
      </c>
      <c r="HR19" s="913" t="e">
        <f t="shared" si="75"/>
        <v>#VALUE!</v>
      </c>
      <c r="HS19" s="865">
        <f t="shared" si="251"/>
        <v>2.9211999999999998</v>
      </c>
      <c r="HT19" s="875">
        <f t="shared" si="76"/>
        <v>3.6299999999999999E-2</v>
      </c>
      <c r="HU19" s="876">
        <f t="shared" si="77"/>
        <v>0.66632800634936673</v>
      </c>
      <c r="HV19" s="872">
        <f t="shared" si="78"/>
        <v>7.5929664239611533E-2</v>
      </c>
      <c r="HW19" s="866">
        <f t="shared" si="79"/>
        <v>29500</v>
      </c>
      <c r="HX19" s="867">
        <f t="shared" si="80"/>
        <v>260.68058499999995</v>
      </c>
      <c r="HY19" s="866" t="e">
        <f t="shared" si="81"/>
        <v>#VALUE!</v>
      </c>
      <c r="HZ19" s="868">
        <f t="shared" si="82"/>
        <v>1638.0563489421932</v>
      </c>
      <c r="IA19" s="869" t="e">
        <f t="shared" si="83"/>
        <v>#VALUE!</v>
      </c>
      <c r="IB19" s="870" t="e">
        <f t="shared" si="84"/>
        <v>#VALUE!</v>
      </c>
      <c r="IC19" s="841" t="e">
        <f t="shared" si="85"/>
        <v>#VALUE!</v>
      </c>
      <c r="ID19" s="351">
        <f t="shared" si="86"/>
        <v>1070.8499999999999</v>
      </c>
      <c r="IE19" s="843" t="e">
        <f t="shared" si="87"/>
        <v>#VALUE!</v>
      </c>
      <c r="IF19" s="844"/>
      <c r="IG19" s="790" t="str">
        <f>IFERROR(IF($IW19="","",IF($IW19&lt;(((Settings!$C$19/2)*-1)*$IG$8),"Taper","Nose")),"")</f>
        <v/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1.131</v>
      </c>
      <c r="IJ19" s="674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7" t="str" cm="1">
        <f t="array" ref="IK19">IFERROR(ROUND(VALUE(IF($IJ19&lt;1,$IJ19+LARGE((IF($M$9:$M$150="",0,$M$9:$M$150)-MOD(IF($M$9:$M$150="",0,$M$9:$M$150),1)),1),$IJ19)),4),"")</f>
        <v/>
      </c>
      <c r="IL19" s="482">
        <f t="shared" si="88"/>
        <v>1613</v>
      </c>
      <c r="IM19" s="482" t="str">
        <f t="shared" si="237"/>
        <v/>
      </c>
      <c r="IN19" s="670" t="str">
        <f t="shared" si="90"/>
        <v/>
      </c>
      <c r="IO19" s="702"/>
      <c r="IP19" s="5" t="str">
        <f t="shared" si="91"/>
        <v/>
      </c>
      <c r="IQ19" s="714"/>
      <c r="IR19" s="9" t="str">
        <f t="shared" si="139"/>
        <v/>
      </c>
      <c r="IS19" s="5" t="str">
        <f t="shared" si="92"/>
        <v/>
      </c>
      <c r="IT19" s="5" t="str">
        <f t="shared" si="93"/>
        <v/>
      </c>
      <c r="IU19" s="5" t="str">
        <f t="shared" si="94"/>
        <v/>
      </c>
      <c r="IV19" s="670" t="str">
        <f t="shared" si="95"/>
        <v/>
      </c>
      <c r="IW19" s="9" t="str">
        <f t="shared" si="96"/>
        <v/>
      </c>
      <c r="IX19" s="5" t="str">
        <f t="shared" si="97"/>
        <v/>
      </c>
      <c r="IY19" s="5" t="str">
        <f t="shared" si="98"/>
        <v/>
      </c>
      <c r="IZ19" s="5" t="str">
        <f t="shared" si="99"/>
        <v/>
      </c>
      <c r="JA19" s="705" t="str">
        <f t="shared" si="100"/>
        <v/>
      </c>
      <c r="JD19" s="1368" t="s">
        <v>356</v>
      </c>
      <c r="JE19" s="1369"/>
      <c r="JF19" s="1369"/>
      <c r="JG19" s="1369"/>
      <c r="JH19" s="1369"/>
      <c r="JI19" s="1369"/>
      <c r="JJ19" s="1369"/>
      <c r="JK19" s="1370"/>
    </row>
    <row r="20" spans="1:271" ht="15" customHeight="1" x14ac:dyDescent="0.25">
      <c r="A20" s="75">
        <f t="shared" si="1"/>
        <v>0</v>
      </c>
      <c r="B20" s="578">
        <f t="shared" si="2"/>
        <v>0.3449807885302415</v>
      </c>
      <c r="C20" s="572">
        <f t="shared" si="3"/>
        <v>6.9789998686601757</v>
      </c>
      <c r="D20" s="576">
        <f t="shared" si="4"/>
        <v>-3.1750595741496226</v>
      </c>
      <c r="E20" s="580">
        <f t="shared" si="5"/>
        <v>-0.85992977294919504</v>
      </c>
      <c r="F20" s="572">
        <f t="shared" si="6"/>
        <v>0.50403219029403068</v>
      </c>
      <c r="G20" s="579">
        <f t="shared" si="7"/>
        <v>8.0450834321019529E-2</v>
      </c>
      <c r="H20" s="580">
        <f t="shared" si="8"/>
        <v>0.3125</v>
      </c>
      <c r="I20" s="572">
        <f t="shared" si="9"/>
        <v>0.52</v>
      </c>
      <c r="J20" s="483">
        <f t="shared" si="10"/>
        <v>1.1339999999999999</v>
      </c>
      <c r="K20" s="806">
        <f t="shared" si="11"/>
        <v>1613</v>
      </c>
      <c r="L20" s="717">
        <f>IF($L19=$JJ$22,$JJ$30,IF($L19=$JK$22,$JK$30,""))</f>
        <v>450</v>
      </c>
      <c r="M20" s="164">
        <f t="shared" si="12"/>
        <v>1.1339999999999999</v>
      </c>
      <c r="N20" s="575">
        <f t="shared" si="13"/>
        <v>0.3449807885302415</v>
      </c>
      <c r="O20" s="572">
        <f t="shared" si="14"/>
        <v>6.9789998686601757</v>
      </c>
      <c r="P20" s="576">
        <f t="shared" si="15"/>
        <v>-3.1750595741496226</v>
      </c>
      <c r="Q20" s="528">
        <f t="shared" si="140"/>
        <v>87.170100573430176</v>
      </c>
      <c r="R20" s="572">
        <f>IF(M20="","",SQRT(N20^2+O20^2))</f>
        <v>6.9875210848493108</v>
      </c>
      <c r="S20" s="577">
        <f>IF(M20="","",P20)</f>
        <v>-3.1750595741496226</v>
      </c>
      <c r="T20" s="578">
        <f>IF(M20="","",X20*COS(RADIANS(W20)))</f>
        <v>6.9789998591771489</v>
      </c>
      <c r="U20" s="572">
        <f>IF(M20="","",X20*SIN(RADIANS(W20)))</f>
        <v>-0.34498098037287683</v>
      </c>
      <c r="V20" s="579">
        <f>IF(M20="","",Y20)</f>
        <v>-3.1750595741496226</v>
      </c>
      <c r="W20" s="528">
        <f t="shared" si="253"/>
        <v>357.17009899845186</v>
      </c>
      <c r="X20" s="572">
        <f>IF(M20="","",R20)</f>
        <v>6.9875210848493108</v>
      </c>
      <c r="Y20" s="573">
        <f t="shared" si="255"/>
        <v>-3.1750595741496226</v>
      </c>
      <c r="Z20" s="575">
        <f t="shared" si="18"/>
        <v>0.85992977294919504</v>
      </c>
      <c r="AA20" s="572">
        <f t="shared" si="19"/>
        <v>-0.50403219029403068</v>
      </c>
      <c r="AB20" s="572">
        <f t="shared" si="20"/>
        <v>-8.0450834321019529E-2</v>
      </c>
      <c r="AC20" s="579">
        <f>IF(M20="","",SQRT(Z20^2+AA20^2+AB20^2))</f>
        <v>1</v>
      </c>
      <c r="AD20" s="580">
        <f>IF(M20="","",Z20*(1/SQRT(Z20^2+AA20^2+AB20^2)))</f>
        <v>0.85992977294919504</v>
      </c>
      <c r="AE20" s="572">
        <f>IF(M20="","",AA20*(1/SQRT(Z20^2+AA20^2+AB20^2)))</f>
        <v>-0.50403219029403068</v>
      </c>
      <c r="AF20" s="576">
        <f>IF(M20="","",AB20*(1/SQRT(Z20^2+AA20^2+AB20^2)))</f>
        <v>-8.0450834321019529E-2</v>
      </c>
      <c r="AG20" s="545">
        <f>IF(M20="","",DEGREES(ATAN2(-AF20,AE20)))</f>
        <v>-80.931261868612836</v>
      </c>
      <c r="AH20" s="546">
        <f>IF(M20="","",DEGREES(ACOS(AD20)))</f>
        <v>30.691301283324488</v>
      </c>
      <c r="AI20" s="528">
        <f>IF(M20="","",DEGREES(-ACOS(-AF20)))</f>
        <v>-85.385519831350237</v>
      </c>
      <c r="AJ20" s="529">
        <f>IF(M20="","",DEGREES(ATAN2(-AE20,AD20)))</f>
        <v>59.624076151812787</v>
      </c>
      <c r="AK20" s="578">
        <f>IF(M20="","",(COS(RADIANS((90-$Q$8)-W20))*AD20)+(-SIN(RADIANS((90-$Q$8)-W20))*AE20))</f>
        <v>0.88376566166094639</v>
      </c>
      <c r="AL20" s="572">
        <f>IF(M20="","",(SIN(RADIANS((90-$Q$8)-W20))*AD20)+(COS(RADIANS((90-$Q$8)-W20))*AE20))</f>
        <v>-0.46096194910864569</v>
      </c>
      <c r="AM20" s="577">
        <f>IF(M20="","",AF20)</f>
        <v>-8.0450834321019529E-2</v>
      </c>
      <c r="AN20" s="524">
        <f>IF(M20="","",DEGREES(ATAN2(-AM20,AL20)))</f>
        <v>-80.099988488520111</v>
      </c>
      <c r="AO20" s="525">
        <f t="shared" si="116"/>
        <v>27.899996134127584</v>
      </c>
      <c r="AP20" s="528">
        <f>IF(M20="","",DEGREES(ATAN2(AK20,AL20)))</f>
        <v>-27.546024421617396</v>
      </c>
      <c r="AQ20" s="529">
        <f t="shared" si="21"/>
        <v>0.32625332575641131</v>
      </c>
      <c r="AS20" s="932">
        <f t="shared" si="143"/>
        <v>-2.8299010015481372</v>
      </c>
      <c r="AT20" s="928">
        <f t="shared" si="22"/>
        <v>-3.1730943546188772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6.1180000000000003</v>
      </c>
      <c r="HM20" s="909" t="e">
        <f t="shared" si="138"/>
        <v>#VALUE!</v>
      </c>
      <c r="HN20" s="910">
        <f t="shared" si="73"/>
        <v>15.699997733200806</v>
      </c>
      <c r="HO20" s="911"/>
      <c r="HP20" s="912"/>
      <c r="HQ20" s="910" t="e">
        <f t="shared" si="74"/>
        <v>#VALUE!</v>
      </c>
      <c r="HR20" s="913" t="e">
        <f t="shared" si="75"/>
        <v>#VALUE!</v>
      </c>
      <c r="HS20" s="865">
        <f t="shared" si="251"/>
        <v>3.3212999999999999</v>
      </c>
      <c r="HT20" s="875">
        <f t="shared" si="76"/>
        <v>3.2000000000000001E-2</v>
      </c>
      <c r="HU20" s="876">
        <f t="shared" si="77"/>
        <v>0.66783490529656597</v>
      </c>
      <c r="HV20" s="872">
        <f t="shared" si="78"/>
        <v>7.6101378965712771E-2</v>
      </c>
      <c r="HW20" s="866">
        <f t="shared" si="79"/>
        <v>29500</v>
      </c>
      <c r="HX20" s="867">
        <f t="shared" si="80"/>
        <v>261.2756</v>
      </c>
      <c r="HY20" s="866" t="e">
        <f t="shared" si="81"/>
        <v>#VALUE!</v>
      </c>
      <c r="HZ20" s="868">
        <f t="shared" si="82"/>
        <v>1641.760808854058</v>
      </c>
      <c r="IA20" s="869" t="e">
        <f t="shared" si="83"/>
        <v>#VALUE!</v>
      </c>
      <c r="IB20" s="870" t="e">
        <f t="shared" si="84"/>
        <v>#VALUE!</v>
      </c>
      <c r="IC20" s="841" t="e">
        <f t="shared" si="85"/>
        <v>#VALUE!</v>
      </c>
      <c r="ID20" s="351">
        <f t="shared" si="86"/>
        <v>944</v>
      </c>
      <c r="IE20" s="843" t="e">
        <f t="shared" si="87"/>
        <v>#VALUE!</v>
      </c>
      <c r="IF20" s="844"/>
      <c r="IG20" s="790" t="str">
        <f>IFERROR(IF($IW20="","",IF($IW20&lt;(((Settings!$C$19/2)*-1)*$IG$8),"Taper","Nose")),"")</f>
        <v/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1.1339999999999999</v>
      </c>
      <c r="IJ20" s="674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7" t="str" cm="1">
        <f t="array" ref="IK20">IFERROR(ROUND(VALUE(IF($IJ20&lt;1,$IJ20+LARGE((IF($M$9:$M$150="",0,$M$9:$M$150)-MOD(IF($M$9:$M$150="",0,$M$9:$M$150),1)),1),$IJ20)),4),"")</f>
        <v/>
      </c>
      <c r="IL20" s="482">
        <f t="shared" si="88"/>
        <v>1613</v>
      </c>
      <c r="IM20" s="482" t="str">
        <f t="shared" si="237"/>
        <v/>
      </c>
      <c r="IN20" s="670" t="str">
        <f t="shared" si="90"/>
        <v/>
      </c>
      <c r="IO20" s="702"/>
      <c r="IP20" s="5" t="str">
        <f t="shared" si="91"/>
        <v/>
      </c>
      <c r="IQ20" s="714"/>
      <c r="IR20" s="9" t="str">
        <f t="shared" si="139"/>
        <v/>
      </c>
      <c r="IS20" s="5" t="str">
        <f t="shared" si="92"/>
        <v/>
      </c>
      <c r="IT20" s="5" t="str">
        <f t="shared" si="93"/>
        <v/>
      </c>
      <c r="IU20" s="5" t="str">
        <f t="shared" si="94"/>
        <v/>
      </c>
      <c r="IV20" s="670" t="str">
        <f t="shared" si="95"/>
        <v/>
      </c>
      <c r="IW20" s="9" t="str">
        <f t="shared" si="96"/>
        <v/>
      </c>
      <c r="IX20" s="5" t="str">
        <f t="shared" si="97"/>
        <v/>
      </c>
      <c r="IY20" s="5" t="str">
        <f t="shared" si="98"/>
        <v/>
      </c>
      <c r="IZ20" s="5" t="str">
        <f t="shared" si="99"/>
        <v/>
      </c>
      <c r="JA20" s="705" t="str">
        <f t="shared" si="100"/>
        <v/>
      </c>
      <c r="JC20" s="31"/>
      <c r="JD20" s="1371" t="s">
        <v>360</v>
      </c>
      <c r="JE20" s="1372"/>
      <c r="JF20" s="1372"/>
      <c r="JG20" s="1372"/>
      <c r="JH20" s="1150" t="s">
        <v>361</v>
      </c>
      <c r="JI20" s="1151"/>
      <c r="JJ20" s="1151"/>
      <c r="JK20" s="1152"/>
    </row>
    <row r="21" spans="1:271" ht="15" customHeight="1" x14ac:dyDescent="0.25">
      <c r="A21" s="75">
        <f t="shared" si="1"/>
        <v>0</v>
      </c>
      <c r="B21" s="578">
        <f t="shared" si="2"/>
        <v>0.36885222568310089</v>
      </c>
      <c r="C21" s="572">
        <f t="shared" si="3"/>
        <v>7.089732901535708</v>
      </c>
      <c r="D21" s="576">
        <f t="shared" si="4"/>
        <v>-3.9200618225372401</v>
      </c>
      <c r="E21" s="580">
        <f t="shared" si="5"/>
        <v>-0.82735998828794721</v>
      </c>
      <c r="F21" s="572">
        <f t="shared" si="6"/>
        <v>0.56050838575561779</v>
      </c>
      <c r="G21" s="579">
        <f t="shared" si="7"/>
        <v>3.6135844777718175E-2</v>
      </c>
      <c r="H21" s="580">
        <f t="shared" si="8"/>
        <v>0.3125</v>
      </c>
      <c r="I21" s="572">
        <f t="shared" si="9"/>
        <v>0.52</v>
      </c>
      <c r="J21" s="483">
        <f t="shared" si="10"/>
        <v>1.137</v>
      </c>
      <c r="K21" s="806">
        <f t="shared" si="11"/>
        <v>1613</v>
      </c>
      <c r="L21" s="719" t="s">
        <v>358</v>
      </c>
      <c r="M21" s="164">
        <f t="shared" si="12"/>
        <v>1.137</v>
      </c>
      <c r="N21" s="575">
        <f t="shared" si="13"/>
        <v>0.36885222568310089</v>
      </c>
      <c r="O21" s="572">
        <f t="shared" si="14"/>
        <v>7.089732901535708</v>
      </c>
      <c r="P21" s="576">
        <f t="shared" si="15"/>
        <v>-3.9200618225372401</v>
      </c>
      <c r="Q21" s="528">
        <f t="shared" si="140"/>
        <v>87.021800500532905</v>
      </c>
      <c r="R21" s="572">
        <f>IF(M21="","",SQRT(N21^2+O21^2))</f>
        <v>7.0993214168333942</v>
      </c>
      <c r="S21" s="577">
        <f>IF(M21="","",P21)</f>
        <v>-3.9200618225372401</v>
      </c>
      <c r="T21" s="578">
        <f>IF(M21="","",X21*COS(RADIANS(W21)))</f>
        <v>7.0897328913964897</v>
      </c>
      <c r="U21" s="572">
        <f>IF(M21="","",X21*SIN(RADIANS(W21)))</f>
        <v>-0.36885242056963541</v>
      </c>
      <c r="V21" s="579">
        <f>IF(M21="","",Y21)</f>
        <v>-3.9200618225372401</v>
      </c>
      <c r="W21" s="528">
        <f t="shared" si="253"/>
        <v>357.02179892555455</v>
      </c>
      <c r="X21" s="572">
        <f>IF(M21="","",R21)</f>
        <v>7.0993214168333942</v>
      </c>
      <c r="Y21" s="573">
        <f t="shared" si="255"/>
        <v>-3.9200618225372401</v>
      </c>
      <c r="Z21" s="575">
        <f t="shared" si="18"/>
        <v>0.82735998828794721</v>
      </c>
      <c r="AA21" s="572">
        <f t="shared" si="19"/>
        <v>-0.56050838575561779</v>
      </c>
      <c r="AB21" s="572">
        <f t="shared" si="20"/>
        <v>-3.6135844777718175E-2</v>
      </c>
      <c r="AC21" s="579">
        <f>IF(M21="","",SQRT(Z21^2+AA21^2+AB21^2))</f>
        <v>1</v>
      </c>
      <c r="AD21" s="580">
        <f>IF(M21="","",Z21*(1/SQRT(Z21^2+AA21^2+AB21^2)))</f>
        <v>0.82735998828794721</v>
      </c>
      <c r="AE21" s="572">
        <f>IF(M21="","",AA21*(1/SQRT(Z21^2+AA21^2+AB21^2)))</f>
        <v>-0.56050838575561779</v>
      </c>
      <c r="AF21" s="576">
        <f>IF(M21="","",AB21*(1/SQRT(Z21^2+AA21^2+AB21^2)))</f>
        <v>-3.6135844777718175E-2</v>
      </c>
      <c r="AG21" s="545">
        <f>IF(M21="","",DEGREES(ATAN2(-AF21,AE21)))</f>
        <v>-86.311259385237477</v>
      </c>
      <c r="AH21" s="546">
        <f>IF(M21="","",DEGREES(ACOS(AD21)))</f>
        <v>34.171507601192623</v>
      </c>
      <c r="AI21" s="528">
        <f>IF(M21="","",DEGREES(-ACOS(-AF21)))</f>
        <v>-87.92911774548044</v>
      </c>
      <c r="AJ21" s="529">
        <f>IF(M21="","",DEGREES(ATAN2(-AE21,AD21)))</f>
        <v>55.883689299849145</v>
      </c>
      <c r="AK21" s="578">
        <f>IF(M21="","",(COS(RADIANS((90-$Q$8)-W21))*AD21)+(-SIN(RADIANS((90-$Q$8)-W21))*AE21))</f>
        <v>0.85536430025277843</v>
      </c>
      <c r="AL21" s="572">
        <f>IF(M21="","",(SIN(RADIANS((90-$Q$8)-W21))*AD21)+(COS(RADIANS((90-$Q$8)-W21))*AE21))</f>
        <v>-0.51676504774924104</v>
      </c>
      <c r="AM21" s="577">
        <f>IF(M21="","",AF21)</f>
        <v>-3.6135844777718175E-2</v>
      </c>
      <c r="AN21" s="524">
        <f>IF(M21="","",DEGREES(ATAN2(-AM21,AL21)))</f>
        <v>-85.999987591262339</v>
      </c>
      <c r="AO21" s="525">
        <f>IF(ROUND(IF(M21="",0,DEGREES(ACOS(AK21))),4)=90,0,IF(M21="","",DEGREES(ACOS(AK21))))</f>
        <v>31.199995565640261</v>
      </c>
      <c r="AP21" s="528">
        <f>IF(M21="","",DEGREES(ATAN2(AK21,AL21)))</f>
        <v>-31.138111200683767</v>
      </c>
      <c r="AQ21" s="529">
        <f t="shared" si="21"/>
        <v>0.32111558679865415</v>
      </c>
      <c r="AS21" s="932">
        <f t="shared" si="143"/>
        <v>-2.978201074445451</v>
      </c>
      <c r="AT21" s="928">
        <f t="shared" si="22"/>
        <v>-3.9179936168447607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>
        <f t="shared" si="137"/>
        <v>13</v>
      </c>
      <c r="HL21" s="348">
        <f t="shared" si="72"/>
        <v>3.121</v>
      </c>
      <c r="HM21" s="909" t="e">
        <f t="shared" si="138"/>
        <v>#VALUE!</v>
      </c>
      <c r="HN21" s="910">
        <f t="shared" si="73"/>
        <v>16.499997617695097</v>
      </c>
      <c r="HO21" s="911"/>
      <c r="HP21" s="912"/>
      <c r="HQ21" s="910" t="e">
        <f t="shared" si="74"/>
        <v>#VALUE!</v>
      </c>
      <c r="HR21" s="913" t="e">
        <f t="shared" si="75"/>
        <v>#VALUE!</v>
      </c>
      <c r="HS21" s="865">
        <f t="shared" si="251"/>
        <v>3.6800999999999999</v>
      </c>
      <c r="HT21" s="875">
        <f t="shared" si="76"/>
        <v>2.9899999999999999E-2</v>
      </c>
      <c r="HU21" s="876">
        <f t="shared" si="77"/>
        <v>0.69141064059948498</v>
      </c>
      <c r="HV21" s="872">
        <f t="shared" si="78"/>
        <v>7.8787890186455323E-2</v>
      </c>
      <c r="HW21" s="866">
        <f t="shared" si="79"/>
        <v>29500</v>
      </c>
      <c r="HX21" s="867">
        <f t="shared" si="80"/>
        <v>270.50268374999996</v>
      </c>
      <c r="HY21" s="866" t="e">
        <f t="shared" si="81"/>
        <v>#VALUE!</v>
      </c>
      <c r="HZ21" s="868">
        <f t="shared" si="82"/>
        <v>1699.7178248070672</v>
      </c>
      <c r="IA21" s="869" t="e">
        <f t="shared" si="83"/>
        <v>#VALUE!</v>
      </c>
      <c r="IB21" s="870" t="e">
        <f t="shared" si="84"/>
        <v>#VALUE!</v>
      </c>
      <c r="IC21" s="841" t="e">
        <f t="shared" si="85"/>
        <v>#VALUE!</v>
      </c>
      <c r="ID21" s="351">
        <f t="shared" si="86"/>
        <v>882.05</v>
      </c>
      <c r="IE21" s="843" t="e">
        <f t="shared" si="87"/>
        <v>#VALUE!</v>
      </c>
      <c r="IF21" s="844"/>
      <c r="IG21" s="790" t="str">
        <f>IFERROR(IF($IW21="","",IF($IW21&lt;(((Settings!$C$19/2)*-1)*$IG$8),"Taper","Nose")),"")</f>
        <v/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1.137</v>
      </c>
      <c r="IJ21" s="674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7" t="str" cm="1">
        <f t="array" ref="IK21">IFERROR(ROUND(VALUE(IF($IJ21&lt;1,$IJ21+LARGE((IF($M$9:$M$150="",0,$M$9:$M$150)-MOD(IF($M$9:$M$150="",0,$M$9:$M$150),1)),1),$IJ21)),4),"")</f>
        <v/>
      </c>
      <c r="IL21" s="482">
        <f t="shared" si="88"/>
        <v>1613</v>
      </c>
      <c r="IM21" s="482" t="str">
        <f t="shared" si="237"/>
        <v/>
      </c>
      <c r="IN21" s="670" t="str">
        <f t="shared" si="90"/>
        <v/>
      </c>
      <c r="IO21" s="702"/>
      <c r="IP21" s="5" t="str">
        <f t="shared" si="91"/>
        <v/>
      </c>
      <c r="IQ21" s="714"/>
      <c r="IR21" s="9" t="str">
        <f t="shared" si="139"/>
        <v/>
      </c>
      <c r="IS21" s="5" t="str">
        <f t="shared" si="92"/>
        <v/>
      </c>
      <c r="IT21" s="5" t="str">
        <f t="shared" si="93"/>
        <v/>
      </c>
      <c r="IU21" s="5" t="str">
        <f t="shared" si="94"/>
        <v/>
      </c>
      <c r="IV21" s="670" t="str">
        <f t="shared" si="95"/>
        <v/>
      </c>
      <c r="IW21" s="9" t="str">
        <f t="shared" si="96"/>
        <v/>
      </c>
      <c r="IX21" s="5" t="str">
        <f t="shared" si="97"/>
        <v/>
      </c>
      <c r="IY21" s="5" t="str">
        <f t="shared" si="98"/>
        <v/>
      </c>
      <c r="IZ21" s="5" t="str">
        <f t="shared" si="99"/>
        <v/>
      </c>
      <c r="JA21" s="705" t="str">
        <f t="shared" si="100"/>
        <v/>
      </c>
      <c r="JC21" s="708"/>
      <c r="JD21" s="1224"/>
      <c r="JE21" s="1225"/>
      <c r="JF21" s="1225"/>
      <c r="JG21" s="1225"/>
      <c r="JH21" s="1153" t="s">
        <v>349</v>
      </c>
      <c r="JI21" s="1154"/>
      <c r="JJ21" s="1373" t="s">
        <v>362</v>
      </c>
      <c r="JK21" s="1374"/>
    </row>
    <row r="22" spans="1:271" ht="15" customHeight="1" thickBot="1" x14ac:dyDescent="0.3">
      <c r="A22" s="75">
        <f t="shared" si="1"/>
        <v>0</v>
      </c>
      <c r="B22" s="578">
        <f t="shared" si="2"/>
        <v>0.37663369528405083</v>
      </c>
      <c r="C22" s="572">
        <f t="shared" si="3"/>
        <v>7.1249738372274685</v>
      </c>
      <c r="D22" s="576">
        <f t="shared" si="4"/>
        <v>-4.6801641152760958</v>
      </c>
      <c r="E22" s="580">
        <f t="shared" si="5"/>
        <v>-0.81488313638440091</v>
      </c>
      <c r="F22" s="572">
        <f t="shared" si="6"/>
        <v>0.57932355078025477</v>
      </c>
      <c r="G22" s="579">
        <f t="shared" si="7"/>
        <v>1.8700201808521898E-2</v>
      </c>
      <c r="H22" s="580">
        <f t="shared" si="8"/>
        <v>0.3125</v>
      </c>
      <c r="I22" s="572">
        <f t="shared" si="9"/>
        <v>0.52</v>
      </c>
      <c r="J22" s="483">
        <f t="shared" si="10"/>
        <v>1.1399999999999999</v>
      </c>
      <c r="K22" s="806">
        <f t="shared" si="11"/>
        <v>1613</v>
      </c>
      <c r="L22" s="814">
        <f>IF($L21=$JJ$22,$JJ$30,IF($L21=$JK$22,$JK$30,""))</f>
        <v>720</v>
      </c>
      <c r="M22" s="164">
        <f t="shared" si="12"/>
        <v>1.1399999999999999</v>
      </c>
      <c r="N22" s="575">
        <f t="shared" si="13"/>
        <v>0.37663369528405083</v>
      </c>
      <c r="O22" s="572">
        <f t="shared" si="14"/>
        <v>7.1249738372274685</v>
      </c>
      <c r="P22" s="576">
        <f t="shared" si="15"/>
        <v>-4.6801641152760958</v>
      </c>
      <c r="Q22" s="528">
        <f t="shared" si="140"/>
        <v>86.974100472736311</v>
      </c>
      <c r="R22" s="572">
        <f t="shared" si="101"/>
        <v>7.1349215217547588</v>
      </c>
      <c r="S22" s="577">
        <f t="shared" si="102"/>
        <v>-4.6801641152760958</v>
      </c>
      <c r="T22" s="578">
        <f t="shared" si="103"/>
        <v>7.1249738268743492</v>
      </c>
      <c r="U22" s="572">
        <f t="shared" si="104"/>
        <v>-0.37663389113930579</v>
      </c>
      <c r="V22" s="579">
        <f t="shared" si="141"/>
        <v>-4.6801641152760958</v>
      </c>
      <c r="W22" s="528">
        <f t="shared" si="253"/>
        <v>356.97409889775798</v>
      </c>
      <c r="X22" s="572">
        <f t="shared" si="105"/>
        <v>7.1349215217547588</v>
      </c>
      <c r="Y22" s="573">
        <f t="shared" si="255"/>
        <v>-4.6801641152760958</v>
      </c>
      <c r="Z22" s="575">
        <f t="shared" si="18"/>
        <v>0.81488313638440091</v>
      </c>
      <c r="AA22" s="572">
        <f t="shared" si="19"/>
        <v>-0.57932355078025477</v>
      </c>
      <c r="AB22" s="572">
        <f t="shared" si="20"/>
        <v>-1.8700201808521898E-2</v>
      </c>
      <c r="AC22" s="579">
        <f t="shared" si="106"/>
        <v>1</v>
      </c>
      <c r="AD22" s="580">
        <f t="shared" si="142"/>
        <v>0.81488313638440091</v>
      </c>
      <c r="AE22" s="572">
        <f t="shared" si="107"/>
        <v>-0.57932355078025477</v>
      </c>
      <c r="AF22" s="576">
        <f t="shared" si="108"/>
        <v>-1.8700201808521898E-2</v>
      </c>
      <c r="AG22" s="545">
        <f t="shared" si="109"/>
        <v>-88.151170036233424</v>
      </c>
      <c r="AH22" s="546">
        <f t="shared" si="110"/>
        <v>35.424191680889841</v>
      </c>
      <c r="AI22" s="528">
        <f t="shared" si="111"/>
        <v>-88.92849490368927</v>
      </c>
      <c r="AJ22" s="529">
        <f t="shared" si="112"/>
        <v>54.589898683954715</v>
      </c>
      <c r="AK22" s="578">
        <f t="shared" si="238"/>
        <v>0.84432796891514672</v>
      </c>
      <c r="AL22" s="572">
        <f t="shared" si="113"/>
        <v>-0.53550031126036091</v>
      </c>
      <c r="AM22" s="577">
        <f t="shared" si="114"/>
        <v>-1.8700201808521898E-2</v>
      </c>
      <c r="AN22" s="524">
        <f t="shared" si="115"/>
        <v>-87.999987296345381</v>
      </c>
      <c r="AO22" s="525">
        <f t="shared" si="116"/>
        <v>32.399995357848091</v>
      </c>
      <c r="AP22" s="528">
        <f t="shared" si="117"/>
        <v>-32.38420178878161</v>
      </c>
      <c r="AQ22" s="529">
        <f t="shared" si="21"/>
        <v>0.31951339524670991</v>
      </c>
      <c r="AS22" s="932">
        <f t="shared" si="143"/>
        <v>-3.0259011022420168</v>
      </c>
      <c r="AT22" s="928">
        <f t="shared" si="22"/>
        <v>-4.6780627845643128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>
        <f t="shared" si="137"/>
        <v>14</v>
      </c>
      <c r="HL22" s="348">
        <f t="shared" si="72"/>
        <v>6.1239999999999997</v>
      </c>
      <c r="HM22" s="909" t="e">
        <f t="shared" si="138"/>
        <v>#NUM!</v>
      </c>
      <c r="HN22" s="910">
        <f t="shared" si="73"/>
        <v>18.099997386683679</v>
      </c>
      <c r="HO22" s="911"/>
      <c r="HP22" s="912"/>
      <c r="HQ22" s="910" t="e">
        <f t="shared" si="74"/>
        <v>#NUM!</v>
      </c>
      <c r="HR22" s="913" t="e">
        <f t="shared" si="75"/>
        <v>#NUM!</v>
      </c>
      <c r="HS22" s="865">
        <f t="shared" si="251"/>
        <v>4.0052000000000003</v>
      </c>
      <c r="HT22" s="875">
        <f t="shared" si="76"/>
        <v>2.5600000000000001E-2</v>
      </c>
      <c r="HU22" s="876">
        <f t="shared" si="77"/>
        <v>0.64426638196104979</v>
      </c>
      <c r="HV22" s="872">
        <f t="shared" si="78"/>
        <v>7.3415689565842476E-2</v>
      </c>
      <c r="HW22" s="866">
        <f t="shared" si="79"/>
        <v>29500</v>
      </c>
      <c r="HX22" s="867">
        <f t="shared" si="80"/>
        <v>252.06058666666672</v>
      </c>
      <c r="HY22" s="866" t="e">
        <f t="shared" si="81"/>
        <v>#NUM!</v>
      </c>
      <c r="HZ22" s="868">
        <f t="shared" si="82"/>
        <v>1583.821522320914</v>
      </c>
      <c r="IA22" s="869" t="e">
        <f t="shared" si="83"/>
        <v>#NUM!</v>
      </c>
      <c r="IB22" s="870" t="e">
        <f t="shared" si="84"/>
        <v>#NUM!</v>
      </c>
      <c r="IC22" s="841" t="e">
        <f t="shared" si="85"/>
        <v>#NUM!</v>
      </c>
      <c r="ID22" s="351">
        <f t="shared" si="86"/>
        <v>755.2</v>
      </c>
      <c r="IE22" s="843" t="e">
        <f t="shared" si="87"/>
        <v>#NUM!</v>
      </c>
      <c r="IF22" s="844"/>
      <c r="IG22" s="790" t="str">
        <f>IFERROR(IF($IW22="","",IF($IW22&lt;(((Settings!$C$19/2)*-1)*$IG$8),"Taper","Nose")),"")</f>
        <v/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1.1399999999999999</v>
      </c>
      <c r="IJ22" s="674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7" t="str" cm="1">
        <f t="array" ref="IK22">IFERROR(ROUND(VALUE(IF($IJ22&lt;1,$IJ22+LARGE((IF($M$9:$M$150="",0,$M$9:$M$150)-MOD(IF($M$9:$M$150="",0,$M$9:$M$150),1)),1),$IJ22)),4),"")</f>
        <v/>
      </c>
      <c r="IL22" s="482">
        <f t="shared" si="88"/>
        <v>1613</v>
      </c>
      <c r="IM22" s="482" t="str">
        <f t="shared" si="237"/>
        <v/>
      </c>
      <c r="IN22" s="670" t="str">
        <f t="shared" si="90"/>
        <v/>
      </c>
      <c r="IO22" s="702"/>
      <c r="IP22" s="5" t="str">
        <f t="shared" si="91"/>
        <v/>
      </c>
      <c r="IQ22" s="714"/>
      <c r="IR22" s="9" t="str">
        <f t="shared" si="139"/>
        <v/>
      </c>
      <c r="IS22" s="5" t="str">
        <f t="shared" si="92"/>
        <v/>
      </c>
      <c r="IT22" s="5" t="str">
        <f t="shared" si="93"/>
        <v/>
      </c>
      <c r="IU22" s="5" t="str">
        <f t="shared" si="94"/>
        <v/>
      </c>
      <c r="IV22" s="670" t="str">
        <f t="shared" si="95"/>
        <v/>
      </c>
      <c r="IW22" s="9" t="str">
        <f t="shared" si="96"/>
        <v/>
      </c>
      <c r="IX22" s="5" t="str">
        <f t="shared" si="97"/>
        <v/>
      </c>
      <c r="IY22" s="5" t="str">
        <f t="shared" si="98"/>
        <v/>
      </c>
      <c r="IZ22" s="5" t="str">
        <f t="shared" si="99"/>
        <v/>
      </c>
      <c r="JA22" s="705" t="str">
        <f t="shared" si="100"/>
        <v/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1.1551581487263307</v>
      </c>
      <c r="C23" s="572">
        <f t="shared" si="3"/>
        <v>3.8858260880637112</v>
      </c>
      <c r="D23" s="576">
        <f t="shared" si="4"/>
        <v>-0.17109929442283581</v>
      </c>
      <c r="E23" s="580">
        <f t="shared" si="5"/>
        <v>2.884551131317685E-2</v>
      </c>
      <c r="F23" s="572">
        <f t="shared" si="6"/>
        <v>9.7033155596805212E-2</v>
      </c>
      <c r="G23" s="579">
        <f t="shared" si="7"/>
        <v>0.99486305750691517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1.216</v>
      </c>
      <c r="K23" s="806" t="str">
        <f t="shared" si="11"/>
        <v>CPS-32193r1</v>
      </c>
      <c r="M23" s="164">
        <f t="shared" si="12"/>
        <v>1.216</v>
      </c>
      <c r="N23" s="575">
        <f t="shared" si="13"/>
        <v>1.1551581487263307</v>
      </c>
      <c r="O23" s="572">
        <f t="shared" si="14"/>
        <v>3.8858260880637112</v>
      </c>
      <c r="P23" s="576">
        <f t="shared" si="15"/>
        <v>-0.17109929442283581</v>
      </c>
      <c r="Q23" s="528">
        <f t="shared" si="140"/>
        <v>73.444113285700752</v>
      </c>
      <c r="R23" s="572">
        <f t="shared" si="101"/>
        <v>4.0538913077739727</v>
      </c>
      <c r="S23" s="577">
        <f t="shared" si="102"/>
        <v>-0.17109929442283581</v>
      </c>
      <c r="T23" s="578">
        <f t="shared" si="103"/>
        <v>3.8858260563100777</v>
      </c>
      <c r="U23" s="572">
        <f t="shared" si="104"/>
        <v>-1.1551582555420878</v>
      </c>
      <c r="V23" s="579">
        <f t="shared" si="141"/>
        <v>-0.17109929442283581</v>
      </c>
      <c r="W23" s="528">
        <f t="shared" si="253"/>
        <v>343.44411171072238</v>
      </c>
      <c r="X23" s="572">
        <f t="shared" si="105"/>
        <v>4.0538913077739727</v>
      </c>
      <c r="Y23" s="573">
        <f t="shared" si="255"/>
        <v>-0.17109929442283581</v>
      </c>
      <c r="Z23" s="575">
        <f t="shared" si="18"/>
        <v>-2.884551131317685E-2</v>
      </c>
      <c r="AA23" s="572">
        <f t="shared" si="19"/>
        <v>-9.7033155596805212E-2</v>
      </c>
      <c r="AB23" s="572">
        <f t="shared" si="20"/>
        <v>-0.99486305750691517</v>
      </c>
      <c r="AC23" s="579">
        <f t="shared" si="106"/>
        <v>1</v>
      </c>
      <c r="AD23" s="580">
        <f t="shared" si="142"/>
        <v>-2.884551131317685E-2</v>
      </c>
      <c r="AE23" s="572">
        <f t="shared" si="107"/>
        <v>-9.7033155596805212E-2</v>
      </c>
      <c r="AF23" s="576">
        <f t="shared" si="108"/>
        <v>-0.99486305750691517</v>
      </c>
      <c r="AG23" s="545">
        <f t="shared" si="109"/>
        <v>-5.5706771750452573</v>
      </c>
      <c r="AH23" s="546">
        <f t="shared" si="110"/>
        <v>91.652955337512566</v>
      </c>
      <c r="AI23" s="528">
        <f t="shared" si="111"/>
        <v>-5.8099991611398929</v>
      </c>
      <c r="AJ23" s="529">
        <f t="shared" si="112"/>
        <v>-16.555886714299252</v>
      </c>
      <c r="AK23" s="578">
        <f t="shared" si="238"/>
        <v>2.7755575615628914E-17</v>
      </c>
      <c r="AL23" s="572">
        <f t="shared" si="113"/>
        <v>-0.10122992051756449</v>
      </c>
      <c r="AM23" s="577">
        <f t="shared" si="114"/>
        <v>-0.99486305750691517</v>
      </c>
      <c r="AN23" s="524">
        <f t="shared" si="115"/>
        <v>-5.809999161139908</v>
      </c>
      <c r="AO23" s="525">
        <f t="shared" si="116"/>
        <v>0</v>
      </c>
      <c r="AP23" s="528">
        <f t="shared" si="117"/>
        <v>-89.999999999999986</v>
      </c>
      <c r="AQ23" s="529">
        <f t="shared" si="21"/>
        <v>0.56233708766250645</v>
      </c>
      <c r="AS23" s="932">
        <f t="shared" si="143"/>
        <v>-16.555888289277618</v>
      </c>
      <c r="AT23" s="928">
        <f t="shared" si="22"/>
        <v>-0.15960213927561184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>
        <f t="shared" si="137"/>
        <v>15</v>
      </c>
      <c r="HL23" s="348">
        <f t="shared" si="72"/>
        <v>3.1269999999999998</v>
      </c>
      <c r="HM23" s="909" t="e">
        <f t="shared" si="138"/>
        <v>#NUM!</v>
      </c>
      <c r="HN23" s="910">
        <f t="shared" si="73"/>
        <v>21.599996881346282</v>
      </c>
      <c r="HO23" s="911"/>
      <c r="HP23" s="912"/>
      <c r="HQ23" s="910" t="e">
        <f t="shared" si="74"/>
        <v>#NUM!</v>
      </c>
      <c r="HR23" s="913" t="e">
        <f t="shared" si="75"/>
        <v>#NUM!</v>
      </c>
      <c r="HS23" s="865">
        <f t="shared" si="251"/>
        <v>4.2827999999999999</v>
      </c>
      <c r="HT23" s="875">
        <f t="shared" si="76"/>
        <v>2.2200000000000001E-2</v>
      </c>
      <c r="HU23" s="876">
        <f t="shared" si="77"/>
        <v>0.59741947812671992</v>
      </c>
      <c r="HV23" s="872">
        <f t="shared" si="78"/>
        <v>6.8077373233779132E-2</v>
      </c>
      <c r="HW23" s="866">
        <f t="shared" si="79"/>
        <v>29500</v>
      </c>
      <c r="HX23" s="867">
        <f t="shared" si="80"/>
        <v>233.73380999999998</v>
      </c>
      <c r="HY23" s="866" t="e">
        <f t="shared" si="81"/>
        <v>#NUM!</v>
      </c>
      <c r="HZ23" s="868">
        <f t="shared" si="82"/>
        <v>1468.6562170615196</v>
      </c>
      <c r="IA23" s="869" t="e">
        <f t="shared" si="83"/>
        <v>#NUM!</v>
      </c>
      <c r="IB23" s="870" t="e">
        <f t="shared" si="84"/>
        <v>#NUM!</v>
      </c>
      <c r="IC23" s="841" t="e">
        <f t="shared" si="85"/>
        <v>#NUM!</v>
      </c>
      <c r="ID23" s="351">
        <f t="shared" si="86"/>
        <v>654.9</v>
      </c>
      <c r="IE23" s="843" t="e">
        <f t="shared" si="87"/>
        <v>#NUM!</v>
      </c>
      <c r="IF23" s="844"/>
      <c r="IG23" s="790" t="str">
        <f>IFERROR(IF($IW23="","",IF($IW23&lt;(((Settings!$C$19/2)*-1)*$IG$8),"Taper","Nose")),"")</f>
        <v>Nose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1.216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1.1160000000000001</v>
      </c>
      <c r="IK23" s="677" cm="1">
        <f t="array" ref="IK23">IFERROR(ROUND(VALUE(IF($IJ23&lt;1,$IJ23+LARGE((IF($M$9:$M$150="",0,$M$9:$M$150)-MOD(IF($M$9:$M$150="",0,$M$9:$M$150),1)),1),$IJ23)),4),"")</f>
        <v>1.1160000000000001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16.497387706234008</v>
      </c>
      <c r="IO23" s="702">
        <v>4.3400370091431002E-2</v>
      </c>
      <c r="IP23" s="5">
        <f t="shared" si="91"/>
        <v>0.94</v>
      </c>
      <c r="IQ23" s="714">
        <v>470</v>
      </c>
      <c r="IR23" s="9">
        <f t="shared" si="139"/>
        <v>-4.0497122188539496</v>
      </c>
      <c r="IS23" s="5">
        <f t="shared" si="92"/>
        <v>-0.17285050294834448</v>
      </c>
      <c r="IT23" s="5">
        <f t="shared" si="93"/>
        <v>0.3125</v>
      </c>
      <c r="IU23" s="5">
        <f t="shared" si="94"/>
        <v>0.30142419608098764</v>
      </c>
      <c r="IV23" s="670">
        <f t="shared" si="95"/>
        <v>15.000001306799158</v>
      </c>
      <c r="IW23" s="9">
        <f t="shared" si="96"/>
        <v>-4.0538913077739727</v>
      </c>
      <c r="IX23" s="5">
        <f t="shared" si="97"/>
        <v>-0.17109929442283581</v>
      </c>
      <c r="IY23" s="5">
        <f t="shared" si="98"/>
        <v>0.255</v>
      </c>
      <c r="IZ23" s="5">
        <f t="shared" si="99"/>
        <v>0.255</v>
      </c>
      <c r="JA23" s="705">
        <f t="shared" si="100"/>
        <v>5.809999161139908</v>
      </c>
      <c r="JC23" s="796" t="str" cm="1">
        <f t="array" ref="JC23">IFERROR(_xlfn._xlws.SORT(_xlfn.UNIQUE(_xlfn._xlws.FILTER($IM$9:$IM$150,$IM$9:$IM$150&lt;&gt;"")),,1),"")</f>
        <v>CPS-32193r1</v>
      </c>
      <c r="JD23" s="800" cm="1">
        <f t="array" ref="JD23">IF($JC23="","",COUNT(IF(IF($IK$9:$IK$150&lt;&gt;"",$IM$9:$IM$150,"")=$JC23,$II$9:$II$150,"")))</f>
        <v>46</v>
      </c>
      <c r="JE23" s="191"/>
      <c r="JF23" s="191"/>
      <c r="JG23" s="812"/>
      <c r="JH23" s="737" cm="1">
        <f t="array" ref="JH23:JI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16</v>
      </c>
      <c r="JI23" s="742">
        <v>30</v>
      </c>
      <c r="JJ23" s="741" cm="1">
        <f t="array" ref="JJ23:JK23">IF(_xlfn.ANCHORARRAY($JH$23)="","",_xlfn.MINIFS($IQ$9:$IQ$150,$IM$9:$IM$150,_xlfn.ANCHORARRAY($JC$23),$IG$9:$IG$150,_xlfn.ANCHORARRAY($JJ$22),$IK$9:$IK$150,"&lt;&gt;"&amp;"",$IH$9:$IH$150,"&lt;&gt;"&amp;"Gage"))</f>
        <v>450</v>
      </c>
      <c r="JK23" s="742">
        <v>720</v>
      </c>
    </row>
    <row r="24" spans="1:271" ht="15" customHeight="1" x14ac:dyDescent="0.25">
      <c r="A24" s="75">
        <f t="shared" si="1"/>
        <v>0</v>
      </c>
      <c r="B24" s="578">
        <f t="shared" si="2"/>
        <v>1.1894777167010131</v>
      </c>
      <c r="C24" s="572">
        <f t="shared" si="3"/>
        <v>4.6566531221765635</v>
      </c>
      <c r="D24" s="576">
        <f t="shared" si="4"/>
        <v>-0.3397200789822945</v>
      </c>
      <c r="E24" s="580">
        <f t="shared" si="5"/>
        <v>8.3224226827587663E-2</v>
      </c>
      <c r="F24" s="572">
        <f t="shared" si="6"/>
        <v>0.32581220333598743</v>
      </c>
      <c r="G24" s="579">
        <f t="shared" si="7"/>
        <v>0.94176437404814772</v>
      </c>
      <c r="H24" s="580">
        <f t="shared" si="8"/>
        <v>0.255</v>
      </c>
      <c r="I24" s="572">
        <f t="shared" si="9"/>
        <v>0.41499999999999992</v>
      </c>
      <c r="J24" s="483">
        <f t="shared" si="10"/>
        <v>1.2190000000000001</v>
      </c>
      <c r="K24" s="806" t="str">
        <f t="shared" si="11"/>
        <v>CPS-32193r1</v>
      </c>
      <c r="L24" s="82"/>
      <c r="M24" s="164">
        <f t="shared" si="12"/>
        <v>1.2190000000000001</v>
      </c>
      <c r="N24" s="575">
        <f t="shared" si="13"/>
        <v>1.1894777167010131</v>
      </c>
      <c r="O24" s="572">
        <f t="shared" si="14"/>
        <v>4.6566531221765635</v>
      </c>
      <c r="P24" s="576">
        <f t="shared" si="15"/>
        <v>-0.3397200789822945</v>
      </c>
      <c r="Q24" s="528">
        <f t="shared" si="140"/>
        <v>75.670984806894054</v>
      </c>
      <c r="R24" s="572">
        <f t="shared" si="101"/>
        <v>4.8061705690502698</v>
      </c>
      <c r="S24" s="577">
        <f t="shared" si="102"/>
        <v>-0.3397200789822945</v>
      </c>
      <c r="T24" s="578">
        <f t="shared" si="103"/>
        <v>4.6566530894795362</v>
      </c>
      <c r="U24" s="572">
        <f t="shared" si="104"/>
        <v>-1.1894778447056891</v>
      </c>
      <c r="V24" s="579">
        <f t="shared" si="141"/>
        <v>-0.3397200789822945</v>
      </c>
      <c r="W24" s="528">
        <f t="shared" si="253"/>
        <v>345.67098323191573</v>
      </c>
      <c r="X24" s="572">
        <f t="shared" si="105"/>
        <v>4.8061705690502698</v>
      </c>
      <c r="Y24" s="573">
        <f t="shared" si="255"/>
        <v>-0.3397200789822945</v>
      </c>
      <c r="Z24" s="575">
        <f t="shared" si="18"/>
        <v>-8.3224226827587663E-2</v>
      </c>
      <c r="AA24" s="572">
        <f t="shared" si="19"/>
        <v>-0.32581220333598743</v>
      </c>
      <c r="AB24" s="572">
        <f t="shared" si="20"/>
        <v>-0.94176437404814772</v>
      </c>
      <c r="AC24" s="579">
        <f t="shared" si="106"/>
        <v>1</v>
      </c>
      <c r="AD24" s="580">
        <f t="shared" si="142"/>
        <v>-8.3224226827587663E-2</v>
      </c>
      <c r="AE24" s="572">
        <f t="shared" si="107"/>
        <v>-0.32581220333598743</v>
      </c>
      <c r="AF24" s="576">
        <f t="shared" si="108"/>
        <v>-0.94176437404814772</v>
      </c>
      <c r="AG24" s="545">
        <f t="shared" si="109"/>
        <v>-19.083540682409161</v>
      </c>
      <c r="AH24" s="546">
        <f t="shared" si="110"/>
        <v>94.77391871384738</v>
      </c>
      <c r="AI24" s="528">
        <f t="shared" si="111"/>
        <v>-19.649997162891434</v>
      </c>
      <c r="AJ24" s="529">
        <f t="shared" si="112"/>
        <v>-14.32901519310596</v>
      </c>
      <c r="AK24" s="578">
        <f>IF(M24="","",(COS(RADIANS((90-$Q$8)-W24))*AD24)+(-SIN(RADIANS((90-$Q$8)-W24))*AE24))</f>
        <v>-2.9143354396410359E-16</v>
      </c>
      <c r="AL24" s="572">
        <f t="shared" si="113"/>
        <v>-0.33627349549689545</v>
      </c>
      <c r="AM24" s="577">
        <f t="shared" si="114"/>
        <v>-0.94176437404814772</v>
      </c>
      <c r="AN24" s="524">
        <f t="shared" si="115"/>
        <v>-19.649997162891438</v>
      </c>
      <c r="AO24" s="525">
        <f t="shared" si="116"/>
        <v>0</v>
      </c>
      <c r="AP24" s="528">
        <f t="shared" si="117"/>
        <v>-90.000000000000057</v>
      </c>
      <c r="AQ24" s="529">
        <f t="shared" si="21"/>
        <v>0.47432244025621634</v>
      </c>
      <c r="AS24" s="932">
        <f t="shared" si="143"/>
        <v>-14.329016768084273</v>
      </c>
      <c r="AT24" s="928">
        <f t="shared" si="22"/>
        <v>-0.32976936239145482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>
        <f t="shared" si="137"/>
        <v>16</v>
      </c>
      <c r="HL24" s="348">
        <f t="shared" si="72"/>
        <v>6.13</v>
      </c>
      <c r="HM24" s="909" t="e">
        <f t="shared" si="138"/>
        <v>#NUM!</v>
      </c>
      <c r="HN24" s="910">
        <f t="shared" si="73"/>
        <v>24.799996419323509</v>
      </c>
      <c r="HO24" s="911"/>
      <c r="HP24" s="912"/>
      <c r="HQ24" s="910" t="e">
        <f t="shared" si="74"/>
        <v>#NUM!</v>
      </c>
      <c r="HR24" s="913" t="e">
        <f t="shared" si="75"/>
        <v>#NUM!</v>
      </c>
      <c r="HS24" s="865">
        <f t="shared" si="251"/>
        <v>4.5156999999999998</v>
      </c>
      <c r="HT24" s="875">
        <f t="shared" si="76"/>
        <v>1.7399999999999999E-2</v>
      </c>
      <c r="HU24" s="876">
        <f t="shared" si="77"/>
        <v>0.49370901410239199</v>
      </c>
      <c r="HV24" s="872">
        <f t="shared" si="78"/>
        <v>5.6259318707383169E-2</v>
      </c>
      <c r="HW24" s="866">
        <f t="shared" si="79"/>
        <v>29500</v>
      </c>
      <c r="HX24" s="867">
        <f t="shared" si="80"/>
        <v>193.15906749999996</v>
      </c>
      <c r="HY24" s="866" t="e">
        <f t="shared" si="81"/>
        <v>#NUM!</v>
      </c>
      <c r="HZ24" s="868">
        <f t="shared" si="82"/>
        <v>1213.701326335047</v>
      </c>
      <c r="IA24" s="869" t="e">
        <f t="shared" si="83"/>
        <v>#NUM!</v>
      </c>
      <c r="IB24" s="870" t="e">
        <f t="shared" si="84"/>
        <v>#NUM!</v>
      </c>
      <c r="IC24" s="841" t="e">
        <f t="shared" si="85"/>
        <v>#NUM!</v>
      </c>
      <c r="ID24" s="351">
        <f t="shared" si="86"/>
        <v>513.29999999999995</v>
      </c>
      <c r="IE24" s="843" t="e">
        <f t="shared" si="87"/>
        <v>#NUM!</v>
      </c>
      <c r="IF24" s="844"/>
      <c r="IG24" s="790" t="str">
        <f>IFERROR(IF($IW24="","",IF($IW24&lt;(((Settings!$C$19/2)*-1)*$IG$8),"Taper","Nose")),"")</f>
        <v>Nose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1.2190000000000001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1.119</v>
      </c>
      <c r="IK24" s="677" cm="1">
        <f t="array" ref="IK24">IFERROR(ROUND(VALUE(IF($IJ24&lt;1,$IJ24+LARGE((IF($M$9:$M$150="",0,$M$9:$M$150)-MOD(IF($M$9:$M$150="",0,$M$9:$M$150),1)),1),$IJ24)),4),"")</f>
        <v>1.119</v>
      </c>
      <c r="IL24" s="482">
        <f t="shared" si="88"/>
        <v>1613</v>
      </c>
      <c r="IM24" s="482" t="str">
        <f t="shared" si="237"/>
        <v>CPS-32193r1</v>
      </c>
      <c r="IN24" s="670">
        <f t="shared" si="90"/>
        <v>13.863716057177783</v>
      </c>
      <c r="IO24" s="702">
        <v>4.0952205621231599E-2</v>
      </c>
      <c r="IP24" s="5">
        <f t="shared" si="91"/>
        <v>1.1200000000000001</v>
      </c>
      <c r="IQ24" s="714">
        <v>560</v>
      </c>
      <c r="IR24" s="9">
        <f t="shared" si="139"/>
        <v>-4.7994144837238126</v>
      </c>
      <c r="IS24" s="5">
        <f t="shared" si="92"/>
        <v>-0.34065101034889045</v>
      </c>
      <c r="IT24" s="5">
        <f t="shared" si="93"/>
        <v>0.3125</v>
      </c>
      <c r="IU24" s="5">
        <f t="shared" si="94"/>
        <v>0.30039428290978709</v>
      </c>
      <c r="IV24" s="670">
        <f t="shared" si="95"/>
        <v>26.999998577869427</v>
      </c>
      <c r="IW24" s="9">
        <f t="shared" si="96"/>
        <v>-4.8061705690502698</v>
      </c>
      <c r="IX24" s="5">
        <f t="shared" si="97"/>
        <v>-0.3397200789822945</v>
      </c>
      <c r="IY24" s="5">
        <f t="shared" si="98"/>
        <v>0.255</v>
      </c>
      <c r="IZ24" s="5">
        <f t="shared" si="99"/>
        <v>0.255</v>
      </c>
      <c r="JA24" s="705">
        <f t="shared" si="100"/>
        <v>19.649997162891438</v>
      </c>
      <c r="JC24" s="739"/>
      <c r="JD24" s="797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44"/>
      <c r="JJ24" s="728"/>
      <c r="JK24" s="744"/>
    </row>
    <row r="25" spans="1:271" ht="15" customHeight="1" x14ac:dyDescent="0.25">
      <c r="A25" s="75">
        <f t="shared" si="1"/>
        <v>0</v>
      </c>
      <c r="B25" s="578">
        <f t="shared" si="2"/>
        <v>1.2506062096965325</v>
      </c>
      <c r="C25" s="572">
        <f t="shared" si="3"/>
        <v>5.3415538349396963</v>
      </c>
      <c r="D25" s="576">
        <f t="shared" si="4"/>
        <v>-0.67798582622387971</v>
      </c>
      <c r="E25" s="580">
        <f t="shared" si="5"/>
        <v>0.12509043975785641</v>
      </c>
      <c r="F25" s="572">
        <f t="shared" si="6"/>
        <v>0.53428274465789616</v>
      </c>
      <c r="G25" s="579">
        <f t="shared" si="7"/>
        <v>0.83599900157955431</v>
      </c>
      <c r="H25" s="580">
        <f t="shared" si="8"/>
        <v>0.255</v>
      </c>
      <c r="I25" s="572">
        <f t="shared" si="9"/>
        <v>0.41499999999999992</v>
      </c>
      <c r="J25" s="483">
        <f t="shared" si="10"/>
        <v>1.222</v>
      </c>
      <c r="K25" s="806" t="str">
        <f t="shared" si="11"/>
        <v>CPS-32193r1</v>
      </c>
      <c r="L25" s="82"/>
      <c r="M25" s="164">
        <f t="shared" si="12"/>
        <v>1.222</v>
      </c>
      <c r="N25" s="575">
        <f t="shared" si="13"/>
        <v>1.2506062096965325</v>
      </c>
      <c r="O25" s="572">
        <f t="shared" si="14"/>
        <v>5.3415538349396963</v>
      </c>
      <c r="P25" s="576">
        <f t="shared" si="15"/>
        <v>-0.67798582622387971</v>
      </c>
      <c r="Q25" s="528">
        <f t="shared" si="140"/>
        <v>76.82281641826782</v>
      </c>
      <c r="R25" s="572">
        <f>IF(M25="","",SQRT(N25^2+O25^2))</f>
        <v>5.4860015733948257</v>
      </c>
      <c r="S25" s="577">
        <f>IF(M25="","",P25)</f>
        <v>-0.67798582622387971</v>
      </c>
      <c r="T25" s="578">
        <f>IF(M25="","",X25*COS(RADIANS(W25)))</f>
        <v>5.341553800562334</v>
      </c>
      <c r="U25" s="572">
        <f>IF(M25="","",X25*SIN(RADIANS(W25)))</f>
        <v>-1.2506063565281409</v>
      </c>
      <c r="V25" s="579">
        <f>IF(M25="","",Y25)</f>
        <v>-0.67798582622387971</v>
      </c>
      <c r="W25" s="528">
        <f t="shared" si="253"/>
        <v>346.82281484328951</v>
      </c>
      <c r="X25" s="572">
        <f>IF(M25="","",R25)</f>
        <v>5.4860015733948257</v>
      </c>
      <c r="Y25" s="573">
        <f t="shared" si="255"/>
        <v>-0.67798582622387971</v>
      </c>
      <c r="Z25" s="575">
        <f t="shared" si="18"/>
        <v>-0.12509043975785641</v>
      </c>
      <c r="AA25" s="572">
        <f t="shared" si="19"/>
        <v>-0.53428274465789616</v>
      </c>
      <c r="AB25" s="572">
        <f t="shared" si="20"/>
        <v>-0.83599900157955431</v>
      </c>
      <c r="AC25" s="579">
        <f>IF(M25="","",SQRT(Z25^2+AA25^2+AB25^2))</f>
        <v>1</v>
      </c>
      <c r="AD25" s="580">
        <f>IF(M25="","",Z25*(1/SQRT(Z25^2+AA25^2+AB25^2)))</f>
        <v>-0.12509043975785641</v>
      </c>
      <c r="AE25" s="572">
        <f>IF(M25="","",AA25*(1/SQRT(Z25^2+AA25^2+AB25^2)))</f>
        <v>-0.53428274465789616</v>
      </c>
      <c r="AF25" s="576">
        <f>IF(M25="","",AB25*(1/SQRT(Z25^2+AA25^2+AB25^2)))</f>
        <v>-0.83599900157955431</v>
      </c>
      <c r="AG25" s="545">
        <f>IF(M25="","",DEGREES(ATAN2(-AF25,AE25)))</f>
        <v>-32.582440755865669</v>
      </c>
      <c r="AH25" s="546">
        <f>IF(M25="","",DEGREES(ACOS(AD25)))</f>
        <v>97.185978591494646</v>
      </c>
      <c r="AI25" s="528">
        <f>IF(M25="","",DEGREES(-ACOS(-AF25)))</f>
        <v>-33.279995194963192</v>
      </c>
      <c r="AJ25" s="529">
        <f>IF(M25="","",DEGREES(ATAN2(-AE25,AD25)))</f>
        <v>-13.177183581732169</v>
      </c>
      <c r="AK25" s="578">
        <f>IF(M25="","",(COS(RADIANS((90-$Q$8)-W25))*AD25)+(-SIN(RADIANS((90-$Q$8)-W25))*AE25))</f>
        <v>-2.4980018054066022E-16</v>
      </c>
      <c r="AL25" s="572">
        <f>IF(M25="","",(SIN(RADIANS((90-$Q$8)-W25))*AD25)+(COS(RADIANS((90-$Q$8)-W25))*AE25))</f>
        <v>-0.54873096263833032</v>
      </c>
      <c r="AM25" s="577">
        <f>IF(M25="","",AF25)</f>
        <v>-0.83599900157955431</v>
      </c>
      <c r="AN25" s="524">
        <f>IF(M25="","",DEGREES(ATAN2(-AM25,AL25)))</f>
        <v>-33.279995194963199</v>
      </c>
      <c r="AO25" s="525">
        <f>IF(ROUND(IF(M25="",0,DEGREES(ACOS(AK25))),4)=90,0,IF(M25="","",DEGREES(ACOS(AK25))))</f>
        <v>0</v>
      </c>
      <c r="AP25" s="528">
        <f>IF(M25="","",DEGREES(ATAN2(AK25,AL25)))</f>
        <v>-90.000000000000028</v>
      </c>
      <c r="AQ25" s="529">
        <f t="shared" si="21"/>
        <v>0.4155461185019293</v>
      </c>
      <c r="AS25" s="932">
        <f t="shared" si="143"/>
        <v>-13.177185156710493</v>
      </c>
      <c r="AT25" s="928">
        <f t="shared" si="22"/>
        <v>-0.66883499269649405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>
        <f t="shared" si="137"/>
        <v>17</v>
      </c>
      <c r="HL25" s="348">
        <f t="shared" si="72"/>
        <v>3.133</v>
      </c>
      <c r="HM25" s="909" t="e">
        <f t="shared" si="138"/>
        <v>#NUM!</v>
      </c>
      <c r="HN25" s="910">
        <f t="shared" si="73"/>
        <v>27.199996072806442</v>
      </c>
      <c r="HO25" s="911"/>
      <c r="HP25" s="912"/>
      <c r="HQ25" s="910" t="e">
        <f t="shared" si="74"/>
        <v>#NUM!</v>
      </c>
      <c r="HR25" s="913" t="e">
        <f t="shared" si="75"/>
        <v>#NUM!</v>
      </c>
      <c r="HS25" s="865">
        <f t="shared" si="251"/>
        <v>4.6947999999999999</v>
      </c>
      <c r="HT25" s="875">
        <f t="shared" si="76"/>
        <v>1.34E-2</v>
      </c>
      <c r="HU25" s="876">
        <f t="shared" si="77"/>
        <v>0.39529139377315992</v>
      </c>
      <c r="HV25" s="872">
        <f t="shared" si="78"/>
        <v>4.5044396333338399E-2</v>
      </c>
      <c r="HW25" s="866">
        <f t="shared" si="79"/>
        <v>29500</v>
      </c>
      <c r="HX25" s="867">
        <f t="shared" si="80"/>
        <v>154.65453666666667</v>
      </c>
      <c r="HY25" s="866" t="e">
        <f t="shared" si="81"/>
        <v>#NUM!</v>
      </c>
      <c r="HZ25" s="868">
        <f t="shared" si="82"/>
        <v>971.75800969235161</v>
      </c>
      <c r="IA25" s="869" t="e">
        <f t="shared" si="83"/>
        <v>#NUM!</v>
      </c>
      <c r="IB25" s="870" t="e">
        <f t="shared" si="84"/>
        <v>#NUM!</v>
      </c>
      <c r="IC25" s="841" t="e">
        <f t="shared" si="85"/>
        <v>#NUM!</v>
      </c>
      <c r="ID25" s="351">
        <f t="shared" si="86"/>
        <v>395.3</v>
      </c>
      <c r="IE25" s="843" t="e">
        <f t="shared" si="87"/>
        <v>#NUM!</v>
      </c>
      <c r="IF25" s="844"/>
      <c r="IG25" s="790" t="str">
        <f>IFERROR(IF($IW25="","",IF($IW25&lt;(((Settings!$C$19/2)*-1)*$IG$8),"Taper","Nose")),"")</f>
        <v>Nose</v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1.222</v>
      </c>
      <c r="IJ25" s="674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1.1220000000000001</v>
      </c>
      <c r="IK25" s="677" cm="1">
        <f t="array" ref="IK25">IFERROR(ROUND(VALUE(IF($IJ25&lt;1,$IJ25+LARGE((IF($M$9:$M$150="",0,$M$9:$M$150)-MOD(IF($M$9:$M$150="",0,$M$9:$M$150),1)),1),$IJ25)),4),"")</f>
        <v>1.1220000000000001</v>
      </c>
      <c r="IL25" s="482">
        <f t="shared" si="88"/>
        <v>1613</v>
      </c>
      <c r="IM25" s="482" t="str">
        <f t="shared" si="237"/>
        <v>CPS-32193r1</v>
      </c>
      <c r="IN25" s="670">
        <f t="shared" si="90"/>
        <v>12.119184372257223</v>
      </c>
      <c r="IO25" s="702">
        <v>3.91477455532225E-2</v>
      </c>
      <c r="IP25" s="5">
        <f t="shared" si="91"/>
        <v>1.36</v>
      </c>
      <c r="IQ25" s="714">
        <v>680</v>
      </c>
      <c r="IR25" s="9">
        <f t="shared" si="139"/>
        <v>-5.477616532026329</v>
      </c>
      <c r="IS25" s="5">
        <f t="shared" si="92"/>
        <v>-0.67655202613442689</v>
      </c>
      <c r="IT25" s="5">
        <f t="shared" si="93"/>
        <v>0.3125</v>
      </c>
      <c r="IU25" s="5">
        <f t="shared" si="94"/>
        <v>0.2991623461725918</v>
      </c>
      <c r="IV25" s="670">
        <f t="shared" si="95"/>
        <v>38.799996044241624</v>
      </c>
      <c r="IW25" s="9">
        <f t="shared" si="96"/>
        <v>-5.4860015733948257</v>
      </c>
      <c r="IX25" s="5">
        <f t="shared" si="97"/>
        <v>-0.67798582622387971</v>
      </c>
      <c r="IY25" s="5">
        <f t="shared" si="98"/>
        <v>0.255</v>
      </c>
      <c r="IZ25" s="5">
        <f t="shared" si="99"/>
        <v>0.255</v>
      </c>
      <c r="JA25" s="705">
        <f t="shared" si="100"/>
        <v>33.279995194963199</v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</v>
      </c>
      <c r="B26" s="578">
        <f t="shared" si="2"/>
        <v>1.3254492938765829</v>
      </c>
      <c r="C26" s="572">
        <f t="shared" si="3"/>
        <v>5.9189722133244871</v>
      </c>
      <c r="D26" s="576">
        <f t="shared" si="4"/>
        <v>-1.1682984935184935</v>
      </c>
      <c r="E26" s="580">
        <f t="shared" si="5"/>
        <v>0.15955535437062107</v>
      </c>
      <c r="F26" s="572">
        <f t="shared" si="6"/>
        <v>0.71251590941266618</v>
      </c>
      <c r="G26" s="579">
        <f t="shared" si="7"/>
        <v>0.68327385997527146</v>
      </c>
      <c r="H26" s="580">
        <f t="shared" si="8"/>
        <v>0.255</v>
      </c>
      <c r="I26" s="572">
        <f t="shared" si="9"/>
        <v>0.41499999999999992</v>
      </c>
      <c r="J26" s="483">
        <f t="shared" si="10"/>
        <v>1.2250000000000001</v>
      </c>
      <c r="K26" s="806" t="str">
        <f t="shared" si="11"/>
        <v>CPS-32193r1</v>
      </c>
      <c r="L26" s="162"/>
      <c r="M26" s="164">
        <f t="shared" si="12"/>
        <v>1.2250000000000001</v>
      </c>
      <c r="N26" s="575">
        <f t="shared" si="13"/>
        <v>1.3254492938765829</v>
      </c>
      <c r="O26" s="572">
        <f t="shared" si="14"/>
        <v>5.9189722133244871</v>
      </c>
      <c r="P26" s="576">
        <f t="shared" si="15"/>
        <v>-1.1682984935184935</v>
      </c>
      <c r="Q26" s="528">
        <f t="shared" si="140"/>
        <v>77.377854625666302</v>
      </c>
      <c r="R26" s="572">
        <f>IF(M26="","",SQRT(N26^2+O26^2))</f>
        <v>6.0655624547724605</v>
      </c>
      <c r="S26" s="577">
        <f>IF(M26="","",P26)</f>
        <v>-1.1682984935184935</v>
      </c>
      <c r="T26" s="578">
        <f>IF(M26="","",X26*COS(RADIANS(W26)))</f>
        <v>5.9189721768897954</v>
      </c>
      <c r="U26" s="572">
        <f>IF(M26="","",X26*SIN(RADIANS(W26)))</f>
        <v>-1.3254494565805928</v>
      </c>
      <c r="V26" s="579">
        <f>IF(M26="","",Y26)</f>
        <v>-1.1682984935184935</v>
      </c>
      <c r="W26" s="528">
        <f t="shared" si="253"/>
        <v>347.37785305068797</v>
      </c>
      <c r="X26" s="572">
        <f>IF(M26="","",R26)</f>
        <v>6.0655624547724605</v>
      </c>
      <c r="Y26" s="573">
        <f t="shared" si="255"/>
        <v>-1.1682984935184935</v>
      </c>
      <c r="Z26" s="575">
        <f t="shared" si="18"/>
        <v>-0.15955535437062107</v>
      </c>
      <c r="AA26" s="572">
        <f t="shared" si="19"/>
        <v>-0.71251590941266618</v>
      </c>
      <c r="AB26" s="572">
        <f t="shared" si="20"/>
        <v>-0.68327385997527146</v>
      </c>
      <c r="AC26" s="579">
        <f>IF(M26="","",SQRT(Z26^2+AA26^2+AB26^2))</f>
        <v>1</v>
      </c>
      <c r="AD26" s="580">
        <f>IF(M26="","",Z26*(1/SQRT(Z26^2+AA26^2+AB26^2)))</f>
        <v>-0.15955535437062107</v>
      </c>
      <c r="AE26" s="572">
        <f>IF(M26="","",AA26*(1/SQRT(Z26^2+AA26^2+AB26^2)))</f>
        <v>-0.71251590941266618</v>
      </c>
      <c r="AF26" s="576">
        <f>IF(M26="","",AB26*(1/SQRT(Z26^2+AA26^2+AB26^2)))</f>
        <v>-0.68327385997527146</v>
      </c>
      <c r="AG26" s="545">
        <f>IF(M26="","",DEGREES(ATAN2(-AF26,AE26)))</f>
        <v>-46.200181427708351</v>
      </c>
      <c r="AH26" s="546">
        <f>IF(M26="","",DEGREES(ACOS(AD26)))</f>
        <v>99.181088350082646</v>
      </c>
      <c r="AI26" s="528">
        <f>IF(M26="","",DEGREES(-ACOS(-AF26)))</f>
        <v>-46.899993228478806</v>
      </c>
      <c r="AJ26" s="529">
        <f>IF(M26="","",DEGREES(ATAN2(-AE26,AD26)))</f>
        <v>-12.622145374333668</v>
      </c>
      <c r="AK26" s="578">
        <f>IF(M26="","",(COS(RADIANS((90-$Q$8)-W26))*AD26)+(-SIN(RADIANS((90-$Q$8)-W26))*AE26))</f>
        <v>1.3877787807814457E-16</v>
      </c>
      <c r="AL26" s="572">
        <f>IF(M26="","",(SIN(RADIANS((90-$Q$8)-W26))*AD26)+(COS(RADIANS((90-$Q$8)-W26))*AE26))</f>
        <v>-0.73016219586780395</v>
      </c>
      <c r="AM26" s="577">
        <f>IF(M26="","",AF26)</f>
        <v>-0.68327385997527146</v>
      </c>
      <c r="AN26" s="524">
        <f>IF(M26="","",DEGREES(ATAN2(-AM26,AL26)))</f>
        <v>-46.899993228478813</v>
      </c>
      <c r="AO26" s="525">
        <f t="shared" si="116"/>
        <v>0</v>
      </c>
      <c r="AP26" s="528">
        <f>IF(M26="","",DEGREES(ATAN2(AK26,AL26)))</f>
        <v>-89.999999999999986</v>
      </c>
      <c r="AQ26" s="529">
        <f t="shared" si="21"/>
        <v>0.37584213342225031</v>
      </c>
      <c r="AS26" s="932">
        <f t="shared" si="143"/>
        <v>-12.622146949312025</v>
      </c>
      <c r="AT26" s="928">
        <f t="shared" si="22"/>
        <v>-1.1595331031906901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>
        <f t="shared" si="137"/>
        <v>18</v>
      </c>
      <c r="HL26" s="348">
        <f t="shared" si="72"/>
        <v>6.1360000000000001</v>
      </c>
      <c r="HM26" s="909" t="e">
        <f t="shared" si="138"/>
        <v>#NUM!</v>
      </c>
      <c r="HN26" s="910">
        <f t="shared" si="73"/>
        <v>30.099995654098326</v>
      </c>
      <c r="HO26" s="911"/>
      <c r="HP26" s="912"/>
      <c r="HQ26" s="910" t="e">
        <f t="shared" si="74"/>
        <v>#NUM!</v>
      </c>
      <c r="HR26" s="913" t="e">
        <f t="shared" si="75"/>
        <v>#NUM!</v>
      </c>
      <c r="HS26" s="865">
        <f t="shared" si="251"/>
        <v>4.8231999999999999</v>
      </c>
      <c r="HT26" s="875">
        <f t="shared" si="76"/>
        <v>8.5000000000000006E-3</v>
      </c>
      <c r="HU26" s="876">
        <f t="shared" si="77"/>
        <v>0.25760176956448433</v>
      </c>
      <c r="HV26" s="872">
        <f t="shared" si="78"/>
        <v>2.935433552871804E-2</v>
      </c>
      <c r="HW26" s="866">
        <f t="shared" si="79"/>
        <v>29500</v>
      </c>
      <c r="HX26" s="867">
        <f t="shared" si="80"/>
        <v>100.78478333333334</v>
      </c>
      <c r="HY26" s="866" t="e">
        <f t="shared" si="81"/>
        <v>#NUM!</v>
      </c>
      <c r="HZ26" s="868">
        <f t="shared" si="82"/>
        <v>633.27101684602394</v>
      </c>
      <c r="IA26" s="869" t="e">
        <f t="shared" si="83"/>
        <v>#NUM!</v>
      </c>
      <c r="IB26" s="870" t="e">
        <f t="shared" si="84"/>
        <v>#NUM!</v>
      </c>
      <c r="IC26" s="841" t="e">
        <f t="shared" si="85"/>
        <v>#NUM!</v>
      </c>
      <c r="ID26" s="351">
        <f t="shared" si="86"/>
        <v>250.75000000000003</v>
      </c>
      <c r="IE26" s="843" t="e">
        <f t="shared" si="87"/>
        <v>#NUM!</v>
      </c>
      <c r="IF26" s="844"/>
      <c r="IG26" s="790" t="str">
        <f>IFERROR(IF($IW26="","",IF($IW26&lt;(((Settings!$C$19/2)*-1)*$IG$8),"Taper","Nose")),"")</f>
        <v>Taper</v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1.2250000000000001</v>
      </c>
      <c r="IJ26" s="674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1.125</v>
      </c>
      <c r="IK26" s="677" cm="1">
        <f t="array" ref="IK26">IFERROR(ROUND(VALUE(IF($IJ26&lt;1,$IJ26+LARGE((IF($M$9:$M$150="",0,$M$9:$M$150)-MOD(IF($M$9:$M$150="",0,$M$9:$M$150),1)),1),$IJ26)),4),"")</f>
        <v>1.125</v>
      </c>
      <c r="IL26" s="482">
        <f t="shared" si="88"/>
        <v>1613</v>
      </c>
      <c r="IM26" s="482" t="str">
        <f t="shared" si="237"/>
        <v>CPS-32193r1</v>
      </c>
      <c r="IN26" s="670">
        <f t="shared" si="90"/>
        <v>10.940946145335147</v>
      </c>
      <c r="IO26" s="702">
        <v>3.8006991505633601E-2</v>
      </c>
      <c r="IP26" s="5">
        <f t="shared" si="91"/>
        <v>1.64</v>
      </c>
      <c r="IQ26" s="714">
        <v>820</v>
      </c>
      <c r="IR26" s="9">
        <f t="shared" si="139"/>
        <v>-6.0591182894398417</v>
      </c>
      <c r="IS26" s="5">
        <f t="shared" si="92"/>
        <v>-1.1616534911557319</v>
      </c>
      <c r="IT26" s="5">
        <f t="shared" si="93"/>
        <v>0.3125</v>
      </c>
      <c r="IU26" s="5">
        <f t="shared" si="94"/>
        <v>0.29493780165612893</v>
      </c>
      <c r="IV26" s="670">
        <f t="shared" si="95"/>
        <v>50.699993635276748</v>
      </c>
      <c r="IW26" s="9">
        <f t="shared" si="96"/>
        <v>-6.0655624547724605</v>
      </c>
      <c r="IX26" s="5">
        <f t="shared" si="97"/>
        <v>-1.1682984935184935</v>
      </c>
      <c r="IY26" s="5">
        <f t="shared" si="98"/>
        <v>0.255</v>
      </c>
      <c r="IZ26" s="5">
        <f t="shared" si="99"/>
        <v>0.255</v>
      </c>
      <c r="JA26" s="705">
        <f t="shared" si="100"/>
        <v>46.899993228478813</v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</v>
      </c>
      <c r="B27" s="578">
        <f t="shared" si="2"/>
        <v>1.3981105563892238</v>
      </c>
      <c r="C27" s="572">
        <f t="shared" si="3"/>
        <v>6.3631435612723557</v>
      </c>
      <c r="D27" s="576">
        <f t="shared" si="4"/>
        <v>-1.7805702022036893</v>
      </c>
      <c r="E27" s="580">
        <f t="shared" si="5"/>
        <v>0.18683450891410566</v>
      </c>
      <c r="F27" s="572">
        <f t="shared" si="6"/>
        <v>0.85032960876185804</v>
      </c>
      <c r="G27" s="579">
        <f t="shared" si="7"/>
        <v>0.49196790824374964</v>
      </c>
      <c r="H27" s="580">
        <f t="shared" si="8"/>
        <v>0.255</v>
      </c>
      <c r="I27" s="572">
        <f t="shared" si="9"/>
        <v>0.41499999999999992</v>
      </c>
      <c r="J27" s="483">
        <f t="shared" si="10"/>
        <v>1.228</v>
      </c>
      <c r="K27" s="806" t="str">
        <f t="shared" si="11"/>
        <v>CPS-32193r1</v>
      </c>
      <c r="L27" s="309"/>
      <c r="M27" s="164">
        <f t="shared" si="12"/>
        <v>1.228</v>
      </c>
      <c r="N27" s="575">
        <f t="shared" si="13"/>
        <v>1.3981105563892238</v>
      </c>
      <c r="O27" s="572">
        <f t="shared" si="14"/>
        <v>6.3631435612723557</v>
      </c>
      <c r="P27" s="576">
        <f t="shared" si="15"/>
        <v>-1.7805702022036893</v>
      </c>
      <c r="Q27" s="528">
        <f t="shared" si="140"/>
        <v>77.607878953601329</v>
      </c>
      <c r="R27" s="572">
        <f t="shared" si="101"/>
        <v>6.514929708695929</v>
      </c>
      <c r="S27" s="577">
        <f t="shared" si="102"/>
        <v>-1.7805702022036893</v>
      </c>
      <c r="T27" s="578">
        <f t="shared" si="103"/>
        <v>6.3631435228403115</v>
      </c>
      <c r="U27" s="572">
        <f t="shared" si="104"/>
        <v>-1.3981107313028576</v>
      </c>
      <c r="V27" s="579">
        <f t="shared" si="141"/>
        <v>-1.7805702022036893</v>
      </c>
      <c r="W27" s="528">
        <f t="shared" si="253"/>
        <v>347.60787737862302</v>
      </c>
      <c r="X27" s="572">
        <f t="shared" si="105"/>
        <v>6.514929708695929</v>
      </c>
      <c r="Y27" s="573">
        <f t="shared" si="255"/>
        <v>-1.7805702022036893</v>
      </c>
      <c r="Z27" s="575">
        <f t="shared" si="18"/>
        <v>-0.18683450891410566</v>
      </c>
      <c r="AA27" s="572">
        <f t="shared" si="19"/>
        <v>-0.85032960876185804</v>
      </c>
      <c r="AB27" s="572">
        <f t="shared" si="20"/>
        <v>-0.49196790824374964</v>
      </c>
      <c r="AC27" s="579">
        <f t="shared" si="106"/>
        <v>1</v>
      </c>
      <c r="AD27" s="580">
        <f t="shared" si="142"/>
        <v>-0.18683450891410566</v>
      </c>
      <c r="AE27" s="572">
        <f t="shared" si="107"/>
        <v>-0.85032960876185804</v>
      </c>
      <c r="AF27" s="576">
        <f t="shared" si="108"/>
        <v>-0.49196790824374964</v>
      </c>
      <c r="AG27" s="545">
        <f t="shared" si="109"/>
        <v>-59.947981804863957</v>
      </c>
      <c r="AH27" s="546">
        <f t="shared" si="110"/>
        <v>100.76810709339287</v>
      </c>
      <c r="AI27" s="528">
        <f t="shared" si="111"/>
        <v>-60.52999126055056</v>
      </c>
      <c r="AJ27" s="529">
        <f t="shared" si="112"/>
        <v>-12.392121046398696</v>
      </c>
      <c r="AK27" s="578">
        <f t="shared" si="238"/>
        <v>-4.7184478546569153E-16</v>
      </c>
      <c r="AL27" s="572">
        <f t="shared" si="113"/>
        <v>-0.8706133339538682</v>
      </c>
      <c r="AM27" s="577">
        <f t="shared" si="114"/>
        <v>-0.49196790824374964</v>
      </c>
      <c r="AN27" s="524">
        <f t="shared" si="115"/>
        <v>-60.52999126055056</v>
      </c>
      <c r="AO27" s="525">
        <f t="shared" si="116"/>
        <v>0</v>
      </c>
      <c r="AP27" s="528">
        <f t="shared" si="117"/>
        <v>-90.000000000000028</v>
      </c>
      <c r="AQ27" s="529">
        <f t="shared" si="21"/>
        <v>0.34991909206116778</v>
      </c>
      <c r="AS27" s="932">
        <f t="shared" si="143"/>
        <v>-12.392122621376984</v>
      </c>
      <c r="AT27" s="928">
        <f t="shared" si="22"/>
        <v>-1.7719645509925075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>
        <f t="shared" si="137"/>
        <v>19</v>
      </c>
      <c r="HL27" s="348">
        <f t="shared" si="72"/>
        <v>3.1389999999999998</v>
      </c>
      <c r="HM27" s="909" t="e">
        <f t="shared" si="138"/>
        <v>#NUM!</v>
      </c>
      <c r="HN27" s="910">
        <f t="shared" si="73"/>
        <v>32.399995322019443</v>
      </c>
      <c r="HO27" s="911"/>
      <c r="HP27" s="912"/>
      <c r="HQ27" s="910" t="e">
        <f t="shared" si="74"/>
        <v>#NUM!</v>
      </c>
      <c r="HR27" s="913" t="e">
        <f t="shared" si="75"/>
        <v>#NUM!</v>
      </c>
      <c r="HS27" s="865">
        <f t="shared" si="251"/>
        <v>4.8963000000000001</v>
      </c>
      <c r="HT27" s="875">
        <f t="shared" si="76"/>
        <v>3.5999999999999999E-3</v>
      </c>
      <c r="HU27" s="876">
        <f t="shared" si="77"/>
        <v>0.1107553535588371</v>
      </c>
      <c r="HV27" s="872">
        <f t="shared" si="78"/>
        <v>1.2620836477421999E-2</v>
      </c>
      <c r="HW27" s="866">
        <f t="shared" si="79"/>
        <v>29500</v>
      </c>
      <c r="HX27" s="867">
        <f t="shared" si="80"/>
        <v>43.332255000000004</v>
      </c>
      <c r="HY27" s="866" t="e">
        <f t="shared" si="81"/>
        <v>#NUM!</v>
      </c>
      <c r="HZ27" s="868">
        <f t="shared" si="82"/>
        <v>272.27357749880787</v>
      </c>
      <c r="IA27" s="869" t="e">
        <f t="shared" si="83"/>
        <v>#NUM!</v>
      </c>
      <c r="IB27" s="870" t="e">
        <f t="shared" si="84"/>
        <v>#NUM!</v>
      </c>
      <c r="IC27" s="841" t="e">
        <f t="shared" si="85"/>
        <v>#NUM!</v>
      </c>
      <c r="ID27" s="351">
        <f t="shared" si="86"/>
        <v>106.2</v>
      </c>
      <c r="IE27" s="843" t="e">
        <f t="shared" si="87"/>
        <v>#NUM!</v>
      </c>
      <c r="IF27" s="844"/>
      <c r="IG27" s="790" t="str">
        <f>IFERROR(IF($IW27="","",IF($IW27&lt;(((Settings!$C$19/2)*-1)*$IG$8),"Taper","Nose")),"")</f>
        <v>Taper</v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1.228</v>
      </c>
      <c r="IJ27" s="674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1.1279999999999999</v>
      </c>
      <c r="IK27" s="677" cm="1">
        <f t="array" ref="IK27">IFERROR(ROUND(VALUE(IF($IJ27&lt;1,$IJ27+LARGE((IF($M$9:$M$150="",0,$M$9:$M$150)-MOD(IF($M$9:$M$150="",0,$M$9:$M$150),1)),1),$IJ27)),4),"")</f>
        <v>1.1279999999999999</v>
      </c>
      <c r="IL27" s="482">
        <f t="shared" si="88"/>
        <v>1613</v>
      </c>
      <c r="IM27" s="482" t="str">
        <f t="shared" si="237"/>
        <v>CPS-32193r1</v>
      </c>
      <c r="IN27" s="670">
        <f t="shared" si="90"/>
        <v>10.167821776358608</v>
      </c>
      <c r="IO27" s="702">
        <v>3.7056570486737002E-2</v>
      </c>
      <c r="IP27" s="5">
        <f t="shared" si="91"/>
        <v>2</v>
      </c>
      <c r="IQ27" s="714">
        <v>1000</v>
      </c>
      <c r="IR27" s="9">
        <f t="shared" si="139"/>
        <v>-6.5144196647361827</v>
      </c>
      <c r="IS27" s="5">
        <f t="shared" si="92"/>
        <v>-1.7686553252865127</v>
      </c>
      <c r="IT27" s="5">
        <f t="shared" si="93"/>
        <v>0.3125</v>
      </c>
      <c r="IU27" s="5">
        <f t="shared" si="94"/>
        <v>0.28829315909023584</v>
      </c>
      <c r="IV27" s="670">
        <f t="shared" si="95"/>
        <v>62.499991427382007</v>
      </c>
      <c r="IW27" s="9">
        <f t="shared" si="96"/>
        <v>-6.514929708695929</v>
      </c>
      <c r="IX27" s="5">
        <f t="shared" si="97"/>
        <v>-1.7805702022036893</v>
      </c>
      <c r="IY27" s="5">
        <f t="shared" si="98"/>
        <v>0.255</v>
      </c>
      <c r="IZ27" s="5">
        <f t="shared" si="99"/>
        <v>0.255</v>
      </c>
      <c r="JA27" s="705">
        <f t="shared" si="100"/>
        <v>60.52999126055056</v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</v>
      </c>
      <c r="B28" s="578">
        <f t="shared" si="2"/>
        <v>1.4518618547068436</v>
      </c>
      <c r="C28" s="572">
        <f t="shared" si="3"/>
        <v>6.6475622156817931</v>
      </c>
      <c r="D28" s="576">
        <f t="shared" si="4"/>
        <v>-2.472458543074056</v>
      </c>
      <c r="E28" s="580">
        <f t="shared" si="5"/>
        <v>0.20508899621134319</v>
      </c>
      <c r="F28" s="572">
        <f t="shared" si="6"/>
        <v>0.93903001697218036</v>
      </c>
      <c r="G28" s="579">
        <f t="shared" si="7"/>
        <v>0.27597306183439441</v>
      </c>
      <c r="H28" s="580">
        <f t="shared" si="8"/>
        <v>0.255</v>
      </c>
      <c r="I28" s="572">
        <f t="shared" si="9"/>
        <v>0.41499999999999992</v>
      </c>
      <c r="J28" s="483">
        <f t="shared" si="10"/>
        <v>1.2310000000000001</v>
      </c>
      <c r="K28" s="806" t="str">
        <f t="shared" si="11"/>
        <v>CPS-32193r1</v>
      </c>
      <c r="L28" s="82">
        <f>9.625/2</f>
        <v>4.8125</v>
      </c>
      <c r="M28" s="164">
        <f t="shared" si="12"/>
        <v>1.2310000000000001</v>
      </c>
      <c r="N28" s="575">
        <f t="shared" si="13"/>
        <v>1.4518618547068436</v>
      </c>
      <c r="O28" s="572">
        <f t="shared" si="14"/>
        <v>6.6475622156817931</v>
      </c>
      <c r="P28" s="576">
        <f t="shared" si="15"/>
        <v>-2.472458543074056</v>
      </c>
      <c r="Q28" s="528">
        <f t="shared" si="140"/>
        <v>77.6797699696655</v>
      </c>
      <c r="R28" s="572">
        <f t="shared" si="101"/>
        <v>6.8042623594709379</v>
      </c>
      <c r="S28" s="577">
        <f t="shared" si="102"/>
        <v>-2.472458543074056</v>
      </c>
      <c r="T28" s="578">
        <f t="shared" si="103"/>
        <v>6.647562175772201</v>
      </c>
      <c r="U28" s="572">
        <f t="shared" si="104"/>
        <v>-1.4518620374387445</v>
      </c>
      <c r="V28" s="579">
        <f t="shared" si="141"/>
        <v>-2.472458543074056</v>
      </c>
      <c r="W28" s="528">
        <f t="shared" si="253"/>
        <v>347.67976839468713</v>
      </c>
      <c r="X28" s="572">
        <f t="shared" si="105"/>
        <v>6.8042623594709379</v>
      </c>
      <c r="Y28" s="573">
        <f t="shared" si="255"/>
        <v>-2.472458543074056</v>
      </c>
      <c r="Z28" s="575">
        <f t="shared" si="18"/>
        <v>-0.20508899621134319</v>
      </c>
      <c r="AA28" s="572">
        <f t="shared" si="19"/>
        <v>-0.93903001697218036</v>
      </c>
      <c r="AB28" s="572">
        <f t="shared" si="20"/>
        <v>-0.27597306183439441</v>
      </c>
      <c r="AC28" s="579">
        <f t="shared" si="106"/>
        <v>1</v>
      </c>
      <c r="AD28" s="580">
        <f t="shared" si="142"/>
        <v>-0.20508899621134319</v>
      </c>
      <c r="AE28" s="572">
        <f t="shared" si="107"/>
        <v>-0.93903001697218036</v>
      </c>
      <c r="AF28" s="576">
        <f t="shared" si="108"/>
        <v>-0.27597306183439441</v>
      </c>
      <c r="AG28" s="545">
        <f t="shared" si="109"/>
        <v>-73.622379208261947</v>
      </c>
      <c r="AH28" s="546">
        <f t="shared" si="110"/>
        <v>101.83470885045536</v>
      </c>
      <c r="AI28" s="528">
        <f t="shared" si="111"/>
        <v>-73.979989318611075</v>
      </c>
      <c r="AJ28" s="529">
        <f t="shared" si="112"/>
        <v>-12.320230030334518</v>
      </c>
      <c r="AK28" s="578">
        <f t="shared" si="238"/>
        <v>6.6613381477509392E-16</v>
      </c>
      <c r="AL28" s="572">
        <f t="shared" si="113"/>
        <v>-0.96116537034047878</v>
      </c>
      <c r="AM28" s="577">
        <f t="shared" si="114"/>
        <v>-0.27597306183439441</v>
      </c>
      <c r="AN28" s="524">
        <f t="shared" si="115"/>
        <v>-73.979989318611075</v>
      </c>
      <c r="AO28" s="525">
        <f t="shared" si="116"/>
        <v>0</v>
      </c>
      <c r="AP28" s="528">
        <f t="shared" si="117"/>
        <v>-89.999999999999957</v>
      </c>
      <c r="AQ28" s="529">
        <f t="shared" si="21"/>
        <v>0.33504008623264114</v>
      </c>
      <c r="AS28" s="932">
        <f t="shared" si="143"/>
        <v>-12.32023160531287</v>
      </c>
      <c r="AT28" s="928">
        <f t="shared" si="22"/>
        <v>-2.4639028161795853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>Taper</v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1.2310000000000001</v>
      </c>
      <c r="IJ28" s="674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1.131</v>
      </c>
      <c r="IK28" s="677" cm="1">
        <f t="array" ref="IK28">IFERROR(ROUND(VALUE(IF($IJ28&lt;1,$IJ28+LARGE((IF($M$9:$M$150="",0,$M$9:$M$150)-MOD(IF($M$9:$M$150="",0,$M$9:$M$150),1)),1),$IJ28)),4),"")</f>
        <v>1.131</v>
      </c>
      <c r="IL28" s="482">
        <f t="shared" si="88"/>
        <v>1613</v>
      </c>
      <c r="IM28" s="482" t="str">
        <f t="shared" si="237"/>
        <v>CPS-32193r1</v>
      </c>
      <c r="IN28" s="670">
        <f t="shared" si="90"/>
        <v>9.7209306595540852</v>
      </c>
      <c r="IO28" s="702">
        <v>3.5741420728068699E-2</v>
      </c>
      <c r="IP28" s="5">
        <f t="shared" si="91"/>
        <v>2.4</v>
      </c>
      <c r="IQ28" s="714">
        <v>1200</v>
      </c>
      <c r="IR28" s="9">
        <f t="shared" si="139"/>
        <v>-6.8108205553435051</v>
      </c>
      <c r="IS28" s="5">
        <f t="shared" si="92"/>
        <v>-2.4581574098407448</v>
      </c>
      <c r="IT28" s="5">
        <f t="shared" si="93"/>
        <v>0.3125</v>
      </c>
      <c r="IU28" s="5">
        <f t="shared" si="94"/>
        <v>0.28182267263672467</v>
      </c>
      <c r="IV28" s="670">
        <f t="shared" si="95"/>
        <v>74.099989446480123</v>
      </c>
      <c r="IW28" s="9">
        <f t="shared" si="96"/>
        <v>-6.8042623594709379</v>
      </c>
      <c r="IX28" s="5">
        <f t="shared" si="97"/>
        <v>-2.472458543074056</v>
      </c>
      <c r="IY28" s="5">
        <f t="shared" si="98"/>
        <v>0.255</v>
      </c>
      <c r="IZ28" s="5">
        <f t="shared" si="99"/>
        <v>0.255</v>
      </c>
      <c r="JA28" s="705">
        <f t="shared" si="100"/>
        <v>73.979989318611075</v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</v>
      </c>
      <c r="B29" s="578">
        <f t="shared" si="2"/>
        <v>1.4861105433034245</v>
      </c>
      <c r="C29" s="572">
        <f t="shared" si="3"/>
        <v>6.8143686932469096</v>
      </c>
      <c r="D29" s="576">
        <f t="shared" si="4"/>
        <v>-3.1899364763496898</v>
      </c>
      <c r="E29" s="580">
        <f t="shared" si="5"/>
        <v>0.20933027584093997</v>
      </c>
      <c r="F29" s="572">
        <f t="shared" si="6"/>
        <v>0.95985704742288425</v>
      </c>
      <c r="G29" s="579">
        <f t="shared" si="7"/>
        <v>0.18669569927820845</v>
      </c>
      <c r="H29" s="580">
        <f t="shared" si="8"/>
        <v>0.255</v>
      </c>
      <c r="I29" s="572">
        <f t="shared" si="9"/>
        <v>0.41499999999999992</v>
      </c>
      <c r="J29" s="483">
        <f t="shared" si="10"/>
        <v>1.234</v>
      </c>
      <c r="K29" s="806" t="str">
        <f t="shared" si="11"/>
        <v>CPS-32193r1</v>
      </c>
      <c r="L29" s="82"/>
      <c r="M29" s="164">
        <f t="shared" si="12"/>
        <v>1.234</v>
      </c>
      <c r="N29" s="575">
        <f t="shared" si="13"/>
        <v>1.4861105433034245</v>
      </c>
      <c r="O29" s="572">
        <f t="shared" si="14"/>
        <v>6.8143686932469096</v>
      </c>
      <c r="P29" s="576">
        <f t="shared" si="15"/>
        <v>-3.1899364763496898</v>
      </c>
      <c r="Q29" s="528">
        <f t="shared" si="140"/>
        <v>77.697287946365222</v>
      </c>
      <c r="R29" s="572">
        <f>IF(M29="","",SQRT(N29^2+O29^2))</f>
        <v>6.9745354852076851</v>
      </c>
      <c r="S29" s="577">
        <f>IF(M29="","",P29)</f>
        <v>-3.1899364763496898</v>
      </c>
      <c r="T29" s="578">
        <f>IF(M29="","",X29*COS(RADIANS(W29)))</f>
        <v>6.8143686523958733</v>
      </c>
      <c r="U29" s="572">
        <f>IF(M29="","",X29*SIN(RADIANS(W29)))</f>
        <v>-1.4861107306205867</v>
      </c>
      <c r="V29" s="579">
        <f>IF(M29="","",Y29)</f>
        <v>-3.1899364763496898</v>
      </c>
      <c r="W29" s="528">
        <f t="shared" si="253"/>
        <v>347.69728637138689</v>
      </c>
      <c r="X29" s="572">
        <f>IF(M29="","",R29)</f>
        <v>6.9745354852076851</v>
      </c>
      <c r="Y29" s="573">
        <f t="shared" si="255"/>
        <v>-3.1899364763496898</v>
      </c>
      <c r="Z29" s="575">
        <f t="shared" si="18"/>
        <v>-0.20933027584093997</v>
      </c>
      <c r="AA29" s="572">
        <f t="shared" si="19"/>
        <v>-0.95985704742288425</v>
      </c>
      <c r="AB29" s="572">
        <f t="shared" si="20"/>
        <v>-0.18669569927820845</v>
      </c>
      <c r="AC29" s="579">
        <f>IF(M29="","",SQRT(Z29^2+AA29^2+AB29^2))</f>
        <v>1</v>
      </c>
      <c r="AD29" s="580">
        <f>IF(M29="","",Z29*(1/SQRT(Z29^2+AA29^2+AB29^2)))</f>
        <v>-0.20933027584093997</v>
      </c>
      <c r="AE29" s="572">
        <f>IF(M29="","",AA29*(1/SQRT(Z29^2+AA29^2+AB29^2)))</f>
        <v>-0.95985704742288425</v>
      </c>
      <c r="AF29" s="576">
        <f>IF(M29="","",AB29*(1/SQRT(Z29^2+AA29^2+AB29^2)))</f>
        <v>-0.18669569927820845</v>
      </c>
      <c r="AG29" s="545">
        <f>IF(M29="","",DEGREES(ATAN2(-AF29,AE29)))</f>
        <v>-78.993190534714429</v>
      </c>
      <c r="AH29" s="546">
        <f>IF(M29="","",DEGREES(ACOS(AD29)))</f>
        <v>102.08310759519877</v>
      </c>
      <c r="AI29" s="528">
        <f>IF(M29="","",DEGREES(-ACOS(-AF29)))</f>
        <v>-79.239988559161176</v>
      </c>
      <c r="AJ29" s="529">
        <f>IF(M29="","",DEGREES(ATAN2(-AE29,AD29)))</f>
        <v>-12.302712053634774</v>
      </c>
      <c r="AK29" s="578">
        <f>IF(M29="","",(COS(RADIANS((90-$Q$8)-W29))*AD29)+(-SIN(RADIANS((90-$Q$8)-W29))*AE29))</f>
        <v>1.9428902930940239E-16</v>
      </c>
      <c r="AL29" s="572">
        <f>IF(M29="","",(SIN(RADIANS((90-$Q$8)-W29))*AD29)+(COS(RADIANS((90-$Q$8)-W29))*AE29))</f>
        <v>-0.9824177908970404</v>
      </c>
      <c r="AM29" s="577">
        <f>IF(M29="","",AF29)</f>
        <v>-0.18669569927820845</v>
      </c>
      <c r="AN29" s="524">
        <f>IF(M29="","",DEGREES(ATAN2(-AM29,AL29)))</f>
        <v>-79.239988559161176</v>
      </c>
      <c r="AO29" s="525">
        <f t="shared" si="116"/>
        <v>0</v>
      </c>
      <c r="AP29" s="528">
        <f>IF(M29="","",DEGREES(ATAN2(AK29,AL29)))</f>
        <v>-89.999999999999986</v>
      </c>
      <c r="AQ29" s="529">
        <f t="shared" si="21"/>
        <v>0.32686075018573235</v>
      </c>
      <c r="AS29" s="932">
        <f t="shared" si="143"/>
        <v>-12.302713628613105</v>
      </c>
      <c r="AT29" s="928">
        <f t="shared" si="22"/>
        <v>-3.1813929147168163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1.234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1.1339999999999999</v>
      </c>
      <c r="IK29" s="677" cm="1">
        <f t="array" ref="IK29">IFERROR(ROUND(VALUE(IF($IJ29&lt;1,$IJ29+LARGE((IF($M$9:$M$150="",0,$M$9:$M$150)-MOD(IF($M$9:$M$150="",0,$M$9:$M$150),1)),1),$IJ29)),4),"")</f>
        <v>1.1339999999999999</v>
      </c>
      <c r="IL29" s="482">
        <f t="shared" si="88"/>
        <v>1613</v>
      </c>
      <c r="IM29" s="482" t="str">
        <f t="shared" si="237"/>
        <v>CPS-32193r1</v>
      </c>
      <c r="IN29" s="670">
        <f t="shared" si="90"/>
        <v>9.4728126270649682</v>
      </c>
      <c r="IO29" s="702">
        <v>3.5280384351689301E-2</v>
      </c>
      <c r="IP29" s="5">
        <f t="shared" si="91"/>
        <v>2.66</v>
      </c>
      <c r="IQ29" s="714">
        <v>1330</v>
      </c>
      <c r="IR29" s="9">
        <f t="shared" si="139"/>
        <v>-6.9875210848493108</v>
      </c>
      <c r="IS29" s="5">
        <f t="shared" si="92"/>
        <v>-3.1750595741496226</v>
      </c>
      <c r="IT29" s="5">
        <f t="shared" si="93"/>
        <v>0.3125</v>
      </c>
      <c r="IU29" s="5">
        <f t="shared" si="94"/>
        <v>0.27617676926904577</v>
      </c>
      <c r="IV29" s="670">
        <f t="shared" si="95"/>
        <v>80.099988488520111</v>
      </c>
      <c r="IW29" s="9">
        <f t="shared" si="96"/>
        <v>-6.9745354852076851</v>
      </c>
      <c r="IX29" s="5">
        <f t="shared" si="97"/>
        <v>-3.1899364763496898</v>
      </c>
      <c r="IY29" s="5">
        <f t="shared" si="98"/>
        <v>0.255</v>
      </c>
      <c r="IZ29" s="5">
        <f t="shared" si="99"/>
        <v>0.255</v>
      </c>
      <c r="JA29" s="705">
        <f t="shared" si="100"/>
        <v>79.239988559161176</v>
      </c>
      <c r="JC29" s="419" t="s">
        <v>378</v>
      </c>
      <c r="JD29" s="745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7"/>
      <c r="JF29" s="417"/>
      <c r="JG29" s="417"/>
      <c r="JH29" s="417"/>
      <c r="JI29" s="417"/>
      <c r="JJ29" s="745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45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578">
        <f t="shared" si="2"/>
        <v>1.5075302433110056</v>
      </c>
      <c r="C30" s="572">
        <f t="shared" si="3"/>
        <v>6.9138725266736998</v>
      </c>
      <c r="D30" s="576">
        <f t="shared" si="4"/>
        <v>-3.9344026454140817</v>
      </c>
      <c r="E30" s="580">
        <f t="shared" si="5"/>
        <v>0.21219867491016722</v>
      </c>
      <c r="F30" s="572">
        <f t="shared" si="6"/>
        <v>0.97319081668022134</v>
      </c>
      <c r="G30" s="579">
        <f t="shared" si="7"/>
        <v>8.8720666677234383E-2</v>
      </c>
      <c r="H30" s="580">
        <f t="shared" si="8"/>
        <v>0.255</v>
      </c>
      <c r="I30" s="572">
        <f t="shared" si="9"/>
        <v>0.41499999999999992</v>
      </c>
      <c r="J30" s="483">
        <f t="shared" si="10"/>
        <v>1.2370000000000001</v>
      </c>
      <c r="K30" s="806" t="str">
        <f t="shared" si="11"/>
        <v>CPS-32193r1</v>
      </c>
      <c r="L30" s="82"/>
      <c r="M30" s="164">
        <f t="shared" si="12"/>
        <v>1.2370000000000001</v>
      </c>
      <c r="N30" s="575">
        <f t="shared" si="13"/>
        <v>1.5075302433110056</v>
      </c>
      <c r="O30" s="572">
        <f t="shared" si="14"/>
        <v>6.9138725266736998</v>
      </c>
      <c r="P30" s="576">
        <f t="shared" si="15"/>
        <v>-3.9344026454140817</v>
      </c>
      <c r="Q30" s="528">
        <f t="shared" si="140"/>
        <v>77.699507570423677</v>
      </c>
      <c r="R30" s="572">
        <f>IF(M30="","",SQRT(N30^2+O30^2))</f>
        <v>7.0763183047111937</v>
      </c>
      <c r="S30" s="577">
        <f>IF(M30="","",P30)</f>
        <v>-3.9344026454140817</v>
      </c>
      <c r="T30" s="578">
        <f>IF(M30="","",X30*COS(RADIANS(W30)))</f>
        <v>6.913872485233866</v>
      </c>
      <c r="U30" s="572">
        <f>IF(M30="","",X30*SIN(RADIANS(W30)))</f>
        <v>-1.5075304333633852</v>
      </c>
      <c r="V30" s="579">
        <f>IF(M30="","",Y30)</f>
        <v>-3.9344026454140817</v>
      </c>
      <c r="W30" s="528">
        <f t="shared" si="253"/>
        <v>347.69950599544535</v>
      </c>
      <c r="X30" s="572">
        <f>IF(M30="","",R30)</f>
        <v>7.0763183047111937</v>
      </c>
      <c r="Y30" s="573">
        <f t="shared" si="255"/>
        <v>-3.9344026454140817</v>
      </c>
      <c r="Z30" s="575">
        <f t="shared" si="18"/>
        <v>-0.21219867491016722</v>
      </c>
      <c r="AA30" s="572">
        <f t="shared" si="19"/>
        <v>-0.97319081668022134</v>
      </c>
      <c r="AB30" s="572">
        <f t="shared" si="20"/>
        <v>-8.8720666677234383E-2</v>
      </c>
      <c r="AC30" s="579">
        <f>IF(M30="","",SQRT(Z30^2+AA30^2+AB30^2))</f>
        <v>1</v>
      </c>
      <c r="AD30" s="580">
        <f>IF(M30="","",Z30*(1/SQRT(Z30^2+AA30^2+AB30^2)))</f>
        <v>-0.21219867491016722</v>
      </c>
      <c r="AE30" s="572">
        <f>IF(M30="","",AA30*(1/SQRT(Z30^2+AA30^2+AB30^2)))</f>
        <v>-0.97319081668022134</v>
      </c>
      <c r="AF30" s="576">
        <f>IF(M30="","",AB30*(1/SQRT(Z30^2+AA30^2+AB30^2)))</f>
        <v>-8.8720666677234383E-2</v>
      </c>
      <c r="AG30" s="545">
        <f>IF(M30="","",DEGREES(ATAN2(-AF30,AE30)))</f>
        <v>-84.791045107657951</v>
      </c>
      <c r="AH30" s="546">
        <f>IF(M30="","",DEGREES(ACOS(AD30)))</f>
        <v>102.25123140979264</v>
      </c>
      <c r="AI30" s="528">
        <f>IF(M30="","",DEGREES(-ACOS(-AF30)))</f>
        <v>-84.909987740514595</v>
      </c>
      <c r="AJ30" s="529">
        <f>IF(M30="","",DEGREES(ATAN2(-AE30,AD30)))</f>
        <v>-12.300492429576314</v>
      </c>
      <c r="AK30" s="578">
        <f>IF(M30="","",(COS(RADIANS((90-$Q$8)-W30))*AD30)+(-SIN(RADIANS((90-$Q$8)-W30))*AE30))</f>
        <v>1.9428902930940239E-16</v>
      </c>
      <c r="AL30" s="572">
        <f>IF(M30="","",(SIN(RADIANS((90-$Q$8)-W30))*AD30)+(COS(RADIANS((90-$Q$8)-W30))*AE30))</f>
        <v>-0.99605654623838846</v>
      </c>
      <c r="AM30" s="577">
        <f>IF(M30="","",AF30)</f>
        <v>-8.8720666677234383E-2</v>
      </c>
      <c r="AN30" s="524">
        <f>IF(M30="","",DEGREES(ATAN2(-AM30,AL30)))</f>
        <v>-84.909987740514595</v>
      </c>
      <c r="AO30" s="525">
        <f>IF(ROUND(IF(M30="",0,DEGREES(ACOS(AK30))),4)=90,0,IF(M30="","",DEGREES(ACOS(AK30))))</f>
        <v>0</v>
      </c>
      <c r="AP30" s="528">
        <f>IF(M30="","",DEGREES(ATAN2(AK30,AL30)))</f>
        <v>-89.999999999999986</v>
      </c>
      <c r="AQ30" s="529">
        <f t="shared" si="21"/>
        <v>0.32215942090774452</v>
      </c>
      <c r="AS30" s="932">
        <f t="shared" si="143"/>
        <v>-12.30049400455465</v>
      </c>
      <c r="AT30" s="928">
        <f t="shared" si="22"/>
        <v>-3.9258606251868042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1.2370000000000001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1.137</v>
      </c>
      <c r="IK30" s="677" cm="1">
        <f t="array" ref="IK30">IFERROR(ROUND(VALUE(IF($IJ30&lt;1,$IJ30+LARGE((IF($M$9:$M$150="",0,$M$9:$M$150)-MOD(IF($M$9:$M$150="",0,$M$9:$M$150),1)),1),$IJ30)),4),"")</f>
        <v>1.137</v>
      </c>
      <c r="IL30" s="482">
        <f t="shared" si="88"/>
        <v>1613</v>
      </c>
      <c r="IM30" s="482" t="str">
        <f t="shared" si="237"/>
        <v>CPS-32193r1</v>
      </c>
      <c r="IN30" s="670">
        <f t="shared" si="90"/>
        <v>9.3222929301091995</v>
      </c>
      <c r="IO30" s="702">
        <v>3.5155066805388303E-2</v>
      </c>
      <c r="IP30" s="5">
        <f t="shared" si="91"/>
        <v>2.98</v>
      </c>
      <c r="IQ30" s="714">
        <v>1490</v>
      </c>
      <c r="IR30" s="9">
        <f t="shared" si="139"/>
        <v>-7.0993214168333942</v>
      </c>
      <c r="IS30" s="5">
        <f t="shared" si="92"/>
        <v>-3.9200618225372401</v>
      </c>
      <c r="IT30" s="5">
        <f t="shared" si="93"/>
        <v>0.3125</v>
      </c>
      <c r="IU30" s="5">
        <f t="shared" si="94"/>
        <v>0.26730134382899329</v>
      </c>
      <c r="IV30" s="670">
        <f t="shared" si="95"/>
        <v>85.999987591262339</v>
      </c>
      <c r="IW30" s="9">
        <f t="shared" si="96"/>
        <v>-7.0763183047111937</v>
      </c>
      <c r="IX30" s="5">
        <f t="shared" si="97"/>
        <v>-3.9344026454140817</v>
      </c>
      <c r="IY30" s="5">
        <f t="shared" si="98"/>
        <v>0.255</v>
      </c>
      <c r="IZ30" s="5">
        <f t="shared" si="99"/>
        <v>0.255</v>
      </c>
      <c r="JA30" s="705">
        <f t="shared" si="100"/>
        <v>84.909987740514595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46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450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720</v>
      </c>
    </row>
    <row r="31" spans="1:271" ht="15" customHeight="1" x14ac:dyDescent="0.25">
      <c r="A31" s="75">
        <f t="shared" si="1"/>
        <v>0</v>
      </c>
      <c r="B31" s="578">
        <f t="shared" si="2"/>
        <v>3.0824548617580612</v>
      </c>
      <c r="C31" s="572">
        <f t="shared" si="3"/>
        <v>1.7796530371576573</v>
      </c>
      <c r="D31" s="576">
        <f t="shared" si="4"/>
        <v>-0.1989502026758114</v>
      </c>
      <c r="E31" s="580">
        <f t="shared" si="5"/>
        <v>-0.45367894364495781</v>
      </c>
      <c r="F31" s="572">
        <f t="shared" si="6"/>
        <v>0.85290008858470867</v>
      </c>
      <c r="G31" s="579">
        <f t="shared" si="7"/>
        <v>0.25833477308599262</v>
      </c>
      <c r="H31" s="580">
        <f t="shared" si="8"/>
        <v>0.3125</v>
      </c>
      <c r="I31" s="572">
        <f t="shared" si="9"/>
        <v>0.52</v>
      </c>
      <c r="J31" s="483">
        <f t="shared" si="10"/>
        <v>2.1139999999999999</v>
      </c>
      <c r="K31" s="806">
        <f t="shared" si="11"/>
        <v>1613</v>
      </c>
      <c r="L31" s="309"/>
      <c r="M31" s="164">
        <f t="shared" si="12"/>
        <v>2.1139999999999999</v>
      </c>
      <c r="N31" s="575">
        <f t="shared" si="13"/>
        <v>3.0824548617580612</v>
      </c>
      <c r="O31" s="572">
        <f t="shared" si="14"/>
        <v>1.7796530371576573</v>
      </c>
      <c r="P31" s="576">
        <f t="shared" si="15"/>
        <v>-0.1989502026758114</v>
      </c>
      <c r="Q31" s="528">
        <f t="shared" si="140"/>
        <v>29.999956685365358</v>
      </c>
      <c r="R31" s="572">
        <f>IF(M31="","",SQRT(N31^2+O31^2))</f>
        <v>3.5593107348811763</v>
      </c>
      <c r="S31" s="577">
        <f>IF(M31="","",P31)</f>
        <v>-0.1989502026758114</v>
      </c>
      <c r="T31" s="578">
        <f>IF(M31="","",X31*COS(RADIANS(W31)))</f>
        <v>1.7796529524254194</v>
      </c>
      <c r="U31" s="572">
        <f>IF(M31="","",X31*SIN(RADIANS(W31)))</f>
        <v>-3.082454910678154</v>
      </c>
      <c r="V31" s="579">
        <f>IF(M31="","",Y31)</f>
        <v>-0.1989502026758114</v>
      </c>
      <c r="W31" s="528">
        <f t="shared" si="253"/>
        <v>299.99995511038702</v>
      </c>
      <c r="X31" s="572">
        <f>IF(M31="","",R31)</f>
        <v>3.5593107348811763</v>
      </c>
      <c r="Y31" s="573">
        <f t="shared" si="255"/>
        <v>-0.1989502026758114</v>
      </c>
      <c r="Z31" s="575">
        <f t="shared" si="18"/>
        <v>0.45367894364495781</v>
      </c>
      <c r="AA31" s="572">
        <f t="shared" si="19"/>
        <v>-0.85290008858470867</v>
      </c>
      <c r="AB31" s="572">
        <f t="shared" si="20"/>
        <v>-0.25833477308599262</v>
      </c>
      <c r="AC31" s="579">
        <f>IF(M31="","",SQRT(Z31^2+AA31^2+AB31^2))</f>
        <v>1</v>
      </c>
      <c r="AD31" s="580">
        <f>IF(M31="","",Z31*(1/SQRT(Z31^2+AA31^2+AB31^2)))</f>
        <v>0.45367894364495781</v>
      </c>
      <c r="AE31" s="572">
        <f>IF(M31="","",AA31*(1/SQRT(Z31^2+AA31^2+AB31^2)))</f>
        <v>-0.85290008858470867</v>
      </c>
      <c r="AF31" s="576">
        <f>IF(M31="","",AB31*(1/SQRT(Z31^2+AA31^2+AB31^2)))</f>
        <v>-0.25833477308599262</v>
      </c>
      <c r="AG31" s="545">
        <f>IF(M31="","",DEGREES(ATAN2(-AF31,AE31)))</f>
        <v>-73.148972486482066</v>
      </c>
      <c r="AH31" s="546">
        <f>IF(M31="","",DEGREES(ACOS(AD31)))</f>
        <v>63.020032692544611</v>
      </c>
      <c r="AI31" s="528">
        <f>IF(M31="","",DEGREES(-ACOS(-AF31)))</f>
        <v>-75.02872361378401</v>
      </c>
      <c r="AJ31" s="529">
        <f>IF(M31="","",DEGREES(ATAN2(-AE31,AD31)))</f>
        <v>28.009631409417921</v>
      </c>
      <c r="AK31" s="578">
        <f>IF(M31="","",(COS(RADIANS((90-$Q$8)-W31))*AD31)+(-SIN(RADIANS((90-$Q$8)-W31))*AE31))</f>
        <v>0.96547264079171879</v>
      </c>
      <c r="AL31" s="572">
        <f>IF(M31="","",(SIN(RADIANS((90-$Q$8)-W31))*AD31)+(COS(RADIANS((90-$Q$8)-W31))*AE31))</f>
        <v>-3.3551824052848955E-2</v>
      </c>
      <c r="AM31" s="577">
        <f>IF(M31="","",AF31)</f>
        <v>-0.25833477308599262</v>
      </c>
      <c r="AN31" s="524">
        <f>IF(M31="","",DEGREES(ATAN2(-AM31,AL31)))</f>
        <v>-7.3999989315723473</v>
      </c>
      <c r="AO31" s="525">
        <f t="shared" si="116"/>
        <v>15.099997819830071</v>
      </c>
      <c r="AP31" s="528">
        <f>IF(M31="","",DEGREES(ATAN2(AK31,AL31)))</f>
        <v>-1.9903252759474273</v>
      </c>
      <c r="AQ31" s="529">
        <f t="shared" si="21"/>
        <v>0.64046998052230009</v>
      </c>
      <c r="AS31" s="932">
        <f t="shared" si="143"/>
        <v>-60.00004488961298</v>
      </c>
      <c r="AT31" s="928">
        <f t="shared" si="22"/>
        <v>-0.15728349433391009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2.1139999999999999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1613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</v>
      </c>
      <c r="B32" s="578">
        <f t="shared" si="2"/>
        <v>3.7330948031185121</v>
      </c>
      <c r="C32" s="572">
        <f t="shared" si="3"/>
        <v>2.1414828052393555</v>
      </c>
      <c r="D32" s="576">
        <f t="shared" si="4"/>
        <v>-0.24705034774584861</v>
      </c>
      <c r="E32" s="580">
        <f t="shared" si="5"/>
        <v>-0.40402388565932279</v>
      </c>
      <c r="F32" s="572">
        <f t="shared" si="6"/>
        <v>0.87915761676641946</v>
      </c>
      <c r="G32" s="579">
        <f t="shared" si="7"/>
        <v>0.25267881727270303</v>
      </c>
      <c r="H32" s="580">
        <f t="shared" si="8"/>
        <v>0.3125</v>
      </c>
      <c r="I32" s="572">
        <f t="shared" si="9"/>
        <v>0.52</v>
      </c>
      <c r="J32" s="483">
        <f t="shared" si="10"/>
        <v>2.117</v>
      </c>
      <c r="K32" s="806">
        <f t="shared" si="11"/>
        <v>1613</v>
      </c>
      <c r="L32" s="309"/>
      <c r="M32" s="164">
        <f t="shared" si="12"/>
        <v>2.117</v>
      </c>
      <c r="N32" s="575">
        <f t="shared" si="13"/>
        <v>3.7330948031185121</v>
      </c>
      <c r="O32" s="572">
        <f t="shared" si="14"/>
        <v>2.1414828052393555</v>
      </c>
      <c r="P32" s="576">
        <f t="shared" si="15"/>
        <v>-0.24705034774584861</v>
      </c>
      <c r="Q32" s="528">
        <f t="shared" si="140"/>
        <v>29.840656708365415</v>
      </c>
      <c r="R32" s="572">
        <f t="shared" si="101"/>
        <v>4.3037129799983482</v>
      </c>
      <c r="S32" s="577">
        <f t="shared" si="102"/>
        <v>-0.24705034774584861</v>
      </c>
      <c r="T32" s="578">
        <f t="shared" si="103"/>
        <v>2.1414827026219649</v>
      </c>
      <c r="U32" s="572">
        <f t="shared" si="104"/>
        <v>-3.7330948619847835</v>
      </c>
      <c r="V32" s="579">
        <f t="shared" si="141"/>
        <v>-0.24705034774584861</v>
      </c>
      <c r="W32" s="528">
        <f t="shared" si="253"/>
        <v>299.84065513338709</v>
      </c>
      <c r="X32" s="572">
        <f t="shared" si="105"/>
        <v>4.3037129799983482</v>
      </c>
      <c r="Y32" s="573">
        <f t="shared" si="255"/>
        <v>-0.24705034774584861</v>
      </c>
      <c r="Z32" s="575">
        <f t="shared" si="18"/>
        <v>0.40402388565932279</v>
      </c>
      <c r="AA32" s="572">
        <f t="shared" si="19"/>
        <v>-0.87915761676641946</v>
      </c>
      <c r="AB32" s="572">
        <f t="shared" si="20"/>
        <v>-0.25267881727270303</v>
      </c>
      <c r="AC32" s="579">
        <f t="shared" si="106"/>
        <v>1</v>
      </c>
      <c r="AD32" s="580">
        <f t="shared" si="142"/>
        <v>0.40402388565932279</v>
      </c>
      <c r="AE32" s="572">
        <f t="shared" si="107"/>
        <v>-0.87915761676641946</v>
      </c>
      <c r="AF32" s="576">
        <f t="shared" si="108"/>
        <v>-0.25267881727270303</v>
      </c>
      <c r="AG32" s="545">
        <f t="shared" si="109"/>
        <v>-73.964812118258877</v>
      </c>
      <c r="AH32" s="546">
        <f t="shared" si="110"/>
        <v>66.170026752643963</v>
      </c>
      <c r="AI32" s="528">
        <f t="shared" si="111"/>
        <v>-75.363912404384209</v>
      </c>
      <c r="AJ32" s="529">
        <f t="shared" si="112"/>
        <v>24.681523191699245</v>
      </c>
      <c r="AK32" s="578">
        <f t="shared" si="238"/>
        <v>0.96363046364671834</v>
      </c>
      <c r="AL32" s="572">
        <f t="shared" si="113"/>
        <v>-8.700428054802023E-2</v>
      </c>
      <c r="AM32" s="577">
        <f t="shared" si="114"/>
        <v>-0.25267881727270303</v>
      </c>
      <c r="AN32" s="524">
        <f t="shared" si="115"/>
        <v>-18.999997256739832</v>
      </c>
      <c r="AO32" s="525">
        <f t="shared" si="116"/>
        <v>15.499997762077202</v>
      </c>
      <c r="AP32" s="528">
        <f t="shared" si="117"/>
        <v>-5.1591335166661727</v>
      </c>
      <c r="AQ32" s="529">
        <f t="shared" si="21"/>
        <v>0.52969649543984076</v>
      </c>
      <c r="AS32" s="932">
        <f t="shared" si="143"/>
        <v>-60.159344866612912</v>
      </c>
      <c r="AT32" s="928">
        <f t="shared" si="22"/>
        <v>-0.20527301441991957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2.117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1613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</v>
      </c>
      <c r="B33" s="578">
        <f t="shared" si="2"/>
        <v>4.3878032664930036</v>
      </c>
      <c r="C33" s="572">
        <f t="shared" si="3"/>
        <v>2.4672828287459998</v>
      </c>
      <c r="D33" s="576">
        <f t="shared" si="4"/>
        <v>-0.47305102936390481</v>
      </c>
      <c r="E33" s="580">
        <f t="shared" si="5"/>
        <v>-0.34406523304837067</v>
      </c>
      <c r="F33" s="572">
        <f t="shared" si="6"/>
        <v>0.90766882788295877</v>
      </c>
      <c r="G33" s="579">
        <f t="shared" si="7"/>
        <v>0.24032564219605529</v>
      </c>
      <c r="H33" s="580">
        <f t="shared" si="8"/>
        <v>0.3125</v>
      </c>
      <c r="I33" s="572">
        <f t="shared" si="9"/>
        <v>0.52</v>
      </c>
      <c r="J33" s="483">
        <f t="shared" si="10"/>
        <v>2.12</v>
      </c>
      <c r="K33" s="806">
        <f t="shared" si="11"/>
        <v>1613</v>
      </c>
      <c r="L33" s="309"/>
      <c r="M33" s="164">
        <f t="shared" si="12"/>
        <v>2.12</v>
      </c>
      <c r="N33" s="575">
        <f t="shared" si="13"/>
        <v>4.3878032664930036</v>
      </c>
      <c r="O33" s="572">
        <f t="shared" si="14"/>
        <v>2.4672828287459998</v>
      </c>
      <c r="P33" s="576">
        <f t="shared" si="15"/>
        <v>-0.47305102936390481</v>
      </c>
      <c r="Q33" s="528">
        <f t="shared" si="140"/>
        <v>29.349256779314796</v>
      </c>
      <c r="R33" s="572">
        <f t="shared" si="101"/>
        <v>5.0339151822881893</v>
      </c>
      <c r="S33" s="577">
        <f t="shared" si="102"/>
        <v>-0.47305102936390481</v>
      </c>
      <c r="T33" s="578">
        <f t="shared" si="103"/>
        <v>2.4672827081316129</v>
      </c>
      <c r="U33" s="572">
        <f t="shared" si="104"/>
        <v>-4.3878033343150502</v>
      </c>
      <c r="V33" s="579">
        <f t="shared" si="141"/>
        <v>-0.47305102936390481</v>
      </c>
      <c r="W33" s="528">
        <f t="shared" si="253"/>
        <v>299.34925520433643</v>
      </c>
      <c r="X33" s="572">
        <f t="shared" si="105"/>
        <v>5.0339151822881893</v>
      </c>
      <c r="Y33" s="573">
        <f t="shared" si="255"/>
        <v>-0.47305102936390481</v>
      </c>
      <c r="Z33" s="575">
        <f t="shared" si="18"/>
        <v>0.34406523304837067</v>
      </c>
      <c r="AA33" s="572">
        <f t="shared" si="19"/>
        <v>-0.90766882788295877</v>
      </c>
      <c r="AB33" s="572">
        <f t="shared" si="20"/>
        <v>-0.24032564219605529</v>
      </c>
      <c r="AC33" s="579">
        <f t="shared" si="106"/>
        <v>1</v>
      </c>
      <c r="AD33" s="580">
        <f t="shared" si="142"/>
        <v>0.34406523304837067</v>
      </c>
      <c r="AE33" s="572">
        <f t="shared" si="107"/>
        <v>-0.90766882788295877</v>
      </c>
      <c r="AF33" s="576">
        <f t="shared" si="108"/>
        <v>-0.24032564219605529</v>
      </c>
      <c r="AG33" s="545">
        <f t="shared" si="109"/>
        <v>-75.169959161891015</v>
      </c>
      <c r="AH33" s="546">
        <f t="shared" si="110"/>
        <v>69.875255434390354</v>
      </c>
      <c r="AI33" s="528">
        <f t="shared" si="111"/>
        <v>-76.094239181412121</v>
      </c>
      <c r="AJ33" s="529">
        <f t="shared" si="112"/>
        <v>20.759950707284137</v>
      </c>
      <c r="AK33" s="578">
        <f t="shared" si="238"/>
        <v>0.9598053035035925</v>
      </c>
      <c r="AL33" s="572">
        <f t="shared" si="113"/>
        <v>-0.14497367026267349</v>
      </c>
      <c r="AM33" s="577">
        <f t="shared" si="114"/>
        <v>-0.24032564219605529</v>
      </c>
      <c r="AN33" s="524">
        <f t="shared" si="115"/>
        <v>-31.099995509716226</v>
      </c>
      <c r="AO33" s="525">
        <f t="shared" si="116"/>
        <v>16.299997646571494</v>
      </c>
      <c r="AP33" s="528">
        <f t="shared" si="117"/>
        <v>-8.5893060720306469</v>
      </c>
      <c r="AQ33" s="529">
        <f t="shared" si="21"/>
        <v>0.45286403835378214</v>
      </c>
      <c r="AS33" s="932">
        <f t="shared" si="143"/>
        <v>-60.65074479566357</v>
      </c>
      <c r="AT33" s="928">
        <f t="shared" si="22"/>
        <v>-0.43093244608724612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2.12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88"/>
        <v>1613</v>
      </c>
      <c r="IM33" s="482" t="str">
        <f t="shared" si="237"/>
        <v/>
      </c>
      <c r="IN33" s="670" t="str">
        <f t="shared" si="90"/>
        <v/>
      </c>
      <c r="IO33" s="702"/>
      <c r="IP33" s="5" t="str">
        <f t="shared" si="91"/>
        <v/>
      </c>
      <c r="IQ33" s="714"/>
      <c r="IR33" s="9" t="str">
        <f t="shared" si="139"/>
        <v/>
      </c>
      <c r="IS33" s="5" t="str">
        <f t="shared" si="92"/>
        <v/>
      </c>
      <c r="IT33" s="5" t="str">
        <f t="shared" si="93"/>
        <v/>
      </c>
      <c r="IU33" s="5" t="str">
        <f t="shared" si="94"/>
        <v/>
      </c>
      <c r="IV33" s="670" t="str">
        <f t="shared" si="95"/>
        <v/>
      </c>
      <c r="IW33" s="9" t="str">
        <f t="shared" si="96"/>
        <v/>
      </c>
      <c r="IX33" s="5" t="str">
        <f t="shared" si="97"/>
        <v/>
      </c>
      <c r="IY33" s="5" t="str">
        <f t="shared" si="98"/>
        <v/>
      </c>
      <c r="IZ33" s="5" t="str">
        <f t="shared" si="99"/>
        <v/>
      </c>
      <c r="JA33" s="705" t="str">
        <f t="shared" si="100"/>
        <v/>
      </c>
    </row>
    <row r="34" spans="1:269" ht="15" customHeight="1" x14ac:dyDescent="0.25">
      <c r="A34" s="75">
        <f t="shared" si="1"/>
        <v>0</v>
      </c>
      <c r="B34" s="578">
        <f t="shared" si="2"/>
        <v>4.9835815670860955</v>
      </c>
      <c r="C34" s="572">
        <f t="shared" si="3"/>
        <v>2.7320337640796493</v>
      </c>
      <c r="D34" s="576">
        <f t="shared" si="4"/>
        <v>-0.86155220108343866</v>
      </c>
      <c r="E34" s="580">
        <f t="shared" si="5"/>
        <v>-0.28427473843127848</v>
      </c>
      <c r="F34" s="572">
        <f t="shared" si="6"/>
        <v>0.93415280753684038</v>
      </c>
      <c r="G34" s="579">
        <f t="shared" si="7"/>
        <v>0.21574615931892538</v>
      </c>
      <c r="H34" s="580">
        <f t="shared" si="8"/>
        <v>0.3125</v>
      </c>
      <c r="I34" s="572">
        <f t="shared" si="9"/>
        <v>0.52</v>
      </c>
      <c r="J34" s="483">
        <f t="shared" si="10"/>
        <v>2.1230000000000002</v>
      </c>
      <c r="K34" s="806">
        <f t="shared" si="11"/>
        <v>1613</v>
      </c>
      <c r="L34" s="309"/>
      <c r="M34" s="164">
        <f t="shared" si="12"/>
        <v>2.1230000000000002</v>
      </c>
      <c r="N34" s="575">
        <f t="shared" si="13"/>
        <v>4.9835815670860955</v>
      </c>
      <c r="O34" s="572">
        <f t="shared" si="14"/>
        <v>2.7320337640796493</v>
      </c>
      <c r="P34" s="576">
        <f t="shared" si="15"/>
        <v>-0.86155220108343866</v>
      </c>
      <c r="Q34" s="528">
        <f t="shared" si="140"/>
        <v>28.731856868456312</v>
      </c>
      <c r="R34" s="572">
        <f>IF(M34="","",SQRT(N34^2+O34^2))</f>
        <v>5.6833171408844958</v>
      </c>
      <c r="S34" s="577">
        <f>IF(M34="","",P34)</f>
        <v>-0.86155220108343866</v>
      </c>
      <c r="T34" s="578">
        <f>IF(M34="","",X34*COS(RADIANS(W34)))</f>
        <v>2.732033627088176</v>
      </c>
      <c r="U34" s="572">
        <f>IF(M34="","",X34*SIN(RADIANS(W34)))</f>
        <v>-4.9835816421857633</v>
      </c>
      <c r="V34" s="579">
        <f>IF(M34="","",Y34)</f>
        <v>-0.86155220108343866</v>
      </c>
      <c r="W34" s="528">
        <f t="shared" si="253"/>
        <v>298.73185529347796</v>
      </c>
      <c r="X34" s="572">
        <f>IF(M34="","",R34)</f>
        <v>5.6833171408844958</v>
      </c>
      <c r="Y34" s="573">
        <f t="shared" si="255"/>
        <v>-0.86155220108343866</v>
      </c>
      <c r="Z34" s="575">
        <f t="shared" si="18"/>
        <v>0.28427473843127848</v>
      </c>
      <c r="AA34" s="572">
        <f t="shared" si="19"/>
        <v>-0.93415280753684038</v>
      </c>
      <c r="AB34" s="572">
        <f t="shared" si="20"/>
        <v>-0.21574615931892538</v>
      </c>
      <c r="AC34" s="579">
        <f>IF(M34="","",SQRT(Z34^2+AA34^2+AB34^2))</f>
        <v>1</v>
      </c>
      <c r="AD34" s="580">
        <f>IF(M34="","",Z34*(1/SQRT(Z34^2+AA34^2+AB34^2)))</f>
        <v>0.28427473843127848</v>
      </c>
      <c r="AE34" s="572">
        <f>IF(M34="","",AA34*(1/SQRT(Z34^2+AA34^2+AB34^2)))</f>
        <v>-0.93415280753684038</v>
      </c>
      <c r="AF34" s="576">
        <f>IF(M34="","",AB34*(1/SQRT(Z34^2+AA34^2+AB34^2)))</f>
        <v>-0.21574615931892538</v>
      </c>
      <c r="AG34" s="545">
        <f>IF(M34="","",DEGREES(ATAN2(-AF34,AE34)))</f>
        <v>-76.995342183931157</v>
      </c>
      <c r="AH34" s="546">
        <f>IF(M34="","",DEGREES(ACOS(AD34)))</f>
        <v>73.484498899016103</v>
      </c>
      <c r="AI34" s="528">
        <f>IF(M34="","",DEGREES(-ACOS(-AF34)))</f>
        <v>-77.540693496898498</v>
      </c>
      <c r="AJ34" s="529">
        <f>IF(M34="","",DEGREES(ATAN2(-AE34,AD34)))</f>
        <v>16.925680929781155</v>
      </c>
      <c r="AK34" s="578">
        <f>IF(M34="","",(COS(RADIANS((90-$Q$8)-W34))*AD34)+(-SIN(RADIANS((90-$Q$8)-W34))*AE34))</f>
        <v>0.95579302746882988</v>
      </c>
      <c r="AL34" s="572">
        <f>IF(M34="","",(SIN(RADIANS((90-$Q$8)-W34))*AD34)+(COS(RADIANS((90-$Q$8)-W34))*AE34))</f>
        <v>-0.19978309082878265</v>
      </c>
      <c r="AM34" s="577">
        <f>IF(M34="","",AF34)</f>
        <v>-0.21574615931892538</v>
      </c>
      <c r="AN34" s="524">
        <f>IF(M34="","",DEGREES(ATAN2(-AM34,AL34)))</f>
        <v>-42.799993820445501</v>
      </c>
      <c r="AO34" s="525">
        <f t="shared" si="116"/>
        <v>17.09999753106581</v>
      </c>
      <c r="AP34" s="528">
        <f>IF(M34="","",DEGREES(ATAN2(AK34,AL34)))</f>
        <v>-11.806175938675148</v>
      </c>
      <c r="AQ34" s="529">
        <f t="shared" si="21"/>
        <v>0.4011195100810932</v>
      </c>
      <c r="AS34" s="932">
        <f t="shared" si="143"/>
        <v>-61.268144706522037</v>
      </c>
      <c r="AT34" s="928">
        <f t="shared" si="22"/>
        <v>-0.81900486786868387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2.1230000000000002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88"/>
        <v>1613</v>
      </c>
      <c r="IM34" s="482" t="str">
        <f t="shared" si="237"/>
        <v/>
      </c>
      <c r="IN34" s="670" t="str">
        <f t="shared" si="90"/>
        <v/>
      </c>
      <c r="IO34" s="702"/>
      <c r="IP34" s="5" t="str">
        <f t="shared" si="91"/>
        <v/>
      </c>
      <c r="IQ34" s="714"/>
      <c r="IR34" s="9" t="str">
        <f t="shared" si="139"/>
        <v/>
      </c>
      <c r="IS34" s="5" t="str">
        <f t="shared" si="92"/>
        <v/>
      </c>
      <c r="IT34" s="5" t="str">
        <f t="shared" si="93"/>
        <v/>
      </c>
      <c r="IU34" s="5" t="str">
        <f t="shared" si="94"/>
        <v/>
      </c>
      <c r="IV34" s="670" t="str">
        <f t="shared" si="95"/>
        <v/>
      </c>
      <c r="IW34" s="9" t="str">
        <f t="shared" si="96"/>
        <v/>
      </c>
      <c r="IX34" s="5" t="str">
        <f t="shared" si="97"/>
        <v/>
      </c>
      <c r="IY34" s="5" t="str">
        <f t="shared" si="98"/>
        <v/>
      </c>
      <c r="IZ34" s="5" t="str">
        <f t="shared" si="99"/>
        <v/>
      </c>
      <c r="JA34" s="705" t="str">
        <f t="shared" si="100"/>
        <v/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5.4909641169528154</v>
      </c>
      <c r="C35" s="572">
        <f t="shared" si="3"/>
        <v>2.9349391993327489</v>
      </c>
      <c r="D35" s="576">
        <f t="shared" si="4"/>
        <v>-1.3900537950442455</v>
      </c>
      <c r="E35" s="580">
        <f t="shared" si="5"/>
        <v>-0.1897819602281714</v>
      </c>
      <c r="F35" s="572">
        <f t="shared" si="6"/>
        <v>0.9606389319206976</v>
      </c>
      <c r="G35" s="579">
        <f t="shared" si="7"/>
        <v>0.20286855362577583</v>
      </c>
      <c r="H35" s="580">
        <f t="shared" si="8"/>
        <v>0.3125</v>
      </c>
      <c r="I35" s="572">
        <f t="shared" si="9"/>
        <v>0.52</v>
      </c>
      <c r="J35" s="483">
        <f t="shared" si="10"/>
        <v>2.1259999999999999</v>
      </c>
      <c r="K35" s="806">
        <f t="shared" si="11"/>
        <v>1613</v>
      </c>
      <c r="L35" s="309"/>
      <c r="M35" s="164">
        <f t="shared" si="12"/>
        <v>2.1259999999999999</v>
      </c>
      <c r="N35" s="575">
        <f t="shared" si="13"/>
        <v>5.4909641169528154</v>
      </c>
      <c r="O35" s="572">
        <f t="shared" si="14"/>
        <v>2.9349391993327489</v>
      </c>
      <c r="P35" s="576">
        <f t="shared" si="15"/>
        <v>-1.3900537950442455</v>
      </c>
      <c r="Q35" s="528">
        <f t="shared" si="140"/>
        <v>28.124656956125126</v>
      </c>
      <c r="R35" s="572">
        <f>IF(M35="","",SQRT(N35^2+O35^2))</f>
        <v>6.226118777974234</v>
      </c>
      <c r="S35" s="577">
        <f>IF(M35="","",P35)</f>
        <v>-1.3900537950442455</v>
      </c>
      <c r="T35" s="578">
        <f>IF(M35="","",X35*COS(RADIANS(W35)))</f>
        <v>2.9349390483940665</v>
      </c>
      <c r="U35" s="572">
        <f>IF(M35="","",X35*SIN(RADIANS(W35)))</f>
        <v>-5.4909641976300572</v>
      </c>
      <c r="V35" s="579">
        <f>IF(M35="","",Y35)</f>
        <v>-1.3900537950442455</v>
      </c>
      <c r="W35" s="528">
        <f t="shared" si="253"/>
        <v>298.12465538114679</v>
      </c>
      <c r="X35" s="572">
        <f>IF(M35="","",R35)</f>
        <v>6.226118777974234</v>
      </c>
      <c r="Y35" s="573">
        <f t="shared" si="255"/>
        <v>-1.3900537950442455</v>
      </c>
      <c r="Z35" s="575">
        <f t="shared" si="18"/>
        <v>0.1897819602281714</v>
      </c>
      <c r="AA35" s="572">
        <f t="shared" si="19"/>
        <v>-0.9606389319206976</v>
      </c>
      <c r="AB35" s="572">
        <f t="shared" si="20"/>
        <v>-0.20286855362577583</v>
      </c>
      <c r="AC35" s="579">
        <f>IF(M35="","",SQRT(Z35^2+AA35^2+AB35^2))</f>
        <v>1</v>
      </c>
      <c r="AD35" s="580">
        <f>IF(M35="","",Z35*(1/SQRT(Z35^2+AA35^2+AB35^2)))</f>
        <v>0.1897819602281714</v>
      </c>
      <c r="AE35" s="572">
        <f>IF(M35="","",AA35*(1/SQRT(Z35^2+AA35^2+AB35^2)))</f>
        <v>-0.9606389319206976</v>
      </c>
      <c r="AF35" s="576">
        <f>IF(M35="","",AB35*(1/SQRT(Z35^2+AA35^2+AB35^2)))</f>
        <v>-0.20286855362577583</v>
      </c>
      <c r="AG35" s="545">
        <f>IF(M35="","",DEGREES(ATAN2(-AF35,AE35)))</f>
        <v>-78.075435829031377</v>
      </c>
      <c r="AH35" s="546">
        <f>IF(M35="","",DEGREES(ACOS(AD35)))</f>
        <v>79.059940075687592</v>
      </c>
      <c r="AI35" s="528">
        <f>IF(M35="","",DEGREES(-ACOS(-AF35)))</f>
        <v>-78.295245417244118</v>
      </c>
      <c r="AJ35" s="529">
        <f>IF(M35="","",DEGREES(ATAN2(-AE35,AD35)))</f>
        <v>11.175337721022141</v>
      </c>
      <c r="AK35" s="578">
        <f>IF(M35="","",(COS(RADIANS((90-$Q$8)-W35))*AD35)+(-SIN(RADIANS((90-$Q$8)-W35))*AE35))</f>
        <v>0.93667220733970269</v>
      </c>
      <c r="AL35" s="572">
        <f>IF(M35="","",(SIN(RADIANS((90-$Q$8)-W35))*AD35)+(COS(RADIANS((90-$Q$8)-W35))*AE35))</f>
        <v>-0.28546370337952764</v>
      </c>
      <c r="AM35" s="577">
        <f>IF(M35="","",AF35)</f>
        <v>-0.20286855362577583</v>
      </c>
      <c r="AN35" s="524">
        <f>IF(M35="","",DEGREES(ATAN2(-AM35,AL35)))</f>
        <v>-54.599992116736487</v>
      </c>
      <c r="AO35" s="525">
        <f t="shared" si="116"/>
        <v>20.499997040166612</v>
      </c>
      <c r="AP35" s="528">
        <f>IF(M35="","",DEGREES(ATAN2(AK35,AL35)))</f>
        <v>-16.949319235102987</v>
      </c>
      <c r="AQ35" s="529">
        <f t="shared" si="21"/>
        <v>0.36615035455435563</v>
      </c>
      <c r="AS35" s="932">
        <f t="shared" si="143"/>
        <v>-61.875344618853205</v>
      </c>
      <c r="AT35" s="928">
        <f t="shared" si="22"/>
        <v>-1.3470847952237053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2.1259999999999999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88"/>
        <v>1613</v>
      </c>
      <c r="IM35" s="482" t="str">
        <f t="shared" si="237"/>
        <v/>
      </c>
      <c r="IN35" s="670" t="str">
        <f t="shared" si="90"/>
        <v/>
      </c>
      <c r="IO35" s="702"/>
      <c r="IP35" s="5" t="str">
        <f t="shared" si="91"/>
        <v/>
      </c>
      <c r="IQ35" s="714"/>
      <c r="IR35" s="9" t="str">
        <f t="shared" si="139"/>
        <v/>
      </c>
      <c r="IS35" s="5" t="str">
        <f t="shared" si="92"/>
        <v/>
      </c>
      <c r="IT35" s="5" t="str">
        <f t="shared" si="93"/>
        <v/>
      </c>
      <c r="IU35" s="5" t="str">
        <f t="shared" si="94"/>
        <v/>
      </c>
      <c r="IV35" s="670" t="str">
        <f t="shared" si="95"/>
        <v/>
      </c>
      <c r="IW35" s="9" t="str">
        <f t="shared" si="96"/>
        <v/>
      </c>
      <c r="IX35" s="5" t="str">
        <f t="shared" si="97"/>
        <v/>
      </c>
      <c r="IY35" s="5" t="str">
        <f t="shared" si="98"/>
        <v/>
      </c>
      <c r="IZ35" s="5" t="str">
        <f t="shared" si="99"/>
        <v/>
      </c>
      <c r="JA35" s="705" t="str">
        <f t="shared" si="100"/>
        <v/>
      </c>
    </row>
    <row r="36" spans="1:269" ht="15" customHeight="1" x14ac:dyDescent="0.25">
      <c r="A36" s="75">
        <f t="shared" si="1"/>
        <v>0</v>
      </c>
      <c r="B36" s="578">
        <f t="shared" si="2"/>
        <v>5.8748212299112064</v>
      </c>
      <c r="C36" s="572">
        <f t="shared" si="3"/>
        <v>3.0752075939350187</v>
      </c>
      <c r="D36" s="576">
        <f t="shared" si="4"/>
        <v>-2.0283557201628524</v>
      </c>
      <c r="E36" s="580">
        <f t="shared" si="5"/>
        <v>-9.6950156422386247E-2</v>
      </c>
      <c r="F36" s="572">
        <f t="shared" si="6"/>
        <v>0.98198292907793949</v>
      </c>
      <c r="G36" s="579">
        <f t="shared" si="7"/>
        <v>0.16220417432725145</v>
      </c>
      <c r="H36" s="580">
        <f t="shared" si="8"/>
        <v>0.3125</v>
      </c>
      <c r="I36" s="572">
        <f t="shared" si="9"/>
        <v>0.52</v>
      </c>
      <c r="J36" s="483">
        <f t="shared" si="10"/>
        <v>2.129</v>
      </c>
      <c r="K36" s="806">
        <f t="shared" si="11"/>
        <v>1613</v>
      </c>
      <c r="L36" s="309"/>
      <c r="M36" s="164">
        <f t="shared" si="12"/>
        <v>2.129</v>
      </c>
      <c r="N36" s="575">
        <f t="shared" si="13"/>
        <v>5.8748212299112064</v>
      </c>
      <c r="O36" s="572">
        <f t="shared" si="14"/>
        <v>3.0752075939350187</v>
      </c>
      <c r="P36" s="576">
        <f t="shared" si="15"/>
        <v>-2.0283557201628524</v>
      </c>
      <c r="Q36" s="528">
        <f t="shared" si="140"/>
        <v>27.63005702753653</v>
      </c>
      <c r="R36" s="572">
        <f>IF(M36="","",SQRT(N36^2+O36^2))</f>
        <v>6.6310199991563152</v>
      </c>
      <c r="S36" s="577">
        <f>IF(M36="","",P36)</f>
        <v>-2.0283557201628524</v>
      </c>
      <c r="T36" s="578">
        <f>IF(M36="","",X36*COS(RADIANS(W36)))</f>
        <v>3.0752074324446519</v>
      </c>
      <c r="U36" s="572">
        <f>IF(M36="","",X36*SIN(RADIANS(W36)))</f>
        <v>-5.8748213144442261</v>
      </c>
      <c r="V36" s="579">
        <f>IF(M36="","",Y36)</f>
        <v>-2.0283557201628524</v>
      </c>
      <c r="W36" s="528">
        <f t="shared" si="253"/>
        <v>297.63005545255817</v>
      </c>
      <c r="X36" s="572">
        <f>IF(M36="","",R36)</f>
        <v>6.6310199991563152</v>
      </c>
      <c r="Y36" s="573">
        <f t="shared" si="255"/>
        <v>-2.0283557201628524</v>
      </c>
      <c r="Z36" s="575">
        <f t="shared" si="18"/>
        <v>9.6950156422386247E-2</v>
      </c>
      <c r="AA36" s="572">
        <f t="shared" si="19"/>
        <v>-0.98198292907793949</v>
      </c>
      <c r="AB36" s="572">
        <f t="shared" si="20"/>
        <v>-0.16220417432725145</v>
      </c>
      <c r="AC36" s="579">
        <f>IF(M36="","",SQRT(Z36^2+AA36^2+AB36^2))</f>
        <v>1</v>
      </c>
      <c r="AD36" s="580">
        <f>IF(M36="","",Z36*(1/SQRT(Z36^2+AA36^2+AB36^2)))</f>
        <v>9.6950156422386247E-2</v>
      </c>
      <c r="AE36" s="572">
        <f>IF(M36="","",AA36*(1/SQRT(Z36^2+AA36^2+AB36^2)))</f>
        <v>-0.98198292907793949</v>
      </c>
      <c r="AF36" s="576">
        <f>IF(M36="","",AB36*(1/SQRT(Z36^2+AA36^2+AB36^2)))</f>
        <v>-0.16220417432725145</v>
      </c>
      <c r="AG36" s="545">
        <f>IF(M36="","",DEGREES(ATAN2(-AF36,AE36)))</f>
        <v>-80.620561993582129</v>
      </c>
      <c r="AH36" s="546">
        <f>IF(M36="","",DEGREES(ACOS(AD36)))</f>
        <v>84.436426243116671</v>
      </c>
      <c r="AI36" s="528">
        <f>IF(M36="","",DEGREES(-ACOS(-AF36)))</f>
        <v>-80.665142400216254</v>
      </c>
      <c r="AJ36" s="529">
        <f>IF(M36="","",DEGREES(ATAN2(-AE36,AD36)))</f>
        <v>5.6384800936534134</v>
      </c>
      <c r="AK36" s="578">
        <f>IF(M36="","",(COS(RADIANS((90-$Q$8)-W36))*AD36)+(-SIN(RADIANS((90-$Q$8)-W36))*AE36))</f>
        <v>0.9149596920523112</v>
      </c>
      <c r="AL36" s="572">
        <f>IF(M36="","",(SIN(RADIANS((90-$Q$8)-W36))*AD36)+(COS(RADIANS((90-$Q$8)-W36))*AE36))</f>
        <v>-0.36951125524177819</v>
      </c>
      <c r="AM36" s="577">
        <f>IF(M36="","",AF36)</f>
        <v>-0.16220417432725145</v>
      </c>
      <c r="AN36" s="524">
        <f>IF(M36="","",DEGREES(ATAN2(-AM36,AL36)))</f>
        <v>-66.299990427465758</v>
      </c>
      <c r="AO36" s="525">
        <f t="shared" si="116"/>
        <v>23.799996563705651</v>
      </c>
      <c r="AP36" s="528">
        <f>IF(M36="","",DEGREES(ATAN2(AK36,AL36)))</f>
        <v>-21.991576933883117</v>
      </c>
      <c r="AQ36" s="529">
        <f t="shared" si="21"/>
        <v>0.34379315286589501</v>
      </c>
      <c r="AS36" s="932">
        <f t="shared" si="143"/>
        <v>-62.369944547441833</v>
      </c>
      <c r="AT36" s="928">
        <f t="shared" si="22"/>
        <v>-1.9850432481696809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2.129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88"/>
        <v>1613</v>
      </c>
      <c r="IM36" s="482" t="str">
        <f t="shared" si="237"/>
        <v/>
      </c>
      <c r="IN36" s="670" t="str">
        <f t="shared" si="90"/>
        <v/>
      </c>
      <c r="IO36" s="702"/>
      <c r="IP36" s="5" t="str">
        <f t="shared" si="91"/>
        <v/>
      </c>
      <c r="IQ36" s="714"/>
      <c r="IR36" s="9" t="str">
        <f t="shared" si="139"/>
        <v/>
      </c>
      <c r="IS36" s="5" t="str">
        <f t="shared" si="92"/>
        <v/>
      </c>
      <c r="IT36" s="5" t="str">
        <f t="shared" si="93"/>
        <v/>
      </c>
      <c r="IU36" s="5" t="str">
        <f t="shared" si="94"/>
        <v/>
      </c>
      <c r="IV36" s="670" t="str">
        <f t="shared" si="95"/>
        <v/>
      </c>
      <c r="IW36" s="9" t="str">
        <f t="shared" si="96"/>
        <v/>
      </c>
      <c r="IX36" s="5" t="str">
        <f t="shared" si="97"/>
        <v/>
      </c>
      <c r="IY36" s="5" t="str">
        <f t="shared" si="98"/>
        <v/>
      </c>
      <c r="IZ36" s="5" t="str">
        <f t="shared" si="99"/>
        <v/>
      </c>
      <c r="JA36" s="705" t="str">
        <f t="shared" si="100"/>
        <v/>
      </c>
    </row>
    <row r="37" spans="1:269" ht="15" customHeight="1" x14ac:dyDescent="0.25">
      <c r="A37" s="75">
        <f t="shared" si="1"/>
        <v>0</v>
      </c>
      <c r="B37" s="578">
        <f t="shared" si="2"/>
        <v>6.1082010199055636</v>
      </c>
      <c r="C37" s="572">
        <f t="shared" si="3"/>
        <v>3.1550618709734506</v>
      </c>
      <c r="D37" s="576">
        <f t="shared" si="4"/>
        <v>-2.7324578437348568</v>
      </c>
      <c r="E37" s="580">
        <f t="shared" si="5"/>
        <v>-2.7583919939871169E-2</v>
      </c>
      <c r="F37" s="572">
        <f t="shared" si="6"/>
        <v>0.99389633091005392</v>
      </c>
      <c r="G37" s="579">
        <f t="shared" si="7"/>
        <v>0.10681390716701449</v>
      </c>
      <c r="H37" s="580">
        <f t="shared" si="8"/>
        <v>0.3125</v>
      </c>
      <c r="I37" s="572">
        <f t="shared" si="9"/>
        <v>0.52</v>
      </c>
      <c r="J37" s="483">
        <f t="shared" si="10"/>
        <v>2.1320000000000001</v>
      </c>
      <c r="K37" s="806">
        <f t="shared" si="11"/>
        <v>1613</v>
      </c>
      <c r="L37" s="309"/>
      <c r="M37" s="164">
        <f t="shared" si="12"/>
        <v>2.1320000000000001</v>
      </c>
      <c r="N37" s="575">
        <f t="shared" si="13"/>
        <v>6.1082010199055636</v>
      </c>
      <c r="O37" s="572">
        <f t="shared" si="14"/>
        <v>3.1550618709734506</v>
      </c>
      <c r="P37" s="576">
        <f t="shared" si="15"/>
        <v>-2.7324578437348568</v>
      </c>
      <c r="Q37" s="528">
        <f t="shared" si="140"/>
        <v>27.317657072641502</v>
      </c>
      <c r="R37" s="572">
        <f t="shared" si="101"/>
        <v>6.8749207347609369</v>
      </c>
      <c r="S37" s="577">
        <f t="shared" si="102"/>
        <v>-2.7324578437348568</v>
      </c>
      <c r="T37" s="578">
        <f t="shared" si="103"/>
        <v>3.1550617030678132</v>
      </c>
      <c r="U37" s="572">
        <f t="shared" si="104"/>
        <v>-6.1082011066336612</v>
      </c>
      <c r="V37" s="579">
        <f t="shared" si="141"/>
        <v>-2.7324578437348568</v>
      </c>
      <c r="W37" s="528">
        <f t="shared" si="253"/>
        <v>297.31765549766317</v>
      </c>
      <c r="X37" s="572">
        <f t="shared" si="105"/>
        <v>6.8749207347609369</v>
      </c>
      <c r="Y37" s="573">
        <f t="shared" si="255"/>
        <v>-2.7324578437348568</v>
      </c>
      <c r="Z37" s="575">
        <f t="shared" si="18"/>
        <v>2.7583919939871169E-2</v>
      </c>
      <c r="AA37" s="572">
        <f t="shared" si="19"/>
        <v>-0.99389633091005392</v>
      </c>
      <c r="AB37" s="572">
        <f t="shared" si="20"/>
        <v>-0.10681390716701449</v>
      </c>
      <c r="AC37" s="579">
        <f t="shared" si="106"/>
        <v>1</v>
      </c>
      <c r="AD37" s="580">
        <f t="shared" si="142"/>
        <v>2.7583919939871169E-2</v>
      </c>
      <c r="AE37" s="572">
        <f t="shared" si="107"/>
        <v>-0.99389633091005392</v>
      </c>
      <c r="AF37" s="576">
        <f t="shared" si="108"/>
        <v>-0.10681390716701449</v>
      </c>
      <c r="AG37" s="545">
        <f t="shared" si="109"/>
        <v>-83.865973396827812</v>
      </c>
      <c r="AH37" s="546">
        <f t="shared" si="110"/>
        <v>88.419357317161456</v>
      </c>
      <c r="AI37" s="528">
        <f t="shared" si="111"/>
        <v>-83.868316400656411</v>
      </c>
      <c r="AJ37" s="529">
        <f t="shared" si="112"/>
        <v>1.5897398516559116</v>
      </c>
      <c r="AK37" s="578">
        <f t="shared" si="238"/>
        <v>0.89571178981943445</v>
      </c>
      <c r="AL37" s="572">
        <f t="shared" si="113"/>
        <v>-0.43161461839722481</v>
      </c>
      <c r="AM37" s="577">
        <f t="shared" si="114"/>
        <v>-0.10681390716701449</v>
      </c>
      <c r="AN37" s="524">
        <f t="shared" si="115"/>
        <v>-76.099989012521036</v>
      </c>
      <c r="AO37" s="525">
        <f t="shared" si="116"/>
        <v>26.399996188312151</v>
      </c>
      <c r="AP37" s="528">
        <f t="shared" si="117"/>
        <v>-25.727917220985606</v>
      </c>
      <c r="AQ37" s="529">
        <f t="shared" si="21"/>
        <v>0.33159672190866529</v>
      </c>
      <c r="AS37" s="932">
        <f t="shared" si="143"/>
        <v>-62.682344502336832</v>
      </c>
      <c r="AT37" s="928">
        <f t="shared" si="22"/>
        <v>-2.6889284273285639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2.1320000000000001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</v>
      </c>
      <c r="B38" s="578">
        <f t="shared" si="2"/>
        <v>6.2603286633168054</v>
      </c>
      <c r="C38" s="572">
        <f t="shared" si="3"/>
        <v>3.2049449901607785</v>
      </c>
      <c r="D38" s="576">
        <f t="shared" si="4"/>
        <v>-3.4607600402942826</v>
      </c>
      <c r="E38" s="580">
        <f t="shared" si="5"/>
        <v>3.0512745775671601E-2</v>
      </c>
      <c r="F38" s="572">
        <f t="shared" si="6"/>
        <v>0.99724005511398628</v>
      </c>
      <c r="G38" s="579">
        <f t="shared" si="7"/>
        <v>6.768489359881559E-2</v>
      </c>
      <c r="H38" s="580">
        <f t="shared" si="8"/>
        <v>0.3125</v>
      </c>
      <c r="I38" s="572">
        <f t="shared" si="9"/>
        <v>0.52</v>
      </c>
      <c r="J38" s="483">
        <f t="shared" si="10"/>
        <v>2.1349999999999998</v>
      </c>
      <c r="K38" s="806">
        <f t="shared" si="11"/>
        <v>1613</v>
      </c>
      <c r="L38" s="309"/>
      <c r="M38" s="164">
        <f t="shared" si="12"/>
        <v>2.1349999999999998</v>
      </c>
      <c r="N38" s="575">
        <f t="shared" si="13"/>
        <v>6.2603286633168054</v>
      </c>
      <c r="O38" s="572">
        <f t="shared" si="14"/>
        <v>3.2049449901607785</v>
      </c>
      <c r="P38" s="576">
        <f t="shared" si="15"/>
        <v>-3.4607600402942826</v>
      </c>
      <c r="Q38" s="528">
        <f t="shared" si="140"/>
        <v>27.109957102629657</v>
      </c>
      <c r="R38" s="572">
        <f t="shared" si="101"/>
        <v>7.0330212115919748</v>
      </c>
      <c r="S38" s="577">
        <f t="shared" si="102"/>
        <v>-3.4607600402942826</v>
      </c>
      <c r="T38" s="578">
        <f t="shared" si="103"/>
        <v>3.2049448180733706</v>
      </c>
      <c r="U38" s="572">
        <f t="shared" si="104"/>
        <v>-6.260328751416119</v>
      </c>
      <c r="V38" s="579">
        <f t="shared" si="141"/>
        <v>-3.4607600402942826</v>
      </c>
      <c r="W38" s="528">
        <f t="shared" si="253"/>
        <v>297.10995552765132</v>
      </c>
      <c r="X38" s="572">
        <f t="shared" si="105"/>
        <v>7.0330212115919748</v>
      </c>
      <c r="Y38" s="573">
        <f t="shared" si="255"/>
        <v>-3.4607600402942826</v>
      </c>
      <c r="Z38" s="575">
        <f t="shared" si="18"/>
        <v>-3.0512745775671601E-2</v>
      </c>
      <c r="AA38" s="572">
        <f t="shared" si="19"/>
        <v>-0.99724005511398628</v>
      </c>
      <c r="AB38" s="572">
        <f t="shared" si="20"/>
        <v>-6.768489359881559E-2</v>
      </c>
      <c r="AC38" s="579">
        <f t="shared" si="106"/>
        <v>1</v>
      </c>
      <c r="AD38" s="580">
        <f t="shared" si="142"/>
        <v>-3.0512745775671601E-2</v>
      </c>
      <c r="AE38" s="572">
        <f t="shared" si="107"/>
        <v>-0.99724005511398628</v>
      </c>
      <c r="AF38" s="576">
        <f t="shared" si="108"/>
        <v>-6.768489359881559E-2</v>
      </c>
      <c r="AG38" s="545">
        <f t="shared" si="109"/>
        <v>-86.117163376947062</v>
      </c>
      <c r="AH38" s="546">
        <f t="shared" si="110"/>
        <v>91.748522946444197</v>
      </c>
      <c r="AI38" s="528">
        <f t="shared" si="111"/>
        <v>-86.118974082815512</v>
      </c>
      <c r="AJ38" s="529">
        <f t="shared" si="112"/>
        <v>-1.7525432190959109</v>
      </c>
      <c r="AK38" s="578">
        <f t="shared" si="238"/>
        <v>0.87377225869860653</v>
      </c>
      <c r="AL38" s="572">
        <f t="shared" si="113"/>
        <v>-0.48160232049612534</v>
      </c>
      <c r="AM38" s="577">
        <f t="shared" si="114"/>
        <v>-6.768489359881559E-2</v>
      </c>
      <c r="AN38" s="524">
        <f t="shared" si="115"/>
        <v>-81.999988160666504</v>
      </c>
      <c r="AO38" s="525">
        <f t="shared" si="116"/>
        <v>29.099995798480432</v>
      </c>
      <c r="AP38" s="528">
        <f t="shared" si="117"/>
        <v>-28.862500321725584</v>
      </c>
      <c r="AQ38" s="529">
        <f t="shared" si="21"/>
        <v>0.32414267523283652</v>
      </c>
      <c r="AS38" s="932">
        <f t="shared" si="143"/>
        <v>-62.890044472348677</v>
      </c>
      <c r="AT38" s="928">
        <f t="shared" si="22"/>
        <v>-3.4170863877977036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2.1349999999999998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</v>
      </c>
      <c r="B39" s="578">
        <f t="shared" si="2"/>
        <v>6.3587276380774949</v>
      </c>
      <c r="C39" s="572">
        <f t="shared" si="3"/>
        <v>3.2363077582245148</v>
      </c>
      <c r="D39" s="576">
        <f t="shared" si="4"/>
        <v>-4.2119623059203137</v>
      </c>
      <c r="E39" s="580">
        <f t="shared" si="5"/>
        <v>9.4268096277827534E-2</v>
      </c>
      <c r="F39" s="572">
        <f t="shared" si="6"/>
        <v>0.99537120134976531</v>
      </c>
      <c r="G39" s="579">
        <f t="shared" si="7"/>
        <v>1.8700201808522127E-2</v>
      </c>
      <c r="H39" s="580">
        <f t="shared" si="8"/>
        <v>0.3125</v>
      </c>
      <c r="I39" s="572">
        <f t="shared" si="9"/>
        <v>0.52</v>
      </c>
      <c r="J39" s="483">
        <f t="shared" si="10"/>
        <v>2.1379999999999999</v>
      </c>
      <c r="K39" s="806">
        <f t="shared" si="11"/>
        <v>1613</v>
      </c>
      <c r="L39" s="309"/>
      <c r="M39" s="164">
        <f t="shared" si="12"/>
        <v>2.1379999999999999</v>
      </c>
      <c r="N39" s="575">
        <f t="shared" si="13"/>
        <v>6.3587276380774949</v>
      </c>
      <c r="O39" s="572">
        <f t="shared" si="14"/>
        <v>3.2363077582245148</v>
      </c>
      <c r="P39" s="576">
        <f t="shared" si="15"/>
        <v>-4.2119623059203137</v>
      </c>
      <c r="Q39" s="528">
        <f t="shared" si="140"/>
        <v>26.974057122251196</v>
      </c>
      <c r="R39" s="572">
        <f t="shared" si="101"/>
        <v>7.1349215189233002</v>
      </c>
      <c r="S39" s="577">
        <f t="shared" si="102"/>
        <v>-4.2119623059203137</v>
      </c>
      <c r="T39" s="578">
        <f t="shared" si="103"/>
        <v>3.2363075834322634</v>
      </c>
      <c r="U39" s="572">
        <f t="shared" si="104"/>
        <v>-6.3587277270389233</v>
      </c>
      <c r="V39" s="579">
        <f t="shared" si="141"/>
        <v>-4.2119623059203137</v>
      </c>
      <c r="W39" s="528">
        <f t="shared" si="253"/>
        <v>296.97405554727288</v>
      </c>
      <c r="X39" s="572">
        <f t="shared" si="105"/>
        <v>7.1349215189233002</v>
      </c>
      <c r="Y39" s="573">
        <f t="shared" si="255"/>
        <v>-4.2119623059203137</v>
      </c>
      <c r="Z39" s="575">
        <f t="shared" si="18"/>
        <v>-9.4268096277827534E-2</v>
      </c>
      <c r="AA39" s="572">
        <f t="shared" si="19"/>
        <v>-0.99537120134976531</v>
      </c>
      <c r="AB39" s="572">
        <f t="shared" si="20"/>
        <v>-1.8700201808522127E-2</v>
      </c>
      <c r="AC39" s="579">
        <f t="shared" si="106"/>
        <v>1</v>
      </c>
      <c r="AD39" s="580">
        <f t="shared" si="142"/>
        <v>-9.4268096277827534E-2</v>
      </c>
      <c r="AE39" s="572">
        <f t="shared" si="107"/>
        <v>-0.99537120134976531</v>
      </c>
      <c r="AF39" s="576">
        <f t="shared" si="108"/>
        <v>-1.8700201808522127E-2</v>
      </c>
      <c r="AG39" s="545">
        <f t="shared" si="109"/>
        <v>-88.923701422148952</v>
      </c>
      <c r="AH39" s="546">
        <f t="shared" si="110"/>
        <v>95.409195769844828</v>
      </c>
      <c r="AI39" s="528">
        <f t="shared" si="111"/>
        <v>-88.928494903689256</v>
      </c>
      <c r="AJ39" s="529">
        <f t="shared" si="112"/>
        <v>-5.4101446306799517</v>
      </c>
      <c r="AK39" s="578">
        <f t="shared" si="238"/>
        <v>0.84432796925021369</v>
      </c>
      <c r="AL39" s="572">
        <f t="shared" si="113"/>
        <v>-0.53550031073205839</v>
      </c>
      <c r="AM39" s="577">
        <f t="shared" si="114"/>
        <v>-1.8700201808522127E-2</v>
      </c>
      <c r="AN39" s="524">
        <f t="shared" si="115"/>
        <v>-87.999987294373824</v>
      </c>
      <c r="AO39" s="525">
        <f t="shared" si="116"/>
        <v>32.399995322019493</v>
      </c>
      <c r="AP39" s="528">
        <f t="shared" si="117"/>
        <v>-32.38420175293119</v>
      </c>
      <c r="AQ39" s="529">
        <f t="shared" si="21"/>
        <v>0.31951339537350454</v>
      </c>
      <c r="AS39" s="932">
        <f t="shared" si="143"/>
        <v>-63.025944452727117</v>
      </c>
      <c r="AT39" s="928">
        <f t="shared" si="22"/>
        <v>-4.1681942784373609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2.1379999999999999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</v>
      </c>
      <c r="B40" s="578">
        <f t="shared" si="2"/>
        <v>4.1745613683647074</v>
      </c>
      <c r="C40" s="572">
        <f t="shared" si="3"/>
        <v>1.0673598377601725</v>
      </c>
      <c r="D40" s="576">
        <f t="shared" si="4"/>
        <v>-0.24530169764305285</v>
      </c>
      <c r="E40" s="580">
        <f t="shared" si="5"/>
        <v>0.17539187651179725</v>
      </c>
      <c r="F40" s="572">
        <f t="shared" si="6"/>
        <v>4.4844530559965907E-2</v>
      </c>
      <c r="G40" s="579">
        <f t="shared" si="7"/>
        <v>0.98347682114655199</v>
      </c>
      <c r="H40" s="580">
        <f t="shared" si="8"/>
        <v>0.255</v>
      </c>
      <c r="I40" s="572">
        <f t="shared" si="9"/>
        <v>0.41499999999999992</v>
      </c>
      <c r="J40" s="483">
        <f t="shared" si="10"/>
        <v>2.2170000000000001</v>
      </c>
      <c r="K40" s="806" t="str">
        <f t="shared" si="11"/>
        <v>CPS-32193r1</v>
      </c>
      <c r="L40" s="309"/>
      <c r="M40" s="164">
        <f t="shared" si="12"/>
        <v>2.2170000000000001</v>
      </c>
      <c r="N40" s="575">
        <f t="shared" si="13"/>
        <v>4.1745613683647074</v>
      </c>
      <c r="O40" s="572">
        <f t="shared" si="14"/>
        <v>1.0673598377601725</v>
      </c>
      <c r="P40" s="576">
        <f t="shared" si="15"/>
        <v>-0.24530169764305285</v>
      </c>
      <c r="Q40" s="528">
        <f t="shared" si="140"/>
        <v>14.342231144670274</v>
      </c>
      <c r="R40" s="572">
        <f t="shared" si="101"/>
        <v>4.3088536342635777</v>
      </c>
      <c r="S40" s="577">
        <f t="shared" si="102"/>
        <v>-0.24530169764305285</v>
      </c>
      <c r="T40" s="578">
        <f t="shared" si="103"/>
        <v>1.067359723007502</v>
      </c>
      <c r="U40" s="572">
        <f t="shared" si="104"/>
        <v>-4.1745613977048883</v>
      </c>
      <c r="V40" s="579">
        <f t="shared" si="141"/>
        <v>-0.24530169764305285</v>
      </c>
      <c r="W40" s="528">
        <f t="shared" si="253"/>
        <v>284.34222956969194</v>
      </c>
      <c r="X40" s="572">
        <f t="shared" si="105"/>
        <v>4.3088536342635777</v>
      </c>
      <c r="Y40" s="573">
        <f t="shared" si="255"/>
        <v>-0.24530169764305285</v>
      </c>
      <c r="Z40" s="575">
        <f t="shared" si="18"/>
        <v>-0.17539187651179725</v>
      </c>
      <c r="AA40" s="572">
        <f t="shared" si="19"/>
        <v>-4.4844530559965907E-2</v>
      </c>
      <c r="AB40" s="572">
        <f t="shared" si="20"/>
        <v>-0.98347682114655199</v>
      </c>
      <c r="AC40" s="579">
        <f t="shared" si="106"/>
        <v>1</v>
      </c>
      <c r="AD40" s="580">
        <f t="shared" si="142"/>
        <v>-0.17539187651179725</v>
      </c>
      <c r="AE40" s="572">
        <f t="shared" si="107"/>
        <v>-4.4844530559965907E-2</v>
      </c>
      <c r="AF40" s="576">
        <f t="shared" si="108"/>
        <v>-0.98347682114655199</v>
      </c>
      <c r="AG40" s="545">
        <f t="shared" si="109"/>
        <v>-2.6107618949428018</v>
      </c>
      <c r="AH40" s="546">
        <f t="shared" si="110"/>
        <v>100.1014636988648</v>
      </c>
      <c r="AI40" s="528">
        <f t="shared" si="111"/>
        <v>-10.429998494094493</v>
      </c>
      <c r="AJ40" s="529">
        <f t="shared" si="112"/>
        <v>-75.657768855329721</v>
      </c>
      <c r="AK40" s="578">
        <f t="shared" si="238"/>
        <v>7.6327832942979512E-17</v>
      </c>
      <c r="AL40" s="572">
        <f t="shared" si="113"/>
        <v>-0.18103409145095642</v>
      </c>
      <c r="AM40" s="577">
        <f t="shared" si="114"/>
        <v>-0.98347682114655199</v>
      </c>
      <c r="AN40" s="524">
        <f t="shared" si="115"/>
        <v>-10.429998494094541</v>
      </c>
      <c r="AO40" s="525">
        <f t="shared" si="116"/>
        <v>0</v>
      </c>
      <c r="AP40" s="528">
        <f t="shared" si="117"/>
        <v>-89.999999999999972</v>
      </c>
      <c r="AQ40" s="529">
        <f t="shared" si="21"/>
        <v>0.52906457987579947</v>
      </c>
      <c r="AS40" s="932">
        <f t="shared" si="143"/>
        <v>-75.657770430308062</v>
      </c>
      <c r="AT40" s="928">
        <f t="shared" si="22"/>
        <v>-0.19276156878677994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>Nose</v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2.2170000000000001</v>
      </c>
      <c r="IJ40" s="674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2.117</v>
      </c>
      <c r="IK40" s="677" cm="1">
        <f t="array" ref="IK40">IFERROR(ROUND(VALUE(IF($IJ40&lt;1,$IJ40+LARGE((IF($M$9:$M$150="",0,$M$9:$M$150)-MOD(IF($M$9:$M$150="",0,$M$9:$M$150),1)),1),$IJ40)),4),"")</f>
        <v>2.117</v>
      </c>
      <c r="IL40" s="482">
        <f t="shared" si="88"/>
        <v>1613</v>
      </c>
      <c r="IM40" s="482" t="str">
        <f t="shared" si="237"/>
        <v>CPS-32193r1</v>
      </c>
      <c r="IN40" s="670">
        <f t="shared" si="90"/>
        <v>15.49842556369515</v>
      </c>
      <c r="IO40" s="702">
        <v>4.2471804952194103E-2</v>
      </c>
      <c r="IP40" s="5">
        <f t="shared" si="91"/>
        <v>1</v>
      </c>
      <c r="IQ40" s="714">
        <v>500</v>
      </c>
      <c r="IR40" s="9">
        <f t="shared" si="139"/>
        <v>-4.3037129799983482</v>
      </c>
      <c r="IS40" s="5">
        <f t="shared" si="92"/>
        <v>-0.24705034774584861</v>
      </c>
      <c r="IT40" s="5">
        <f t="shared" si="93"/>
        <v>0.3125</v>
      </c>
      <c r="IU40" s="5">
        <f t="shared" si="94"/>
        <v>0.30113451988959949</v>
      </c>
      <c r="IV40" s="670">
        <f t="shared" si="95"/>
        <v>18.999997256739832</v>
      </c>
      <c r="IW40" s="9">
        <f t="shared" si="96"/>
        <v>-4.3088536342635777</v>
      </c>
      <c r="IX40" s="5">
        <f t="shared" si="97"/>
        <v>-0.24530169764305285</v>
      </c>
      <c r="IY40" s="5">
        <f t="shared" si="98"/>
        <v>0.255</v>
      </c>
      <c r="IZ40" s="5">
        <f t="shared" si="99"/>
        <v>0.255</v>
      </c>
      <c r="JA40" s="705">
        <f t="shared" si="100"/>
        <v>10.429998494094541</v>
      </c>
    </row>
    <row r="41" spans="1:269" ht="15" customHeight="1" x14ac:dyDescent="0.25">
      <c r="A41" s="75">
        <f t="shared" ref="A41:A104" si="256">IF($K41="","",IF(AND($A$8="Y",ISNUMBER($K41)),$A$5,0))</f>
        <v>0</v>
      </c>
      <c r="B41" s="578">
        <f t="shared" ref="B41:B54" si="257">IFERROR(Q196+($A41*-E41),"")</f>
        <v>4.842530950432602</v>
      </c>
      <c r="C41" s="572">
        <f t="shared" ref="C41:C54" si="258">IFERROR(R196+($A41*-F41),"")</f>
        <v>1.4016956123637319</v>
      </c>
      <c r="D41" s="576">
        <f t="shared" ref="D41:D54" si="259">IFERROR(S196+($A41*-G41),"")</f>
        <v>-0.47287371612878593</v>
      </c>
      <c r="E41" s="580">
        <f t="shared" ref="E41:E54" si="260">T196</f>
        <v>0.39375931127951097</v>
      </c>
      <c r="F41" s="572">
        <f t="shared" ref="F41:F54" si="261">U196</f>
        <v>0.11397566780622198</v>
      </c>
      <c r="G41" s="579">
        <f t="shared" ref="G41:G54" si="262">V196</f>
        <v>0.91212014117045503</v>
      </c>
      <c r="H41" s="580">
        <f t="shared" ref="H41:H54" si="263">W196</f>
        <v>0.255</v>
      </c>
      <c r="I41" s="572">
        <f t="shared" ref="I41:I54" si="264">X196</f>
        <v>0.41499999999999992</v>
      </c>
      <c r="J41" s="483">
        <f t="shared" ref="J41:J54" si="265">IF(Y196=0,"",Y196)</f>
        <v>2.2200000000000002</v>
      </c>
      <c r="K41" s="806" t="str">
        <f t="shared" ref="K41:K54" si="266">Z196</f>
        <v>CPS-32193r1</v>
      </c>
      <c r="L41" s="309"/>
      <c r="M41" s="164">
        <f t="shared" ref="M41:M72" si="267">IF(J41="","",VALUE(J41))</f>
        <v>2.2200000000000002</v>
      </c>
      <c r="N41" s="575">
        <f t="shared" ref="N41:N72" si="268">IF(M41="","",B41)</f>
        <v>4.842530950432602</v>
      </c>
      <c r="O41" s="572">
        <f t="shared" ref="O41:O72" si="269">IF(M41="","",C41)</f>
        <v>1.4016956123637319</v>
      </c>
      <c r="P41" s="576">
        <f t="shared" ref="P41:P72" si="270">IF(M41="","",D41)</f>
        <v>-0.47287371612878593</v>
      </c>
      <c r="Q41" s="528">
        <f t="shared" si="140"/>
        <v>16.143359927597704</v>
      </c>
      <c r="R41" s="572">
        <f t="shared" si="101"/>
        <v>5.0413149669126422</v>
      </c>
      <c r="S41" s="577">
        <f t="shared" si="102"/>
        <v>-0.47287371612878593</v>
      </c>
      <c r="T41" s="578">
        <f t="shared" si="103"/>
        <v>1.4016954792495382</v>
      </c>
      <c r="U41" s="572">
        <f t="shared" si="104"/>
        <v>-4.8425309889631913</v>
      </c>
      <c r="V41" s="579">
        <f t="shared" si="141"/>
        <v>-0.47287371612878593</v>
      </c>
      <c r="W41" s="528">
        <f t="shared" si="253"/>
        <v>286.14335835261937</v>
      </c>
      <c r="X41" s="572">
        <f t="shared" si="105"/>
        <v>5.0413149669126422</v>
      </c>
      <c r="Y41" s="573">
        <f t="shared" si="255"/>
        <v>-0.47287371612878593</v>
      </c>
      <c r="Z41" s="575">
        <f t="shared" ref="Z41:Z72" si="271">IF(M41="","",-E41)</f>
        <v>-0.39375931127951097</v>
      </c>
      <c r="AA41" s="572">
        <f t="shared" ref="AA41:AA72" si="272">IF(M41="","",-F41)</f>
        <v>-0.11397566780622198</v>
      </c>
      <c r="AB41" s="572">
        <f t="shared" ref="AB41:AB72" si="273">IF(M41="","",-G41)</f>
        <v>-0.91212014117045503</v>
      </c>
      <c r="AC41" s="579">
        <f t="shared" si="106"/>
        <v>1</v>
      </c>
      <c r="AD41" s="580">
        <f t="shared" si="142"/>
        <v>-0.39375931127951097</v>
      </c>
      <c r="AE41" s="572">
        <f t="shared" si="107"/>
        <v>-0.11397566780622198</v>
      </c>
      <c r="AF41" s="576">
        <f t="shared" si="108"/>
        <v>-0.91212014117045503</v>
      </c>
      <c r="AG41" s="545">
        <f t="shared" si="109"/>
        <v>-7.1225825623814387</v>
      </c>
      <c r="AH41" s="546">
        <f t="shared" si="110"/>
        <v>113.18861792508434</v>
      </c>
      <c r="AI41" s="528">
        <f t="shared" si="111"/>
        <v>-24.199996505952811</v>
      </c>
      <c r="AJ41" s="529">
        <f t="shared" si="112"/>
        <v>-73.856640072402314</v>
      </c>
      <c r="AK41" s="578">
        <f t="shared" si="238"/>
        <v>-1.8041124150158794E-16</v>
      </c>
      <c r="AL41" s="572">
        <f t="shared" si="113"/>
        <v>-0.40992297821809048</v>
      </c>
      <c r="AM41" s="577">
        <f t="shared" si="114"/>
        <v>-0.91212014117045503</v>
      </c>
      <c r="AN41" s="524">
        <f t="shared" si="115"/>
        <v>-24.199996505952807</v>
      </c>
      <c r="AO41" s="525">
        <f t="shared" si="116"/>
        <v>0</v>
      </c>
      <c r="AP41" s="528">
        <f t="shared" si="117"/>
        <v>-90.000000000000028</v>
      </c>
      <c r="AQ41" s="529">
        <f t="shared" ref="AQ41:AQ72" si="274">IF(M41="","",DEGREES(ATAN(($AS$5*SIN(RADIANS(90)))/(($X41*2*PI())-($AS$5*COS(RADIANS(90)))))))</f>
        <v>0.45219933933958201</v>
      </c>
      <c r="AS41" s="932">
        <f t="shared" si="143"/>
        <v>-73.856641647380627</v>
      </c>
      <c r="AT41" s="928">
        <f t="shared" ref="AT41:AT72" si="275">IF(M41="","",Y41+(((AS41-$AS$9)*$AS$6)*-1))</f>
        <v>-0.42158437114954594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>Nose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2.2200000000000002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2.12</v>
      </c>
      <c r="IK41" s="677" cm="1">
        <f t="array" ref="IK41">IFERROR(ROUND(VALUE(IF($IJ41&lt;1,$IJ41+LARGE((IF($M$9:$M$150="",0,$M$9:$M$150)-MOD(IF($M$9:$M$150="",0,$M$9:$M$150),1)),1),$IJ41)),4),"")</f>
        <v>2.12</v>
      </c>
      <c r="IL41" s="482">
        <f t="shared" ref="IL41:IL72" si="426">IF(ISNUMBER($IK41),INDEX($K$9:$K$150,MATCH($IK41,$M$9:$M$150,0)),$K41)</f>
        <v>1613</v>
      </c>
      <c r="IM41" s="482" t="str">
        <f t="shared" si="237"/>
        <v>CPS-32193r1</v>
      </c>
      <c r="IN41" s="670">
        <f t="shared" ref="IN41:IN72" si="427">IF(ISNUMBER($IK41),IFERROR(IF(INDEX($W$9:$W$150,MATCH($IK41,$M$9:$M$150,0))&lt;$W41,((INDEX($W$9:$W$150,MATCH($IK41,$M$9:$M$150,0))+360)-$W41),INDEX($W$9:$W$150,MATCH($IK41,$M$9:$M$150,0))-$W41),""),"")</f>
        <v>13.205896851717057</v>
      </c>
      <c r="IO41" s="702">
        <v>4.0309407842594E-2</v>
      </c>
      <c r="IP41" s="5">
        <f t="shared" ref="IP41:IP72" si="428">IF(ISNUMBER($IK41),(($IQ41*12)/60)/$AS$3,"")</f>
        <v>1.2</v>
      </c>
      <c r="IQ41" s="714">
        <v>600</v>
      </c>
      <c r="IR41" s="9">
        <f t="shared" ref="IR41:IR72" si="429">IF(ISNUMBER($IK41),(INDEX($X$9:$X$150,MATCH($IK41,$M$9:$M$150,0))*-1),"")</f>
        <v>-5.0339151822881893</v>
      </c>
      <c r="IS41" s="5">
        <f t="shared" ref="IS41:IS72" si="430">IF(ISNUMBER($IK41),INDEX($Y$9:$Y$150,MATCH($IK41,$M$9:$M$150,0)),"")</f>
        <v>-0.47305102936390481</v>
      </c>
      <c r="IT41" s="5">
        <f t="shared" ref="IT41:IT72" si="431">IF(ISNUMBER($IK41),INDEX($H$9:$H$150,MATCH($IK41,$M$9:$M$150,0)),"")</f>
        <v>0.3125</v>
      </c>
      <c r="IU41" s="5">
        <f t="shared" ref="IU41:IU72" si="432">IF(ISNUMBER($IK41),$IT41*COS(RADIANS(INDEX($AO$9:$AO$150,MATCH($IK41,$M$9:$M$150,0)))),"")</f>
        <v>0.29993915734487264</v>
      </c>
      <c r="IV41" s="670">
        <f t="shared" ref="IV41:IV72" si="433">IF(ISNUMBER($IK41),(-1*INDEX($AN$9:$AN$150,MATCH($IK41,$M$9:$M$150,0))),"")</f>
        <v>31.099995509716226</v>
      </c>
      <c r="IW41" s="9">
        <f t="shared" ref="IW41:IW72" si="434">IF(ISNUMBER($IK41),-$X41,"")</f>
        <v>-5.0413149669126422</v>
      </c>
      <c r="IX41" s="5">
        <f t="shared" ref="IX41:IX72" si="435">IF(ISNUMBER($IK41),$Y41,"")</f>
        <v>-0.47287371612878593</v>
      </c>
      <c r="IY41" s="5">
        <f t="shared" ref="IY41:IY72" si="436">IF(ISNUMBER($IK41),$H41,"")</f>
        <v>0.255</v>
      </c>
      <c r="IZ41" s="5">
        <f t="shared" ref="IZ41:IZ72" si="437">IF(ISNUMBER($IK41),$IY41*COS(RADIANS($AO41)),"")</f>
        <v>0.255</v>
      </c>
      <c r="JA41" s="705">
        <f t="shared" ref="JA41:JA72" si="438">IF(ISNUMBER($IK41),(-1*$AN41),"")</f>
        <v>24.199996505952807</v>
      </c>
    </row>
    <row r="42" spans="1:269" ht="15" customHeight="1" x14ac:dyDescent="0.25">
      <c r="A42" s="75">
        <f t="shared" si="256"/>
        <v>0</v>
      </c>
      <c r="B42" s="578">
        <f t="shared" si="257"/>
        <v>5.4416270474976196</v>
      </c>
      <c r="C42" s="572">
        <f t="shared" si="258"/>
        <v>1.6696567040360484</v>
      </c>
      <c r="D42" s="576">
        <f t="shared" si="259"/>
        <v>-0.86399919917821622</v>
      </c>
      <c r="E42" s="580">
        <f t="shared" si="260"/>
        <v>0.58620904150121578</v>
      </c>
      <c r="F42" s="572">
        <f t="shared" si="261"/>
        <v>0.17986676550337027</v>
      </c>
      <c r="G42" s="579">
        <f t="shared" si="262"/>
        <v>0.78994107775807021</v>
      </c>
      <c r="H42" s="580">
        <f t="shared" si="263"/>
        <v>0.255</v>
      </c>
      <c r="I42" s="572">
        <f t="shared" si="264"/>
        <v>0.41499999999999992</v>
      </c>
      <c r="J42" s="483">
        <f t="shared" si="265"/>
        <v>2.2229999999999999</v>
      </c>
      <c r="K42" s="806" t="str">
        <f t="shared" si="266"/>
        <v>CPS-32193r1</v>
      </c>
      <c r="L42" s="309"/>
      <c r="M42" s="164">
        <f t="shared" si="267"/>
        <v>2.2229999999999999</v>
      </c>
      <c r="N42" s="575">
        <f t="shared" si="268"/>
        <v>5.4416270474976196</v>
      </c>
      <c r="O42" s="572">
        <f t="shared" si="269"/>
        <v>1.6696567040360484</v>
      </c>
      <c r="P42" s="576">
        <f t="shared" si="270"/>
        <v>-0.86399919917821622</v>
      </c>
      <c r="Q42" s="528">
        <f t="shared" si="140"/>
        <v>17.057606359933647</v>
      </c>
      <c r="R42" s="572">
        <f t="shared" ref="R42:R47" si="439">IF(M42="","",SQRT(N42^2+O42^2))</f>
        <v>5.69201707950619</v>
      </c>
      <c r="S42" s="577">
        <f t="shared" ref="S42:S47" si="440">IF(M42="","",P42)</f>
        <v>-0.86399919917821622</v>
      </c>
      <c r="T42" s="578">
        <f t="shared" ref="T42:T47" si="441">IF(M42="","",X42*COS(RADIANS(W42)))</f>
        <v>1.6696565544535664</v>
      </c>
      <c r="U42" s="572">
        <f t="shared" ref="U42:U47" si="442">IF(M42="","",X42*SIN(RADIANS(W42)))</f>
        <v>-5.4416270933940725</v>
      </c>
      <c r="V42" s="579">
        <f t="shared" ref="V42:V47" si="443">IF(M42="","",Y42)</f>
        <v>-0.86399919917821622</v>
      </c>
      <c r="W42" s="528">
        <f t="shared" si="253"/>
        <v>287.05760478495529</v>
      </c>
      <c r="X42" s="572">
        <f t="shared" ref="X42:X47" si="444">IF(M42="","",R42)</f>
        <v>5.69201707950619</v>
      </c>
      <c r="Y42" s="573">
        <f t="shared" si="255"/>
        <v>-0.86399919917821622</v>
      </c>
      <c r="Z42" s="575">
        <f t="shared" si="271"/>
        <v>-0.58620904150121578</v>
      </c>
      <c r="AA42" s="572">
        <f t="shared" si="272"/>
        <v>-0.17986676550337027</v>
      </c>
      <c r="AB42" s="572">
        <f t="shared" si="273"/>
        <v>-0.78994107775807021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-0.58620904150121578</v>
      </c>
      <c r="AE42" s="572">
        <f t="shared" ref="AE42:AE47" si="447">IF(M42="","",AA42*(1/SQRT(Z42^2+AA42^2+AB42^2)))</f>
        <v>-0.17986676550337027</v>
      </c>
      <c r="AF42" s="576">
        <f t="shared" ref="AF42:AF47" si="448">IF(M42="","",AB42*(1/SQRT(Z42^2+AA42^2+AB42^2)))</f>
        <v>-0.78994107775807021</v>
      </c>
      <c r="AG42" s="545">
        <f t="shared" ref="AG42:AG47" si="449">IF(M42="","",DEGREES(ATAN2(-AF42,AE42)))</f>
        <v>-12.827348122909298</v>
      </c>
      <c r="AH42" s="546">
        <f t="shared" ref="AH42:AH47" si="450">IF(M42="","",DEGREES(ACOS(AD42)))</f>
        <v>125.88844924686673</v>
      </c>
      <c r="AI42" s="528">
        <f t="shared" ref="AI42:AI47" si="451">IF(M42="","",DEGREES(-ACOS(-AF42)))</f>
        <v>-37.819994539468397</v>
      </c>
      <c r="AJ42" s="529">
        <f t="shared" ref="AJ42:AJ47" si="452">IF(M42="","",DEGREES(ATAN2(-AE42,AD42)))</f>
        <v>-72.942393640066356</v>
      </c>
      <c r="AK42" s="578">
        <f t="shared" ref="AK42:AK47" si="453">IF(M42="","",(COS(RADIANS((90-$Q$8)-W42))*AD42)+(-SIN(RADIANS((90-$Q$8)-W42))*AE42))</f>
        <v>8.3266726846886741E-17</v>
      </c>
      <c r="AL42" s="572">
        <f t="shared" ref="AL42:AL47" si="454">IF(M42="","",(SIN(RADIANS((90-$Q$8)-W42))*AD42)+(COS(RADIANS((90-$Q$8)-W42))*AE42))</f>
        <v>-0.61318275715354109</v>
      </c>
      <c r="AM42" s="577">
        <f t="shared" ref="AM42:AM47" si="455">IF(M42="","",AF42)</f>
        <v>-0.78994107775807021</v>
      </c>
      <c r="AN42" s="524">
        <f t="shared" ref="AN42:AN47" si="456">IF(M42="","",DEGREES(ATAN2(-AM42,AL42)))</f>
        <v>-37.819994539468404</v>
      </c>
      <c r="AO42" s="525">
        <f t="shared" si="116"/>
        <v>0</v>
      </c>
      <c r="AP42" s="528">
        <f t="shared" ref="AP42:AP47" si="457">IF(M42="","",DEGREES(ATAN2(AK42,AL42)))</f>
        <v>-90</v>
      </c>
      <c r="AQ42" s="529">
        <f t="shared" si="274"/>
        <v>0.40050644070584845</v>
      </c>
      <c r="AS42" s="932">
        <f t="shared" si="143"/>
        <v>-72.942395215044712</v>
      </c>
      <c r="AT42" s="928">
        <f t="shared" si="275"/>
        <v>-0.81334474755476505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>Taper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2.2229999999999999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2.1230000000000002</v>
      </c>
      <c r="IK42" s="677" cm="1">
        <f t="array" ref="IK42">IFERROR(ROUND(VALUE(IF($IJ42&lt;1,$IJ42+LARGE((IF($M$9:$M$150="",0,$M$9:$M$150)-MOD(IF($M$9:$M$150="",0,$M$9:$M$150),1)),1),$IJ42)),4),"")</f>
        <v>2.1230000000000002</v>
      </c>
      <c r="IL42" s="482">
        <f t="shared" si="426"/>
        <v>1613</v>
      </c>
      <c r="IM42" s="482" t="str">
        <f t="shared" si="237"/>
        <v>CPS-32193r1</v>
      </c>
      <c r="IN42" s="670">
        <f t="shared" si="427"/>
        <v>11.674250508522675</v>
      </c>
      <c r="IO42" s="702">
        <v>3.8576627423437801E-2</v>
      </c>
      <c r="IP42" s="5">
        <f t="shared" si="428"/>
        <v>1.44</v>
      </c>
      <c r="IQ42" s="714">
        <v>720</v>
      </c>
      <c r="IR42" s="9">
        <f t="shared" si="429"/>
        <v>-5.6833171408844958</v>
      </c>
      <c r="IS42" s="5">
        <f t="shared" si="430"/>
        <v>-0.86155220108343866</v>
      </c>
      <c r="IT42" s="5">
        <f t="shared" si="431"/>
        <v>0.3125</v>
      </c>
      <c r="IU42" s="5">
        <f t="shared" si="432"/>
        <v>0.29868532108400936</v>
      </c>
      <c r="IV42" s="670">
        <f t="shared" si="433"/>
        <v>42.799993820445501</v>
      </c>
      <c r="IW42" s="9">
        <f t="shared" si="434"/>
        <v>-5.69201707950619</v>
      </c>
      <c r="IX42" s="5">
        <f t="shared" si="435"/>
        <v>-0.86399919917821622</v>
      </c>
      <c r="IY42" s="5">
        <f t="shared" si="436"/>
        <v>0.255</v>
      </c>
      <c r="IZ42" s="5">
        <f t="shared" si="437"/>
        <v>0.255</v>
      </c>
      <c r="JA42" s="705">
        <f t="shared" si="438"/>
        <v>37.819994539468404</v>
      </c>
    </row>
    <row r="43" spans="1:269" ht="15" customHeight="1" x14ac:dyDescent="0.25">
      <c r="A43" s="75">
        <f t="shared" si="256"/>
        <v>0</v>
      </c>
      <c r="B43" s="578">
        <f t="shared" si="257"/>
        <v>5.9430233028503148</v>
      </c>
      <c r="C43" s="572">
        <f t="shared" si="258"/>
        <v>1.8716214370620805</v>
      </c>
      <c r="D43" s="576">
        <f t="shared" si="259"/>
        <v>-1.3987440022714184</v>
      </c>
      <c r="E43" s="580">
        <f t="shared" si="260"/>
        <v>0.74594758852630061</v>
      </c>
      <c r="F43" s="572">
        <f t="shared" si="261"/>
        <v>0.23491940489969029</v>
      </c>
      <c r="G43" s="579">
        <f t="shared" si="262"/>
        <v>0.62319745536496896</v>
      </c>
      <c r="H43" s="580">
        <f t="shared" si="263"/>
        <v>0.255</v>
      </c>
      <c r="I43" s="572">
        <f t="shared" si="264"/>
        <v>0.41499999999999992</v>
      </c>
      <c r="J43" s="483">
        <f t="shared" si="265"/>
        <v>2.226</v>
      </c>
      <c r="K43" s="806" t="str">
        <f t="shared" si="266"/>
        <v>CPS-32193r1</v>
      </c>
      <c r="L43" s="309"/>
      <c r="M43" s="164">
        <f t="shared" si="267"/>
        <v>2.226</v>
      </c>
      <c r="N43" s="575">
        <f t="shared" si="268"/>
        <v>5.9430233028503148</v>
      </c>
      <c r="O43" s="572">
        <f t="shared" si="269"/>
        <v>1.8716214370620805</v>
      </c>
      <c r="P43" s="576">
        <f t="shared" si="270"/>
        <v>-1.3987440022714184</v>
      </c>
      <c r="Q43" s="528">
        <f t="shared" si="140"/>
        <v>17.480647970016523</v>
      </c>
      <c r="R43" s="572">
        <f t="shared" si="439"/>
        <v>6.2307698386228481</v>
      </c>
      <c r="S43" s="577">
        <f t="shared" si="440"/>
        <v>-1.3987440022714184</v>
      </c>
      <c r="T43" s="578">
        <f t="shared" si="441"/>
        <v>1.8716212736969433</v>
      </c>
      <c r="U43" s="572">
        <f t="shared" si="442"/>
        <v>-5.9430233542984849</v>
      </c>
      <c r="V43" s="579">
        <f t="shared" si="443"/>
        <v>-1.3987440022714184</v>
      </c>
      <c r="W43" s="528">
        <f t="shared" si="253"/>
        <v>287.48064639503821</v>
      </c>
      <c r="X43" s="572">
        <f t="shared" si="444"/>
        <v>6.2307698386228481</v>
      </c>
      <c r="Y43" s="573">
        <f t="shared" si="255"/>
        <v>-1.3987440022714184</v>
      </c>
      <c r="Z43" s="575">
        <f t="shared" si="271"/>
        <v>-0.74594758852630061</v>
      </c>
      <c r="AA43" s="572">
        <f t="shared" si="272"/>
        <v>-0.23491940489969029</v>
      </c>
      <c r="AB43" s="572">
        <f t="shared" si="273"/>
        <v>-0.62319745536496896</v>
      </c>
      <c r="AC43" s="579">
        <f t="shared" si="445"/>
        <v>1</v>
      </c>
      <c r="AD43" s="580">
        <f t="shared" si="446"/>
        <v>-0.74594758852630061</v>
      </c>
      <c r="AE43" s="572">
        <f t="shared" si="447"/>
        <v>-0.23491940489969029</v>
      </c>
      <c r="AF43" s="576">
        <f t="shared" si="448"/>
        <v>-0.62319745536496896</v>
      </c>
      <c r="AG43" s="545">
        <f t="shared" si="449"/>
        <v>-20.654347093715234</v>
      </c>
      <c r="AH43" s="546">
        <f t="shared" si="450"/>
        <v>138.24055429126176</v>
      </c>
      <c r="AI43" s="528">
        <f t="shared" si="451"/>
        <v>-51.449992571540143</v>
      </c>
      <c r="AJ43" s="529">
        <f t="shared" si="452"/>
        <v>-72.51935202998348</v>
      </c>
      <c r="AK43" s="578">
        <f t="shared" si="453"/>
        <v>-7.2164496600635175E-16</v>
      </c>
      <c r="AL43" s="572">
        <f t="shared" si="454"/>
        <v>-0.7820645316255096</v>
      </c>
      <c r="AM43" s="577">
        <f t="shared" si="455"/>
        <v>-0.62319745536496896</v>
      </c>
      <c r="AN43" s="524">
        <f t="shared" si="456"/>
        <v>-51.44999257154015</v>
      </c>
      <c r="AO43" s="525">
        <f t="shared" si="116"/>
        <v>0</v>
      </c>
      <c r="AP43" s="528">
        <f t="shared" si="457"/>
        <v>-90.000000000000057</v>
      </c>
      <c r="AQ43" s="529">
        <f t="shared" si="274"/>
        <v>0.36587704303161517</v>
      </c>
      <c r="AS43" s="932">
        <f t="shared" ref="AS43:AS74" si="461">IF(G43="","",IF(AND(W43&lt;(AS42+180),W43&gt;(AS42-180)),W43,IF(W43&gt;(AS42+180),W43-360,IF(W43&lt;(AS42-180),W43+360,"Error"))))</f>
        <v>-72.519353604961793</v>
      </c>
      <c r="AT43" s="928">
        <f t="shared" si="275"/>
        <v>-1.3483833295438581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2.226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2.1259999999999999</v>
      </c>
      <c r="IK43" s="677" cm="1">
        <f t="array" ref="IK43">IFERROR(ROUND(VALUE(IF($IJ43&lt;1,$IJ43+LARGE((IF($M$9:$M$150="",0,$M$9:$M$150)-MOD(IF($M$9:$M$150="",0,$M$9:$M$150),1)),1),$IJ43)),4),"")</f>
        <v>2.1259999999999999</v>
      </c>
      <c r="IL43" s="482">
        <f t="shared" si="426"/>
        <v>1613</v>
      </c>
      <c r="IM43" s="482" t="str">
        <f t="shared" si="237"/>
        <v>CPS-32193r1</v>
      </c>
      <c r="IN43" s="670">
        <f t="shared" si="427"/>
        <v>10.644008986108588</v>
      </c>
      <c r="IO43" s="702">
        <v>3.7757397872139102E-2</v>
      </c>
      <c r="IP43" s="5">
        <f t="shared" si="428"/>
        <v>1.76</v>
      </c>
      <c r="IQ43" s="714">
        <v>880</v>
      </c>
      <c r="IR43" s="9">
        <f t="shared" si="429"/>
        <v>-6.226118777974234</v>
      </c>
      <c r="IS43" s="5">
        <f t="shared" si="430"/>
        <v>-1.3900537950442455</v>
      </c>
      <c r="IT43" s="5">
        <f t="shared" si="431"/>
        <v>0.3125</v>
      </c>
      <c r="IU43" s="5">
        <f t="shared" si="432"/>
        <v>0.29271006479365708</v>
      </c>
      <c r="IV43" s="670">
        <f t="shared" si="433"/>
        <v>54.599992116736487</v>
      </c>
      <c r="IW43" s="9">
        <f t="shared" si="434"/>
        <v>-6.2307698386228481</v>
      </c>
      <c r="IX43" s="5">
        <f t="shared" si="435"/>
        <v>-1.3987440022714184</v>
      </c>
      <c r="IY43" s="5">
        <f t="shared" si="436"/>
        <v>0.255</v>
      </c>
      <c r="IZ43" s="5">
        <f t="shared" si="437"/>
        <v>0.255</v>
      </c>
      <c r="JA43" s="705">
        <f t="shared" si="438"/>
        <v>51.44999257154015</v>
      </c>
    </row>
    <row r="44" spans="1:269" ht="15" customHeight="1" x14ac:dyDescent="0.25">
      <c r="A44" s="75">
        <f t="shared" si="256"/>
        <v>0</v>
      </c>
      <c r="B44" s="578">
        <f t="shared" si="257"/>
        <v>6.3172515489096313</v>
      </c>
      <c r="C44" s="572">
        <f t="shared" si="258"/>
        <v>2.0091547219710999</v>
      </c>
      <c r="D44" s="576">
        <f t="shared" si="259"/>
        <v>-2.0414908281277029</v>
      </c>
      <c r="E44" s="580">
        <f t="shared" si="260"/>
        <v>0.86374901645685143</v>
      </c>
      <c r="F44" s="572">
        <f t="shared" si="261"/>
        <v>0.27470893023275444</v>
      </c>
      <c r="G44" s="579">
        <f t="shared" si="262"/>
        <v>0.42246022324024485</v>
      </c>
      <c r="H44" s="580">
        <f t="shared" si="263"/>
        <v>0.255</v>
      </c>
      <c r="I44" s="572">
        <f t="shared" si="264"/>
        <v>0.41499999999999992</v>
      </c>
      <c r="J44" s="483">
        <f t="shared" si="265"/>
        <v>2.2290000000000001</v>
      </c>
      <c r="K44" s="806" t="str">
        <f t="shared" si="266"/>
        <v>CPS-32193r1</v>
      </c>
      <c r="L44" s="309"/>
      <c r="M44" s="164">
        <f t="shared" si="267"/>
        <v>2.2290000000000001</v>
      </c>
      <c r="N44" s="575">
        <f t="shared" si="268"/>
        <v>6.3172515489096313</v>
      </c>
      <c r="O44" s="572">
        <f t="shared" si="269"/>
        <v>2.0091547219710999</v>
      </c>
      <c r="P44" s="576">
        <f t="shared" si="270"/>
        <v>-2.0414908281277029</v>
      </c>
      <c r="Q44" s="528">
        <f t="shared" si="140"/>
        <v>17.642877448911651</v>
      </c>
      <c r="R44" s="572">
        <f t="shared" si="439"/>
        <v>6.6290549725447221</v>
      </c>
      <c r="S44" s="577">
        <f t="shared" si="440"/>
        <v>-2.0414908281277029</v>
      </c>
      <c r="T44" s="578">
        <f t="shared" si="441"/>
        <v>2.0091545483189619</v>
      </c>
      <c r="U44" s="572">
        <f t="shared" si="442"/>
        <v>-6.3172516041383959</v>
      </c>
      <c r="V44" s="579">
        <f t="shared" si="443"/>
        <v>-2.0414908281277029</v>
      </c>
      <c r="W44" s="528">
        <f t="shared" si="253"/>
        <v>287.64287587393329</v>
      </c>
      <c r="X44" s="572">
        <f t="shared" si="444"/>
        <v>6.6290549725447221</v>
      </c>
      <c r="Y44" s="573">
        <f t="shared" si="255"/>
        <v>-2.0414908281277029</v>
      </c>
      <c r="Z44" s="575">
        <f t="shared" si="271"/>
        <v>-0.86374901645685143</v>
      </c>
      <c r="AA44" s="572">
        <f t="shared" si="272"/>
        <v>-0.27470893023275444</v>
      </c>
      <c r="AB44" s="572">
        <f t="shared" si="273"/>
        <v>-0.42246022324024485</v>
      </c>
      <c r="AC44" s="579">
        <f t="shared" si="445"/>
        <v>1</v>
      </c>
      <c r="AD44" s="580">
        <f t="shared" si="446"/>
        <v>-0.86374901645685143</v>
      </c>
      <c r="AE44" s="572">
        <f t="shared" si="447"/>
        <v>-0.27470893023275444</v>
      </c>
      <c r="AF44" s="576">
        <f t="shared" si="448"/>
        <v>-0.42246022324024485</v>
      </c>
      <c r="AG44" s="545">
        <f t="shared" si="449"/>
        <v>-33.034333453070367</v>
      </c>
      <c r="AH44" s="546">
        <f t="shared" si="450"/>
        <v>149.74016481345831</v>
      </c>
      <c r="AI44" s="528">
        <f t="shared" si="451"/>
        <v>-65.009990613718671</v>
      </c>
      <c r="AJ44" s="529">
        <f t="shared" si="452"/>
        <v>-72.357122551088352</v>
      </c>
      <c r="AK44" s="578">
        <f t="shared" si="453"/>
        <v>5.5511151231257827E-17</v>
      </c>
      <c r="AL44" s="572">
        <f t="shared" si="454"/>
        <v>-0.90638146482582183</v>
      </c>
      <c r="AM44" s="577">
        <f t="shared" si="455"/>
        <v>-0.42246022324024485</v>
      </c>
      <c r="AN44" s="524">
        <f t="shared" si="456"/>
        <v>-65.009990613718685</v>
      </c>
      <c r="AO44" s="525">
        <f t="shared" si="116"/>
        <v>0</v>
      </c>
      <c r="AP44" s="528">
        <f t="shared" si="457"/>
        <v>-90</v>
      </c>
      <c r="AQ44" s="529">
        <f t="shared" si="274"/>
        <v>0.34389505977038165</v>
      </c>
      <c r="AS44" s="932">
        <f t="shared" si="461"/>
        <v>-72.357124126066708</v>
      </c>
      <c r="AT44" s="928">
        <f t="shared" si="275"/>
        <v>-1.9912428147604866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>Taper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2.2290000000000001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2.129</v>
      </c>
      <c r="IK44" s="677" cm="1">
        <f t="array" ref="IK44">IFERROR(ROUND(VALUE(IF($IJ44&lt;1,$IJ44+LARGE((IF($M$9:$M$150="",0,$M$9:$M$150)-MOD(IF($M$9:$M$150="",0,$M$9:$M$150),1)),1),$IJ44)),4),"")</f>
        <v>2.129</v>
      </c>
      <c r="IL44" s="482">
        <f t="shared" si="426"/>
        <v>1613</v>
      </c>
      <c r="IM44" s="482" t="str">
        <f t="shared" si="237"/>
        <v>CPS-32193r1</v>
      </c>
      <c r="IN44" s="670">
        <f t="shared" si="427"/>
        <v>9.9871795786248754</v>
      </c>
      <c r="IO44" s="702">
        <v>3.6698337391595698E-2</v>
      </c>
      <c r="IP44" s="5">
        <f t="shared" si="428"/>
        <v>2.14</v>
      </c>
      <c r="IQ44" s="714">
        <v>1070</v>
      </c>
      <c r="IR44" s="9">
        <f t="shared" si="429"/>
        <v>-6.6310199991563152</v>
      </c>
      <c r="IS44" s="5">
        <f t="shared" si="430"/>
        <v>-2.0283557201628524</v>
      </c>
      <c r="IT44" s="5">
        <f t="shared" si="431"/>
        <v>0.3125</v>
      </c>
      <c r="IU44" s="5">
        <f t="shared" si="432"/>
        <v>0.28592490376634727</v>
      </c>
      <c r="IV44" s="670">
        <f t="shared" si="433"/>
        <v>66.299990427465758</v>
      </c>
      <c r="IW44" s="9">
        <f t="shared" si="434"/>
        <v>-6.6290549725447221</v>
      </c>
      <c r="IX44" s="5">
        <f t="shared" si="435"/>
        <v>-2.0414908281277029</v>
      </c>
      <c r="IY44" s="5">
        <f t="shared" si="436"/>
        <v>0.255</v>
      </c>
      <c r="IZ44" s="5">
        <f t="shared" si="437"/>
        <v>0.255</v>
      </c>
      <c r="JA44" s="705">
        <f t="shared" si="438"/>
        <v>65.009990613718685</v>
      </c>
    </row>
    <row r="45" spans="1:269" ht="15" customHeight="1" x14ac:dyDescent="0.25">
      <c r="A45" s="75">
        <f t="shared" si="256"/>
        <v>0</v>
      </c>
      <c r="B45" s="578">
        <f t="shared" si="257"/>
        <v>6.5415939022140721</v>
      </c>
      <c r="C45" s="572">
        <f t="shared" si="258"/>
        <v>2.0862083033712802</v>
      </c>
      <c r="D45" s="576">
        <f t="shared" si="259"/>
        <v>-2.7471108288522483</v>
      </c>
      <c r="E45" s="580">
        <f t="shared" si="260"/>
        <v>0.92246057953041327</v>
      </c>
      <c r="F45" s="572">
        <f t="shared" si="261"/>
        <v>0.29418593531122139</v>
      </c>
      <c r="G45" s="579">
        <f t="shared" si="262"/>
        <v>0.25004222578891749</v>
      </c>
      <c r="H45" s="580">
        <f t="shared" si="263"/>
        <v>0.255</v>
      </c>
      <c r="I45" s="572">
        <f t="shared" si="264"/>
        <v>0.41499999999999992</v>
      </c>
      <c r="J45" s="483">
        <f t="shared" si="265"/>
        <v>2.2320000000000002</v>
      </c>
      <c r="K45" s="806" t="str">
        <f t="shared" si="266"/>
        <v>CPS-32193r1</v>
      </c>
      <c r="L45" s="309"/>
      <c r="M45" s="164">
        <f t="shared" si="267"/>
        <v>2.2320000000000002</v>
      </c>
      <c r="N45" s="575">
        <f t="shared" si="268"/>
        <v>6.5415939022140721</v>
      </c>
      <c r="O45" s="572">
        <f t="shared" si="269"/>
        <v>2.0862083033712802</v>
      </c>
      <c r="P45" s="576">
        <f t="shared" si="270"/>
        <v>-2.7471108288522483</v>
      </c>
      <c r="Q45" s="528">
        <f t="shared" si="140"/>
        <v>17.688229717404301</v>
      </c>
      <c r="R45" s="572">
        <f t="shared" si="439"/>
        <v>6.8662009777270292</v>
      </c>
      <c r="S45" s="577">
        <f t="shared" si="440"/>
        <v>-2.7471108288522483</v>
      </c>
      <c r="T45" s="578">
        <f t="shared" si="441"/>
        <v>2.0862081235522938</v>
      </c>
      <c r="U45" s="572">
        <f t="shared" si="442"/>
        <v>-6.5415939595609292</v>
      </c>
      <c r="V45" s="579">
        <f t="shared" si="443"/>
        <v>-2.7471108288522483</v>
      </c>
      <c r="W45" s="528">
        <f t="shared" si="253"/>
        <v>287.68822814242594</v>
      </c>
      <c r="X45" s="572">
        <f t="shared" si="444"/>
        <v>6.8662009777270292</v>
      </c>
      <c r="Y45" s="573">
        <f t="shared" si="255"/>
        <v>-2.7471108288522483</v>
      </c>
      <c r="Z45" s="575">
        <f t="shared" si="271"/>
        <v>-0.92246057953041327</v>
      </c>
      <c r="AA45" s="572">
        <f t="shared" si="272"/>
        <v>-0.29418593531122139</v>
      </c>
      <c r="AB45" s="572">
        <f t="shared" si="273"/>
        <v>-0.25004222578891749</v>
      </c>
      <c r="AC45" s="579">
        <f t="shared" si="445"/>
        <v>1</v>
      </c>
      <c r="AD45" s="580">
        <f t="shared" si="446"/>
        <v>-0.92246057953041327</v>
      </c>
      <c r="AE45" s="572">
        <f t="shared" si="447"/>
        <v>-0.29418593531122139</v>
      </c>
      <c r="AF45" s="576">
        <f t="shared" si="448"/>
        <v>-0.25004222578891749</v>
      </c>
      <c r="AG45" s="545">
        <f t="shared" si="449"/>
        <v>-49.637252129923176</v>
      </c>
      <c r="AH45" s="546">
        <f t="shared" si="450"/>
        <v>157.2884948005466</v>
      </c>
      <c r="AI45" s="528">
        <f t="shared" si="451"/>
        <v>-75.519989096262663</v>
      </c>
      <c r="AJ45" s="529">
        <f t="shared" si="452"/>
        <v>-72.311770282595731</v>
      </c>
      <c r="AK45" s="578">
        <f t="shared" si="453"/>
        <v>-1.1102230246251565E-16</v>
      </c>
      <c r="AL45" s="572">
        <f t="shared" si="454"/>
        <v>-0.96823493291789675</v>
      </c>
      <c r="AM45" s="577">
        <f t="shared" si="455"/>
        <v>-0.25004222578891749</v>
      </c>
      <c r="AN45" s="524">
        <f t="shared" si="456"/>
        <v>-75.519989096262663</v>
      </c>
      <c r="AO45" s="525">
        <f t="shared" si="116"/>
        <v>0</v>
      </c>
      <c r="AP45" s="528">
        <f t="shared" si="457"/>
        <v>-90</v>
      </c>
      <c r="AQ45" s="529">
        <f t="shared" si="274"/>
        <v>0.33201782495674798</v>
      </c>
      <c r="AS45" s="932">
        <f t="shared" si="461"/>
        <v>-72.311771857574058</v>
      </c>
      <c r="AT45" s="928">
        <f t="shared" si="275"/>
        <v>-2.6968943101159297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2.2320000000000002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2.1320000000000001</v>
      </c>
      <c r="IK45" s="677" cm="1">
        <f t="array" ref="IK45">IFERROR(ROUND(VALUE(IF($IJ45&lt;1,$IJ45+LARGE((IF($M$9:$M$150="",0,$M$9:$M$150)-MOD(IF($M$9:$M$150="",0,$M$9:$M$150),1)),1),$IJ45)),4),"")</f>
        <v>2.1320000000000001</v>
      </c>
      <c r="IL45" s="482">
        <f t="shared" si="426"/>
        <v>1613</v>
      </c>
      <c r="IM45" s="482" t="str">
        <f t="shared" si="237"/>
        <v>CPS-32193r1</v>
      </c>
      <c r="IN45" s="670">
        <f t="shared" si="427"/>
        <v>9.629427355237226</v>
      </c>
      <c r="IO45" s="702">
        <v>3.5605153804364E-2</v>
      </c>
      <c r="IP45" s="5">
        <f t="shared" si="428"/>
        <v>2.5</v>
      </c>
      <c r="IQ45" s="714">
        <v>1250</v>
      </c>
      <c r="IR45" s="9">
        <f t="shared" si="429"/>
        <v>-6.8749207347609369</v>
      </c>
      <c r="IS45" s="5">
        <f t="shared" si="430"/>
        <v>-2.7324578437348568</v>
      </c>
      <c r="IT45" s="5">
        <f t="shared" si="431"/>
        <v>0.3125</v>
      </c>
      <c r="IU45" s="5">
        <f t="shared" si="432"/>
        <v>0.27990993431857325</v>
      </c>
      <c r="IV45" s="670">
        <f t="shared" si="433"/>
        <v>76.099989012521036</v>
      </c>
      <c r="IW45" s="9">
        <f t="shared" si="434"/>
        <v>-6.8662009777270292</v>
      </c>
      <c r="IX45" s="5">
        <f t="shared" si="435"/>
        <v>-2.7471108288522483</v>
      </c>
      <c r="IY45" s="5">
        <f t="shared" si="436"/>
        <v>0.255</v>
      </c>
      <c r="IZ45" s="5">
        <f t="shared" si="437"/>
        <v>0.255</v>
      </c>
      <c r="JA45" s="705">
        <f t="shared" si="438"/>
        <v>75.519989096262663</v>
      </c>
    </row>
    <row r="46" spans="1:269" ht="15" customHeight="1" x14ac:dyDescent="0.25">
      <c r="A46" s="75">
        <f t="shared" si="256"/>
        <v>0</v>
      </c>
      <c r="B46" s="578">
        <f t="shared" si="257"/>
        <v>6.6843969955560532</v>
      </c>
      <c r="C46" s="572">
        <f t="shared" si="258"/>
        <v>2.1331331126368447</v>
      </c>
      <c r="D46" s="576">
        <f t="shared" si="259"/>
        <v>-3.4757396484307188</v>
      </c>
      <c r="E46" s="580">
        <f t="shared" si="260"/>
        <v>0.94129925076742893</v>
      </c>
      <c r="F46" s="572">
        <f t="shared" si="261"/>
        <v>0.30038859182768013</v>
      </c>
      <c r="G46" s="579">
        <f t="shared" si="262"/>
        <v>0.15402082458051078</v>
      </c>
      <c r="H46" s="580">
        <f t="shared" si="263"/>
        <v>0.255</v>
      </c>
      <c r="I46" s="572">
        <f t="shared" si="264"/>
        <v>0.41499999999999992</v>
      </c>
      <c r="J46" s="483">
        <f t="shared" si="265"/>
        <v>2.2349999999999999</v>
      </c>
      <c r="K46" s="806" t="str">
        <f t="shared" si="266"/>
        <v>CPS-32193r1</v>
      </c>
      <c r="L46" s="309"/>
      <c r="M46" s="164">
        <f t="shared" si="267"/>
        <v>2.2349999999999999</v>
      </c>
      <c r="N46" s="575">
        <f t="shared" si="268"/>
        <v>6.6843969955560532</v>
      </c>
      <c r="O46" s="572">
        <f t="shared" si="269"/>
        <v>2.1331331126368447</v>
      </c>
      <c r="P46" s="576">
        <f t="shared" si="270"/>
        <v>-3.4757396484307188</v>
      </c>
      <c r="Q46" s="528">
        <f t="shared" si="140"/>
        <v>17.698988020749187</v>
      </c>
      <c r="R46" s="572">
        <f t="shared" si="439"/>
        <v>7.0165105337643832</v>
      </c>
      <c r="S46" s="577">
        <f t="shared" si="440"/>
        <v>-3.4757396484307188</v>
      </c>
      <c r="T46" s="578">
        <f t="shared" si="441"/>
        <v>2.1331329288924108</v>
      </c>
      <c r="U46" s="572">
        <f t="shared" si="442"/>
        <v>-6.6843970541928037</v>
      </c>
      <c r="V46" s="579">
        <f t="shared" si="443"/>
        <v>-3.4757396484307188</v>
      </c>
      <c r="W46" s="528">
        <f t="shared" si="253"/>
        <v>287.69898644577086</v>
      </c>
      <c r="X46" s="572">
        <f t="shared" si="444"/>
        <v>7.0165105337643832</v>
      </c>
      <c r="Y46" s="573">
        <f t="shared" si="255"/>
        <v>-3.4757396484307188</v>
      </c>
      <c r="Z46" s="575">
        <f t="shared" si="271"/>
        <v>-0.94129925076742893</v>
      </c>
      <c r="AA46" s="572">
        <f t="shared" si="272"/>
        <v>-0.30038859182768013</v>
      </c>
      <c r="AB46" s="572">
        <f t="shared" si="273"/>
        <v>-0.15402082458051078</v>
      </c>
      <c r="AC46" s="579">
        <f t="shared" si="445"/>
        <v>1</v>
      </c>
      <c r="AD46" s="580">
        <f t="shared" si="446"/>
        <v>-0.94129925076742893</v>
      </c>
      <c r="AE46" s="572">
        <f t="shared" si="447"/>
        <v>-0.30038859182768013</v>
      </c>
      <c r="AF46" s="576">
        <f t="shared" si="448"/>
        <v>-0.15402082458051078</v>
      </c>
      <c r="AG46" s="545">
        <f t="shared" si="449"/>
        <v>-62.854034650300989</v>
      </c>
      <c r="AH46" s="546">
        <f t="shared" si="450"/>
        <v>160.27090593375107</v>
      </c>
      <c r="AI46" s="528">
        <f t="shared" si="451"/>
        <v>-81.139988284835155</v>
      </c>
      <c r="AJ46" s="529">
        <f t="shared" si="452"/>
        <v>-72.301011979250788</v>
      </c>
      <c r="AK46" s="578">
        <f t="shared" si="453"/>
        <v>1.6653345369377348E-16</v>
      </c>
      <c r="AL46" s="572">
        <f t="shared" si="454"/>
        <v>-0.98806760173357555</v>
      </c>
      <c r="AM46" s="577">
        <f t="shared" si="455"/>
        <v>-0.15402082458051078</v>
      </c>
      <c r="AN46" s="524">
        <f t="shared" si="456"/>
        <v>-81.139988284835155</v>
      </c>
      <c r="AO46" s="525">
        <f t="shared" si="116"/>
        <v>0</v>
      </c>
      <c r="AP46" s="528">
        <f t="shared" si="457"/>
        <v>-90</v>
      </c>
      <c r="AQ46" s="529">
        <f t="shared" si="274"/>
        <v>0.32490540489171821</v>
      </c>
      <c r="AS46" s="932">
        <f t="shared" si="461"/>
        <v>-72.301013554229144</v>
      </c>
      <c r="AT46" s="928">
        <f t="shared" si="275"/>
        <v>-3.4255306007383894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2.2349999999999999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2.1349999999999998</v>
      </c>
      <c r="IK46" s="677" cm="1">
        <f t="array" ref="IK46">IFERROR(ROUND(VALUE(IF($IJ46&lt;1,$IJ46+LARGE((IF($M$9:$M$150="",0,$M$9:$M$150)-MOD(IF($M$9:$M$150="",0,$M$9:$M$150),1)),1),$IJ46)),4),"")</f>
        <v>2.1349999999999998</v>
      </c>
      <c r="IL46" s="482">
        <f t="shared" si="426"/>
        <v>1613</v>
      </c>
      <c r="IM46" s="482" t="str">
        <f t="shared" si="237"/>
        <v>CPS-32193r1</v>
      </c>
      <c r="IN46" s="670">
        <f t="shared" si="427"/>
        <v>9.4109690818804665</v>
      </c>
      <c r="IO46" s="702">
        <v>3.53032578692664E-2</v>
      </c>
      <c r="IP46" s="5">
        <f t="shared" si="428"/>
        <v>2.78</v>
      </c>
      <c r="IQ46" s="714">
        <v>1390</v>
      </c>
      <c r="IR46" s="9">
        <f t="shared" si="429"/>
        <v>-7.0330212115919748</v>
      </c>
      <c r="IS46" s="5">
        <f t="shared" si="430"/>
        <v>-3.4607600402942826</v>
      </c>
      <c r="IT46" s="5">
        <f t="shared" si="431"/>
        <v>0.3125</v>
      </c>
      <c r="IU46" s="5">
        <f t="shared" si="432"/>
        <v>0.27305383084331453</v>
      </c>
      <c r="IV46" s="670">
        <f t="shared" si="433"/>
        <v>81.999988160666504</v>
      </c>
      <c r="IW46" s="9">
        <f t="shared" si="434"/>
        <v>-7.0165105337643832</v>
      </c>
      <c r="IX46" s="5">
        <f t="shared" si="435"/>
        <v>-3.4757396484307188</v>
      </c>
      <c r="IY46" s="5">
        <f t="shared" si="436"/>
        <v>0.255</v>
      </c>
      <c r="IZ46" s="5">
        <f t="shared" si="437"/>
        <v>0.255</v>
      </c>
      <c r="JA46" s="705">
        <f t="shared" si="438"/>
        <v>81.139988284835155</v>
      </c>
    </row>
    <row r="47" spans="1:269" ht="15" customHeight="1" x14ac:dyDescent="0.25">
      <c r="A47" s="75">
        <f t="shared" si="256"/>
        <v>0</v>
      </c>
      <c r="B47" s="578">
        <f t="shared" si="257"/>
        <v>0.75758474595749103</v>
      </c>
      <c r="C47" s="572">
        <f t="shared" si="258"/>
        <v>-0.35326813816670943</v>
      </c>
      <c r="D47" s="576">
        <f t="shared" si="259"/>
        <v>-0.81495245789661286</v>
      </c>
      <c r="E47" s="580">
        <f t="shared" si="260"/>
        <v>0.38404787819956893</v>
      </c>
      <c r="F47" s="572">
        <f t="shared" si="261"/>
        <v>0.8732257866138784</v>
      </c>
      <c r="G47" s="579">
        <f t="shared" si="262"/>
        <v>0.29997325354601617</v>
      </c>
      <c r="H47" s="580">
        <f t="shared" si="263"/>
        <v>0.3125</v>
      </c>
      <c r="I47" s="572">
        <f t="shared" si="264"/>
        <v>0.52</v>
      </c>
      <c r="J47" s="483">
        <f t="shared" si="265"/>
        <v>3.1030000000000002</v>
      </c>
      <c r="K47" s="806">
        <f t="shared" si="266"/>
        <v>1613</v>
      </c>
      <c r="L47" s="309"/>
      <c r="M47" s="164">
        <f t="shared" si="267"/>
        <v>3.1030000000000002</v>
      </c>
      <c r="N47" s="575">
        <f t="shared" si="268"/>
        <v>0.75758474595749103</v>
      </c>
      <c r="O47" s="572">
        <f t="shared" si="269"/>
        <v>-0.35326813816670943</v>
      </c>
      <c r="P47" s="576">
        <f t="shared" si="270"/>
        <v>-0.81495245789661286</v>
      </c>
      <c r="Q47" s="528">
        <f t="shared" si="140"/>
        <v>334.99996462638171</v>
      </c>
      <c r="R47" s="572">
        <f t="shared" si="439"/>
        <v>0.83590252108200369</v>
      </c>
      <c r="S47" s="577">
        <f t="shared" si="440"/>
        <v>-0.81495245789661286</v>
      </c>
      <c r="T47" s="578">
        <f t="shared" si="441"/>
        <v>-0.35326815899162145</v>
      </c>
      <c r="U47" s="572">
        <f t="shared" si="442"/>
        <v>-0.75758473624665912</v>
      </c>
      <c r="V47" s="579">
        <f t="shared" si="443"/>
        <v>-0.81495245789661286</v>
      </c>
      <c r="W47" s="528">
        <f t="shared" si="253"/>
        <v>244.99996305140337</v>
      </c>
      <c r="X47" s="572">
        <f t="shared" si="444"/>
        <v>0.83590252108200369</v>
      </c>
      <c r="Y47" s="573">
        <f t="shared" si="255"/>
        <v>-0.81495245789661286</v>
      </c>
      <c r="Z47" s="575">
        <f t="shared" si="271"/>
        <v>-0.38404787819956893</v>
      </c>
      <c r="AA47" s="572">
        <f t="shared" si="272"/>
        <v>-0.8732257866138784</v>
      </c>
      <c r="AB47" s="572">
        <f t="shared" si="273"/>
        <v>-0.29997325354601617</v>
      </c>
      <c r="AC47" s="579">
        <f t="shared" si="445"/>
        <v>1</v>
      </c>
      <c r="AD47" s="580">
        <f t="shared" si="446"/>
        <v>-0.38404787819956893</v>
      </c>
      <c r="AE47" s="572">
        <f t="shared" si="447"/>
        <v>-0.8732257866138784</v>
      </c>
      <c r="AF47" s="576">
        <f t="shared" si="448"/>
        <v>-0.29997325354601617</v>
      </c>
      <c r="AG47" s="545">
        <f t="shared" si="449"/>
        <v>-71.041218144286006</v>
      </c>
      <c r="AH47" s="546">
        <f t="shared" si="450"/>
        <v>112.58464409042715</v>
      </c>
      <c r="AI47" s="528">
        <f t="shared" si="451"/>
        <v>-72.544003322655158</v>
      </c>
      <c r="AJ47" s="529">
        <f t="shared" si="452"/>
        <v>-23.740067969256213</v>
      </c>
      <c r="AK47" s="578">
        <f t="shared" si="453"/>
        <v>0.95371696400905326</v>
      </c>
      <c r="AL47" s="572">
        <f t="shared" si="454"/>
        <v>2.097617025034787E-2</v>
      </c>
      <c r="AM47" s="577">
        <f t="shared" si="455"/>
        <v>-0.29997325354601617</v>
      </c>
      <c r="AN47" s="524">
        <f t="shared" si="456"/>
        <v>3.999999422471531</v>
      </c>
      <c r="AO47" s="525">
        <f t="shared" si="116"/>
        <v>17.499997473312991</v>
      </c>
      <c r="AP47" s="528">
        <f t="shared" si="457"/>
        <v>1.2599674043620672</v>
      </c>
      <c r="AQ47" s="529">
        <f t="shared" si="274"/>
        <v>2.7252067790273542</v>
      </c>
      <c r="AS47" s="932">
        <f t="shared" si="461"/>
        <v>-115.00003694859663</v>
      </c>
      <c r="AT47" s="928">
        <f t="shared" si="275"/>
        <v>-0.73509131062486177</v>
      </c>
      <c r="AU47" s="418"/>
      <c r="AV47" s="164">
        <f>IF(AND(ISNUMBER(VALUE(K47)),ISNUMBER(AW47),ISNUMBER(AX47),ISNUMBER(AY47),AY47&gt;=0.0001),$M47,"")</f>
        <v>3.1030000000000002</v>
      </c>
      <c r="AW47" s="829">
        <f>IFERROR(INDEX(MassProp!C$9:C$150,MATCH($M47,MassProp!$B$9:$B$150,0)),"")</f>
        <v>0.69930000000000003</v>
      </c>
      <c r="AX47" s="830">
        <f>IFERROR(INDEX(MassProp!D$9:D$150,MATCH($M47,MassProp!$B$9:$B$150,0)),"")</f>
        <v>5.91E-2</v>
      </c>
      <c r="AY47" s="831">
        <f>IFERROR(INDEX(MassProp!E$9:E$150,MATCH($M47,MassProp!$B$9:$B$150,0)),"")</f>
        <v>6.0400000000000002E-2</v>
      </c>
      <c r="AZ47" s="297">
        <f t="shared" si="277"/>
        <v>0.26581665411209499</v>
      </c>
      <c r="BA47" s="296">
        <f t="shared" si="278"/>
        <v>3.029044119968425E-2</v>
      </c>
      <c r="BB47" s="190">
        <f t="shared" si="145"/>
        <v>0.54419131062486181</v>
      </c>
      <c r="BC47" s="9"/>
      <c r="BD47" s="5">
        <f t="shared" si="279"/>
        <v>0.69930000000000003</v>
      </c>
      <c r="BE47" s="6">
        <f t="shared" si="280"/>
        <v>-0.27076114727175105</v>
      </c>
      <c r="BF47" s="4">
        <f t="shared" si="281"/>
        <v>0.75758474595749103</v>
      </c>
      <c r="BG47" s="5">
        <f t="shared" si="282"/>
        <v>-0.35326813816670943</v>
      </c>
      <c r="BH47" s="10">
        <f t="shared" si="283"/>
        <v>-0.81495245789661286</v>
      </c>
      <c r="BI47" s="9">
        <f t="shared" si="284"/>
        <v>0.75758474595749103</v>
      </c>
      <c r="BJ47" s="5">
        <f t="shared" si="285"/>
        <v>-2.838026670630811E-2</v>
      </c>
      <c r="BK47" s="8">
        <f t="shared" si="286"/>
        <v>-1.7607050000438331</v>
      </c>
      <c r="BL47" s="173">
        <f t="shared" si="287"/>
        <v>1.6808979253556893</v>
      </c>
      <c r="BM47" s="5">
        <f t="shared" si="288"/>
        <v>-0.71648239528019764</v>
      </c>
      <c r="BN47" s="6">
        <f t="shared" si="289"/>
        <v>-0.93972495558375424</v>
      </c>
      <c r="BO47" s="4">
        <f t="shared" si="290"/>
        <v>-0.38404787819956865</v>
      </c>
      <c r="BP47" s="5">
        <f t="shared" si="239"/>
        <v>-0.87322578661387817</v>
      </c>
      <c r="BQ47" s="5">
        <f t="shared" si="291"/>
        <v>-0.29997325354601628</v>
      </c>
      <c r="BR47" s="6">
        <f t="shared" si="292"/>
        <v>-0.26199797387548118</v>
      </c>
      <c r="BS47" s="4">
        <f t="shared" si="458"/>
        <v>0</v>
      </c>
      <c r="BT47" s="5">
        <f t="shared" si="458"/>
        <v>0</v>
      </c>
      <c r="BU47" s="10">
        <f t="shared" si="119"/>
        <v>-0.27076114727175105</v>
      </c>
      <c r="BV47" s="9">
        <f t="shared" si="120"/>
        <v>0</v>
      </c>
      <c r="BW47" s="5">
        <f t="shared" si="121"/>
        <v>1</v>
      </c>
      <c r="BX47" s="8">
        <f t="shared" si="122"/>
        <v>-0.27076114727175105</v>
      </c>
      <c r="BY47" s="173">
        <f t="shared" si="123"/>
        <v>1</v>
      </c>
      <c r="BZ47" s="5">
        <f t="shared" si="124"/>
        <v>0</v>
      </c>
      <c r="CA47" s="6">
        <f t="shared" si="125"/>
        <v>-0.27076114727175105</v>
      </c>
      <c r="CB47" s="4">
        <f t="shared" si="293"/>
        <v>0</v>
      </c>
      <c r="CC47" s="5">
        <f t="shared" si="294"/>
        <v>0</v>
      </c>
      <c r="CD47" s="5">
        <f t="shared" si="295"/>
        <v>-1</v>
      </c>
      <c r="CE47" s="6">
        <f t="shared" si="296"/>
        <v>-0.27076114727175105</v>
      </c>
      <c r="CF47" s="4">
        <f t="shared" si="297"/>
        <v>0.87322578661387817</v>
      </c>
      <c r="CG47" s="5">
        <f t="shared" si="298"/>
        <v>-0.38404787819956865</v>
      </c>
      <c r="CH47" s="5">
        <f t="shared" si="299"/>
        <v>0</v>
      </c>
      <c r="CI47" s="4">
        <f t="shared" si="126"/>
        <v>0</v>
      </c>
      <c r="CJ47" s="5">
        <f t="shared" si="300"/>
        <v>-0.2070219115900406</v>
      </c>
      <c r="CK47" s="8">
        <f t="shared" si="301"/>
        <v>-0.27076114727175105</v>
      </c>
      <c r="CL47" s="173">
        <f t="shared" si="302"/>
        <v>0.87322578661387817</v>
      </c>
      <c r="CM47" s="5">
        <f t="shared" si="303"/>
        <v>-0.59106978978960922</v>
      </c>
      <c r="CN47" s="6">
        <f t="shared" si="304"/>
        <v>-0.27076114727175105</v>
      </c>
      <c r="CO47" s="167">
        <f t="shared" si="305"/>
        <v>0.3125</v>
      </c>
      <c r="CP47" s="4">
        <f t="shared" si="306"/>
        <v>0.91001604715701701</v>
      </c>
      <c r="CQ47" s="5">
        <f t="shared" si="307"/>
        <v>-1.4354161774537366</v>
      </c>
      <c r="CR47" s="5">
        <f t="shared" si="308"/>
        <v>0.79381053865499551</v>
      </c>
      <c r="CS47" s="8">
        <f t="shared" si="309"/>
        <v>-0.82910171181770886</v>
      </c>
      <c r="CT47" s="9" t="e">
        <f t="shared" si="160"/>
        <v>#NUM!</v>
      </c>
      <c r="CU47" s="6" t="e">
        <f t="shared" si="310"/>
        <v>#NUM!</v>
      </c>
      <c r="CV47" s="4" t="e">
        <f t="shared" si="311"/>
        <v>#NUM!</v>
      </c>
      <c r="CW47" s="5" t="e">
        <f t="shared" si="312"/>
        <v>#NUM!</v>
      </c>
      <c r="CX47" s="8" t="e">
        <f t="shared" si="313"/>
        <v>#NUM!</v>
      </c>
      <c r="CY47" s="9" t="e">
        <f t="shared" si="314"/>
        <v>#NUM!</v>
      </c>
      <c r="CZ47" s="5" t="e">
        <f t="shared" si="315"/>
        <v>#NUM!</v>
      </c>
      <c r="DA47" s="6" t="e">
        <f t="shared" si="316"/>
        <v>#NUM!</v>
      </c>
      <c r="DB47" s="4">
        <f t="shared" si="462"/>
        <v>0</v>
      </c>
      <c r="DC47" s="5">
        <f t="shared" si="462"/>
        <v>0</v>
      </c>
      <c r="DD47" s="10">
        <f t="shared" si="168"/>
        <v>-10</v>
      </c>
      <c r="DE47" s="9">
        <f t="shared" si="463"/>
        <v>0</v>
      </c>
      <c r="DF47" s="5">
        <f t="shared" si="463"/>
        <v>0</v>
      </c>
      <c r="DG47" s="10">
        <f t="shared" si="170"/>
        <v>10</v>
      </c>
      <c r="DH47" s="70">
        <f t="shared" si="317"/>
        <v>0.69930000000000003</v>
      </c>
      <c r="DI47" s="4">
        <f t="shared" si="318"/>
        <v>0</v>
      </c>
      <c r="DJ47" s="5">
        <f t="shared" si="319"/>
        <v>0</v>
      </c>
      <c r="DK47" s="10">
        <f t="shared" si="320"/>
        <v>20</v>
      </c>
      <c r="DL47" s="9" t="e">
        <f t="shared" si="321"/>
        <v>#NUM!</v>
      </c>
      <c r="DM47" s="173" t="e">
        <f t="shared" si="322"/>
        <v>#NUM!</v>
      </c>
      <c r="DN47" s="178" t="e">
        <f t="shared" si="323"/>
        <v>#NUM!</v>
      </c>
      <c r="DO47" s="9" t="e">
        <f t="shared" si="324"/>
        <v>#NUM!</v>
      </c>
      <c r="DP47" s="173" t="e">
        <f t="shared" si="325"/>
        <v>#NUM!</v>
      </c>
      <c r="DQ47" s="11" t="e">
        <f t="shared" si="326"/>
        <v>#NUM!</v>
      </c>
      <c r="DR47" s="173" t="e">
        <f t="shared" si="327"/>
        <v>#NUM!</v>
      </c>
      <c r="DS47" s="5" t="e">
        <f t="shared" si="328"/>
        <v>#NUM!</v>
      </c>
      <c r="DT47" s="5">
        <f t="shared" si="329"/>
        <v>400</v>
      </c>
      <c r="DU47" s="5" t="e">
        <f t="shared" si="330"/>
        <v>#NUM!</v>
      </c>
      <c r="DV47" s="5" t="e">
        <f t="shared" si="331"/>
        <v>#NUM!</v>
      </c>
      <c r="DW47" s="5" t="e">
        <f t="shared" si="332"/>
        <v>#NUM!</v>
      </c>
      <c r="DX47" s="167" t="e">
        <f t="shared" si="333"/>
        <v>#NUM!</v>
      </c>
      <c r="DY47" s="9" t="e">
        <f t="shared" si="334"/>
        <v>#NUM!</v>
      </c>
      <c r="DZ47" s="5" t="e">
        <f t="shared" si="335"/>
        <v>#NUM!</v>
      </c>
      <c r="EA47" s="10" t="e">
        <f t="shared" si="336"/>
        <v>#NUM!</v>
      </c>
      <c r="EB47" s="6" t="e">
        <f t="shared" si="337"/>
        <v>#NUM!</v>
      </c>
      <c r="EC47" s="173" t="e">
        <f t="shared" si="338"/>
        <v>#NUM!</v>
      </c>
      <c r="ED47" s="5" t="e">
        <f t="shared" si="339"/>
        <v>#NUM!</v>
      </c>
      <c r="EE47" s="4" t="e">
        <f t="shared" si="340"/>
        <v>#NUM!</v>
      </c>
      <c r="EF47" s="5" t="e">
        <f t="shared" si="341"/>
        <v>#NUM!</v>
      </c>
      <c r="EG47" s="10" t="e">
        <f t="shared" si="342"/>
        <v>#NUM!</v>
      </c>
      <c r="EH47" s="9" t="e">
        <f t="shared" si="343"/>
        <v>#NUM!</v>
      </c>
      <c r="EI47" s="5" t="e">
        <f t="shared" si="344"/>
        <v>#NUM!</v>
      </c>
      <c r="EJ47" s="6" t="e">
        <f t="shared" si="345"/>
        <v>#NUM!</v>
      </c>
      <c r="EK47" s="236" t="e">
        <f t="shared" si="200"/>
        <v>#NUM!</v>
      </c>
      <c r="EL47" s="238" t="e">
        <f t="shared" si="201"/>
        <v>#NUM!</v>
      </c>
      <c r="EM47" s="4" t="e">
        <f t="shared" si="346"/>
        <v>#NUM!</v>
      </c>
      <c r="EN47" s="5" t="e">
        <f t="shared" si="347"/>
        <v>#NUM!</v>
      </c>
      <c r="EO47" s="10" t="e">
        <f t="shared" si="348"/>
        <v>#NUM!</v>
      </c>
      <c r="EP47" s="9" t="e">
        <f t="shared" si="349"/>
        <v>#NUM!</v>
      </c>
      <c r="EQ47" s="5" t="e">
        <f t="shared" si="350"/>
        <v>#NUM!</v>
      </c>
      <c r="ER47" s="7" t="e">
        <f t="shared" si="351"/>
        <v>#NUM!</v>
      </c>
      <c r="ES47" s="21">
        <f t="shared" si="352"/>
        <v>-0.38404787819956893</v>
      </c>
      <c r="ET47" s="5">
        <f t="shared" si="353"/>
        <v>-0.8732257866138784</v>
      </c>
      <c r="EU47" s="10">
        <f t="shared" si="354"/>
        <v>-0.29997325354601617</v>
      </c>
      <c r="EV47" s="174" t="e">
        <f t="shared" si="355"/>
        <v>#NUM!</v>
      </c>
      <c r="EW47" s="9" t="e">
        <f t="shared" si="356"/>
        <v>#NUM!</v>
      </c>
      <c r="EX47" s="5" t="e">
        <f t="shared" si="357"/>
        <v>#NUM!</v>
      </c>
      <c r="EY47" s="6">
        <f t="shared" si="358"/>
        <v>-0.29997325354601617</v>
      </c>
      <c r="EZ47" s="51" t="e">
        <f t="shared" si="209"/>
        <v>#NUM!</v>
      </c>
      <c r="FA47" s="266" t="e">
        <f t="shared" si="134"/>
        <v>#NUM!</v>
      </c>
      <c r="FB47" s="267" t="e">
        <f t="shared" si="135"/>
        <v>#NUM!</v>
      </c>
      <c r="FC47" s="269" t="e">
        <f t="shared" si="48"/>
        <v>#NUM!</v>
      </c>
      <c r="FD47" s="4" t="e">
        <f t="shared" si="359"/>
        <v>#NUM!</v>
      </c>
      <c r="FE47" s="5" t="e">
        <f t="shared" si="360"/>
        <v>#NUM!</v>
      </c>
      <c r="FF47" s="7" t="e">
        <f t="shared" si="361"/>
        <v>#NUM!</v>
      </c>
      <c r="FG47" s="173" t="e">
        <f t="shared" si="362"/>
        <v>#NUM!</v>
      </c>
      <c r="FH47" s="5" t="e">
        <f t="shared" si="363"/>
        <v>#NUM!</v>
      </c>
      <c r="FI47" s="10" t="e">
        <f t="shared" si="364"/>
        <v>#NUM!</v>
      </c>
      <c r="FJ47" s="279" t="e">
        <f t="shared" si="365"/>
        <v>#NUM!</v>
      </c>
      <c r="FK47" s="4">
        <f t="shared" si="366"/>
        <v>0.9539476123755527</v>
      </c>
      <c r="FL47" s="5" t="e">
        <f t="shared" si="367"/>
        <v>#NUM!</v>
      </c>
      <c r="FM47" s="8" t="e">
        <f t="shared" si="368"/>
        <v>#NUM!</v>
      </c>
      <c r="FN47" s="9" t="e">
        <f t="shared" si="369"/>
        <v>#NUM!</v>
      </c>
      <c r="FO47" s="10" t="e">
        <f t="shared" si="370"/>
        <v>#NUM!</v>
      </c>
      <c r="FP47" s="277" t="e">
        <f t="shared" si="371"/>
        <v>#NUM!</v>
      </c>
      <c r="FQ47" s="173" t="e">
        <f t="shared" si="372"/>
        <v>#NUM!</v>
      </c>
      <c r="FR47" s="10" t="e">
        <f t="shared" si="373"/>
        <v>#NUM!</v>
      </c>
      <c r="FS47" s="9" t="e">
        <f t="shared" si="374"/>
        <v>#NUM!</v>
      </c>
      <c r="FT47" s="6" t="e">
        <f t="shared" si="375"/>
        <v>#NUM!</v>
      </c>
      <c r="FU47" s="4" t="e">
        <f t="shared" si="376"/>
        <v>#NUM!</v>
      </c>
      <c r="FV47" s="5" t="e">
        <f t="shared" si="377"/>
        <v>#NUM!</v>
      </c>
      <c r="FW47" s="8" t="e">
        <f t="shared" si="378"/>
        <v>#NUM!</v>
      </c>
      <c r="FX47" s="9" t="e">
        <f t="shared" si="379"/>
        <v>#NUM!</v>
      </c>
      <c r="FY47" s="10" t="e">
        <f t="shared" si="380"/>
        <v>#NUM!</v>
      </c>
      <c r="FZ47" s="277" t="e">
        <f t="shared" si="381"/>
        <v>#NUM!</v>
      </c>
      <c r="GA47" s="177" t="e">
        <f t="shared" si="382"/>
        <v>#NUM!</v>
      </c>
      <c r="GB47" s="4" t="e">
        <f t="shared" si="383"/>
        <v>#NUM!</v>
      </c>
      <c r="GC47" s="5" t="e">
        <f t="shared" si="384"/>
        <v>#NUM!</v>
      </c>
      <c r="GD47" s="10" t="e">
        <f t="shared" si="385"/>
        <v>#NUM!</v>
      </c>
      <c r="GE47" s="311" t="e">
        <f t="shared" si="386"/>
        <v>#NUM!</v>
      </c>
      <c r="GF47" s="341" t="e">
        <f t="shared" si="387"/>
        <v>#NUM!</v>
      </c>
      <c r="GG47" s="285" t="e">
        <f t="shared" si="388"/>
        <v>#NUM!</v>
      </c>
      <c r="GH47" s="286" t="e">
        <f t="shared" si="389"/>
        <v>#NUM!</v>
      </c>
      <c r="GI47" s="281" t="e">
        <f t="shared" si="390"/>
        <v>#NUM!</v>
      </c>
      <c r="GJ47" s="167">
        <f t="shared" si="391"/>
        <v>0.69930000000000003</v>
      </c>
      <c r="GK47" s="174">
        <f t="shared" si="59"/>
        <v>0.36674483183236067</v>
      </c>
      <c r="GL47" s="174">
        <f t="shared" si="392"/>
        <v>6.0400000000000002E-2</v>
      </c>
      <c r="GM47" s="177">
        <f t="shared" si="393"/>
        <v>0.26581665411209499</v>
      </c>
      <c r="GN47" s="280">
        <f t="shared" si="394"/>
        <v>3.029044119968425E-2</v>
      </c>
      <c r="GO47" s="4" t="e">
        <f t="shared" si="395"/>
        <v>#NUM!</v>
      </c>
      <c r="GP47" s="8" t="e">
        <f t="shared" si="396"/>
        <v>#NUM!</v>
      </c>
      <c r="GQ47" s="177" t="e">
        <f t="shared" si="397"/>
        <v>#NUM!</v>
      </c>
      <c r="GR47" s="371" t="e">
        <f t="shared" si="398"/>
        <v>#NUM!</v>
      </c>
      <c r="GS47" s="342" t="e">
        <f t="shared" si="399"/>
        <v>#NUM!</v>
      </c>
      <c r="GT47" s="343" t="e">
        <f t="shared" si="400"/>
        <v>#NUM!</v>
      </c>
      <c r="GU47" s="344">
        <f t="shared" si="63"/>
        <v>653.46594135890018</v>
      </c>
      <c r="GV47" s="343">
        <f t="shared" si="401"/>
        <v>1781.8</v>
      </c>
      <c r="GW47" s="345">
        <f t="shared" si="64"/>
        <v>29500</v>
      </c>
      <c r="GX47" s="346">
        <f t="shared" si="65"/>
        <v>103.834395</v>
      </c>
      <c r="GY47" s="344" t="e">
        <f t="shared" si="402"/>
        <v>#NUM!</v>
      </c>
      <c r="GZ47" s="345" t="e">
        <f t="shared" si="403"/>
        <v>#NUM!</v>
      </c>
      <c r="HA47" s="342" t="e">
        <f t="shared" si="68"/>
        <v>#NUM!</v>
      </c>
      <c r="HB47" s="5" t="e">
        <f t="shared" si="231"/>
        <v>#NUM!</v>
      </c>
      <c r="HC47" s="343" t="e">
        <f t="shared" si="404"/>
        <v>#NUM!</v>
      </c>
      <c r="HD47" s="345" t="e">
        <f t="shared" si="405"/>
        <v>#NUM!</v>
      </c>
      <c r="HE47" s="344" t="e">
        <f t="shared" si="69"/>
        <v>#NUM!</v>
      </c>
      <c r="HF47" s="5" t="e">
        <f t="shared" si="70"/>
        <v>#NUM!</v>
      </c>
      <c r="HG47" s="343" t="e">
        <f t="shared" si="406"/>
        <v>#NUM!</v>
      </c>
      <c r="HH47" s="349" t="e">
        <f t="shared" si="407"/>
        <v>#NUM!</v>
      </c>
      <c r="HI47" s="317">
        <f t="shared" si="408"/>
        <v>3.1030000000000002</v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3.1030000000000002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1613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</v>
      </c>
      <c r="B48" s="578">
        <f t="shared" si="257"/>
        <v>1.4308826377768713</v>
      </c>
      <c r="C48" s="572">
        <f t="shared" si="258"/>
        <v>-0.6672326074142847</v>
      </c>
      <c r="D48" s="576">
        <f t="shared" si="259"/>
        <v>-0.61985186947323856</v>
      </c>
      <c r="E48" s="580">
        <f t="shared" si="260"/>
        <v>0.39594201493107606</v>
      </c>
      <c r="F48" s="572">
        <f t="shared" si="261"/>
        <v>0.8811504543569314</v>
      </c>
      <c r="G48" s="579">
        <f t="shared" si="262"/>
        <v>0.25846430623761785</v>
      </c>
      <c r="H48" s="580">
        <f t="shared" si="263"/>
        <v>0.3125</v>
      </c>
      <c r="I48" s="572">
        <f t="shared" si="264"/>
        <v>0.52</v>
      </c>
      <c r="J48" s="483">
        <f t="shared" si="265"/>
        <v>3.1059999999999999</v>
      </c>
      <c r="K48" s="806">
        <f t="shared" si="266"/>
        <v>1613</v>
      </c>
      <c r="L48" s="309"/>
      <c r="M48" s="164">
        <f t="shared" si="267"/>
        <v>3.1059999999999999</v>
      </c>
      <c r="N48" s="575">
        <f t="shared" si="268"/>
        <v>1.4308826377768713</v>
      </c>
      <c r="O48" s="572">
        <f t="shared" si="269"/>
        <v>-0.6672326074142847</v>
      </c>
      <c r="P48" s="576">
        <f t="shared" si="270"/>
        <v>-0.61985186947323856</v>
      </c>
      <c r="Q48" s="528">
        <f t="shared" si="140"/>
        <v>334.99996462638171</v>
      </c>
      <c r="R48" s="572">
        <f t="shared" si="101"/>
        <v>1.578804761675161</v>
      </c>
      <c r="S48" s="577">
        <f t="shared" si="102"/>
        <v>-0.61985186947323856</v>
      </c>
      <c r="T48" s="578">
        <f t="shared" si="103"/>
        <v>-0.66723264674718485</v>
      </c>
      <c r="U48" s="572">
        <f t="shared" si="104"/>
        <v>-1.4308826194356086</v>
      </c>
      <c r="V48" s="579">
        <f t="shared" si="141"/>
        <v>-0.61985186947323856</v>
      </c>
      <c r="W48" s="528">
        <f t="shared" si="253"/>
        <v>244.99996305140337</v>
      </c>
      <c r="X48" s="572">
        <f t="shared" si="105"/>
        <v>1.578804761675161</v>
      </c>
      <c r="Y48" s="573">
        <f t="shared" si="255"/>
        <v>-0.61985186947323856</v>
      </c>
      <c r="Z48" s="575">
        <f t="shared" si="271"/>
        <v>-0.39594201493107606</v>
      </c>
      <c r="AA48" s="572">
        <f t="shared" si="272"/>
        <v>-0.8811504543569314</v>
      </c>
      <c r="AB48" s="572">
        <f t="shared" si="273"/>
        <v>-0.25846430623761785</v>
      </c>
      <c r="AC48" s="579">
        <f t="shared" si="106"/>
        <v>1</v>
      </c>
      <c r="AD48" s="580">
        <f t="shared" si="142"/>
        <v>-0.39594201493107606</v>
      </c>
      <c r="AE48" s="572">
        <f t="shared" si="107"/>
        <v>-0.8811504543569314</v>
      </c>
      <c r="AF48" s="576">
        <f t="shared" si="108"/>
        <v>-0.25846430623761785</v>
      </c>
      <c r="AG48" s="545">
        <f t="shared" si="109"/>
        <v>-73.652217245726192</v>
      </c>
      <c r="AH48" s="546">
        <f t="shared" si="110"/>
        <v>113.32473807810982</v>
      </c>
      <c r="AI48" s="528">
        <f t="shared" si="111"/>
        <v>-75.021040994812239</v>
      </c>
      <c r="AJ48" s="529">
        <f t="shared" si="112"/>
        <v>-24.196607945570896</v>
      </c>
      <c r="AK48" s="578">
        <f t="shared" si="238"/>
        <v>0.96592583607220739</v>
      </c>
      <c r="AL48" s="572">
        <f t="shared" si="113"/>
        <v>1.3545538354532483E-2</v>
      </c>
      <c r="AM48" s="577">
        <f t="shared" si="114"/>
        <v>-0.25846430623761785</v>
      </c>
      <c r="AN48" s="524">
        <f t="shared" si="115"/>
        <v>2.9999995668536275</v>
      </c>
      <c r="AO48" s="525">
        <f t="shared" si="116"/>
        <v>14.999997834268255</v>
      </c>
      <c r="AP48" s="528">
        <f t="shared" si="117"/>
        <v>0.80342742804737854</v>
      </c>
      <c r="AQ48" s="529">
        <f t="shared" si="274"/>
        <v>1.4436516973527305</v>
      </c>
      <c r="AS48" s="932">
        <f t="shared" si="461"/>
        <v>-115.00003694859663</v>
      </c>
      <c r="AT48" s="928">
        <f t="shared" si="275"/>
        <v>-0.53999072220148747</v>
      </c>
      <c r="AU48" s="418"/>
      <c r="AV48" s="164">
        <f t="shared" si="276"/>
        <v>3.1059999999999999</v>
      </c>
      <c r="AW48" s="829">
        <f>IFERROR(INDEX(MassProp!C$9:C$150,MATCH($M48,MassProp!$B$9:$B$150,0)),"")</f>
        <v>1.3966000000000001</v>
      </c>
      <c r="AX48" s="830">
        <f>IFERROR(INDEX(MassProp!D$9:D$150,MATCH($M48,MassProp!$B$9:$B$150,0)),"")</f>
        <v>0.24829999999999999</v>
      </c>
      <c r="AY48" s="831">
        <f>IFERROR(INDEX(MassProp!E$9:E$150,MATCH($M48,MassProp!$B$9:$B$150,0)),"")</f>
        <v>6.0299999999999999E-2</v>
      </c>
      <c r="AZ48" s="297">
        <f t="shared" si="277"/>
        <v>0.52935302264942963</v>
      </c>
      <c r="BA48" s="296">
        <f t="shared" si="278"/>
        <v>6.0321038424010813E-2</v>
      </c>
      <c r="BB48" s="190">
        <f t="shared" si="145"/>
        <v>0.53829072220148744</v>
      </c>
      <c r="BC48" s="9"/>
      <c r="BD48" s="5">
        <f t="shared" si="279"/>
        <v>1.3966000000000001</v>
      </c>
      <c r="BE48" s="6">
        <f t="shared" si="280"/>
        <v>-8.1561147271751122E-2</v>
      </c>
      <c r="BF48" s="4">
        <f t="shared" si="281"/>
        <v>1.4308826377768713</v>
      </c>
      <c r="BG48" s="5">
        <f t="shared" si="282"/>
        <v>-0.6672326074142847</v>
      </c>
      <c r="BH48" s="10">
        <f t="shared" si="283"/>
        <v>-0.61985186947323856</v>
      </c>
      <c r="BI48" s="9">
        <f t="shared" si="284"/>
        <v>1.4308826377768713</v>
      </c>
      <c r="BJ48" s="5">
        <f t="shared" si="285"/>
        <v>-0.38576555083582398</v>
      </c>
      <c r="BK48" s="8">
        <f t="shared" si="286"/>
        <v>-1.5794227611019174</v>
      </c>
      <c r="BL48" s="173">
        <f t="shared" si="287"/>
        <v>2.3491581524304634</v>
      </c>
      <c r="BM48" s="5">
        <f t="shared" si="288"/>
        <v>-1.0471670397149533</v>
      </c>
      <c r="BN48" s="6">
        <f t="shared" si="289"/>
        <v>-0.73129650299163351</v>
      </c>
      <c r="BO48" s="4">
        <f t="shared" si="290"/>
        <v>-0.39594201493107639</v>
      </c>
      <c r="BP48" s="5">
        <f t="shared" si="239"/>
        <v>-0.88115045435693162</v>
      </c>
      <c r="BQ48" s="5">
        <f t="shared" si="291"/>
        <v>-0.25846430623761774</v>
      </c>
      <c r="BR48" s="6">
        <f t="shared" si="292"/>
        <v>-0.18159534386708015</v>
      </c>
      <c r="BS48" s="4">
        <f t="shared" si="458"/>
        <v>0</v>
      </c>
      <c r="BT48" s="5">
        <f t="shared" si="458"/>
        <v>0</v>
      </c>
      <c r="BU48" s="10">
        <f t="shared" si="119"/>
        <v>-8.1561147271751122E-2</v>
      </c>
      <c r="BV48" s="9">
        <f t="shared" si="120"/>
        <v>0</v>
      </c>
      <c r="BW48" s="5">
        <f t="shared" si="121"/>
        <v>1</v>
      </c>
      <c r="BX48" s="8">
        <f t="shared" si="122"/>
        <v>-8.1561147271751122E-2</v>
      </c>
      <c r="BY48" s="173">
        <f t="shared" si="123"/>
        <v>1</v>
      </c>
      <c r="BZ48" s="5">
        <f t="shared" si="124"/>
        <v>0</v>
      </c>
      <c r="CA48" s="6">
        <f t="shared" si="125"/>
        <v>-8.1561147271751122E-2</v>
      </c>
      <c r="CB48" s="4">
        <f t="shared" si="293"/>
        <v>0</v>
      </c>
      <c r="CC48" s="5">
        <f t="shared" si="294"/>
        <v>0</v>
      </c>
      <c r="CD48" s="5">
        <f t="shared" si="295"/>
        <v>-1</v>
      </c>
      <c r="CE48" s="6">
        <f t="shared" si="296"/>
        <v>-8.1561147271751122E-2</v>
      </c>
      <c r="CF48" s="4">
        <f t="shared" si="297"/>
        <v>0.88115045435693162</v>
      </c>
      <c r="CG48" s="5">
        <f t="shared" si="298"/>
        <v>-0.39594201493107639</v>
      </c>
      <c r="CH48" s="5">
        <f t="shared" si="299"/>
        <v>0</v>
      </c>
      <c r="CI48" s="4">
        <f t="shared" si="126"/>
        <v>0</v>
      </c>
      <c r="CJ48" s="5">
        <f t="shared" si="300"/>
        <v>-0.18216491602298193</v>
      </c>
      <c r="CK48" s="8">
        <f t="shared" si="301"/>
        <v>-8.1561147271751122E-2</v>
      </c>
      <c r="CL48" s="173">
        <f t="shared" si="302"/>
        <v>0.88115045435693162</v>
      </c>
      <c r="CM48" s="5">
        <f t="shared" si="303"/>
        <v>-0.5781069309540583</v>
      </c>
      <c r="CN48" s="6">
        <f t="shared" si="304"/>
        <v>-8.1561147271751122E-2</v>
      </c>
      <c r="CO48" s="167">
        <f t="shared" si="305"/>
        <v>0.3125</v>
      </c>
      <c r="CP48" s="4">
        <f t="shared" si="306"/>
        <v>0.93319620240110779</v>
      </c>
      <c r="CQ48" s="5">
        <f t="shared" si="307"/>
        <v>-2.9057631310319456</v>
      </c>
      <c r="CR48" s="5">
        <f t="shared" si="308"/>
        <v>2.4748164399311845</v>
      </c>
      <c r="CS48" s="8">
        <f t="shared" si="309"/>
        <v>-0.79449783986986766</v>
      </c>
      <c r="CT48" s="9" t="e">
        <f t="shared" si="160"/>
        <v>#NUM!</v>
      </c>
      <c r="CU48" s="6" t="e">
        <f t="shared" si="310"/>
        <v>#NUM!</v>
      </c>
      <c r="CV48" s="4" t="e">
        <f t="shared" si="311"/>
        <v>#NUM!</v>
      </c>
      <c r="CW48" s="5" t="e">
        <f t="shared" si="312"/>
        <v>#NUM!</v>
      </c>
      <c r="CX48" s="8" t="e">
        <f t="shared" si="313"/>
        <v>#NUM!</v>
      </c>
      <c r="CY48" s="9" t="e">
        <f t="shared" si="314"/>
        <v>#NUM!</v>
      </c>
      <c r="CZ48" s="5" t="e">
        <f t="shared" si="315"/>
        <v>#NUM!</v>
      </c>
      <c r="DA48" s="6" t="e">
        <f t="shared" si="316"/>
        <v>#NUM!</v>
      </c>
      <c r="DB48" s="4">
        <f t="shared" si="462"/>
        <v>0</v>
      </c>
      <c r="DC48" s="5">
        <f t="shared" si="462"/>
        <v>0</v>
      </c>
      <c r="DD48" s="10">
        <f t="shared" si="168"/>
        <v>-10</v>
      </c>
      <c r="DE48" s="9">
        <f t="shared" si="463"/>
        <v>0</v>
      </c>
      <c r="DF48" s="5">
        <f t="shared" si="463"/>
        <v>0</v>
      </c>
      <c r="DG48" s="10">
        <f t="shared" si="170"/>
        <v>10</v>
      </c>
      <c r="DH48" s="70">
        <f t="shared" si="317"/>
        <v>1.3966000000000001</v>
      </c>
      <c r="DI48" s="4">
        <f t="shared" si="318"/>
        <v>0</v>
      </c>
      <c r="DJ48" s="5">
        <f t="shared" si="319"/>
        <v>0</v>
      </c>
      <c r="DK48" s="10">
        <f t="shared" si="320"/>
        <v>20</v>
      </c>
      <c r="DL48" s="9" t="e">
        <f t="shared" si="321"/>
        <v>#NUM!</v>
      </c>
      <c r="DM48" s="173" t="e">
        <f t="shared" si="322"/>
        <v>#NUM!</v>
      </c>
      <c r="DN48" s="178" t="e">
        <f t="shared" si="323"/>
        <v>#NUM!</v>
      </c>
      <c r="DO48" s="9" t="e">
        <f t="shared" si="324"/>
        <v>#NUM!</v>
      </c>
      <c r="DP48" s="173" t="e">
        <f t="shared" si="325"/>
        <v>#NUM!</v>
      </c>
      <c r="DQ48" s="11" t="e">
        <f t="shared" si="326"/>
        <v>#NUM!</v>
      </c>
      <c r="DR48" s="173" t="e">
        <f t="shared" si="327"/>
        <v>#NUM!</v>
      </c>
      <c r="DS48" s="5" t="e">
        <f t="shared" si="328"/>
        <v>#NUM!</v>
      </c>
      <c r="DT48" s="5">
        <f t="shared" si="329"/>
        <v>400</v>
      </c>
      <c r="DU48" s="5" t="e">
        <f t="shared" si="330"/>
        <v>#NUM!</v>
      </c>
      <c r="DV48" s="5" t="e">
        <f t="shared" si="331"/>
        <v>#NUM!</v>
      </c>
      <c r="DW48" s="5" t="e">
        <f t="shared" si="332"/>
        <v>#NUM!</v>
      </c>
      <c r="DX48" s="167" t="e">
        <f t="shared" si="333"/>
        <v>#NUM!</v>
      </c>
      <c r="DY48" s="9" t="e">
        <f t="shared" si="334"/>
        <v>#NUM!</v>
      </c>
      <c r="DZ48" s="5" t="e">
        <f t="shared" si="335"/>
        <v>#NUM!</v>
      </c>
      <c r="EA48" s="10" t="e">
        <f t="shared" si="336"/>
        <v>#NUM!</v>
      </c>
      <c r="EB48" s="6" t="e">
        <f t="shared" si="337"/>
        <v>#NUM!</v>
      </c>
      <c r="EC48" s="173" t="e">
        <f t="shared" si="338"/>
        <v>#NUM!</v>
      </c>
      <c r="ED48" s="5" t="e">
        <f t="shared" si="339"/>
        <v>#NUM!</v>
      </c>
      <c r="EE48" s="4" t="e">
        <f t="shared" si="340"/>
        <v>#NUM!</v>
      </c>
      <c r="EF48" s="5" t="e">
        <f t="shared" si="341"/>
        <v>#NUM!</v>
      </c>
      <c r="EG48" s="10" t="e">
        <f t="shared" si="342"/>
        <v>#NUM!</v>
      </c>
      <c r="EH48" s="9" t="e">
        <f t="shared" si="343"/>
        <v>#NUM!</v>
      </c>
      <c r="EI48" s="5" t="e">
        <f t="shared" si="344"/>
        <v>#NUM!</v>
      </c>
      <c r="EJ48" s="6" t="e">
        <f t="shared" si="345"/>
        <v>#NUM!</v>
      </c>
      <c r="EK48" s="236" t="e">
        <f t="shared" si="200"/>
        <v>#NUM!</v>
      </c>
      <c r="EL48" s="238" t="e">
        <f t="shared" si="201"/>
        <v>#NUM!</v>
      </c>
      <c r="EM48" s="4" t="e">
        <f t="shared" si="346"/>
        <v>#NUM!</v>
      </c>
      <c r="EN48" s="5" t="e">
        <f t="shared" si="347"/>
        <v>#NUM!</v>
      </c>
      <c r="EO48" s="10" t="e">
        <f t="shared" si="348"/>
        <v>#NUM!</v>
      </c>
      <c r="EP48" s="9" t="e">
        <f t="shared" si="349"/>
        <v>#NUM!</v>
      </c>
      <c r="EQ48" s="5" t="e">
        <f t="shared" si="350"/>
        <v>#NUM!</v>
      </c>
      <c r="ER48" s="7" t="e">
        <f t="shared" si="351"/>
        <v>#NUM!</v>
      </c>
      <c r="ES48" s="21">
        <f t="shared" si="352"/>
        <v>-0.39594201493107606</v>
      </c>
      <c r="ET48" s="5">
        <f t="shared" si="353"/>
        <v>-0.8811504543569314</v>
      </c>
      <c r="EU48" s="10">
        <f t="shared" si="354"/>
        <v>-0.25846430623761785</v>
      </c>
      <c r="EV48" s="174" t="e">
        <f t="shared" si="355"/>
        <v>#NUM!</v>
      </c>
      <c r="EW48" s="9" t="e">
        <f t="shared" si="356"/>
        <v>#NUM!</v>
      </c>
      <c r="EX48" s="5" t="e">
        <f t="shared" si="357"/>
        <v>#NUM!</v>
      </c>
      <c r="EY48" s="6">
        <f t="shared" si="358"/>
        <v>-0.25846430623761785</v>
      </c>
      <c r="EZ48" s="51" t="e">
        <f t="shared" si="209"/>
        <v>#NUM!</v>
      </c>
      <c r="FA48" s="266" t="e">
        <f t="shared" si="134"/>
        <v>#NUM!</v>
      </c>
      <c r="FB48" s="267" t="e">
        <f t="shared" si="135"/>
        <v>#NUM!</v>
      </c>
      <c r="FC48" s="269" t="e">
        <f t="shared" si="48"/>
        <v>#NUM!</v>
      </c>
      <c r="FD48" s="4" t="e">
        <f t="shared" si="359"/>
        <v>#NUM!</v>
      </c>
      <c r="FE48" s="5" t="e">
        <f t="shared" si="360"/>
        <v>#NUM!</v>
      </c>
      <c r="FF48" s="7" t="e">
        <f t="shared" si="361"/>
        <v>#NUM!</v>
      </c>
      <c r="FG48" s="173" t="e">
        <f t="shared" si="362"/>
        <v>#NUM!</v>
      </c>
      <c r="FH48" s="5" t="e">
        <f t="shared" si="363"/>
        <v>#NUM!</v>
      </c>
      <c r="FI48" s="10" t="e">
        <f t="shared" si="364"/>
        <v>#NUM!</v>
      </c>
      <c r="FJ48" s="279" t="e">
        <f t="shared" si="365"/>
        <v>#NUM!</v>
      </c>
      <c r="FK48" s="4">
        <f t="shared" si="366"/>
        <v>0.96602080847210903</v>
      </c>
      <c r="FL48" s="5" t="e">
        <f t="shared" si="367"/>
        <v>#NUM!</v>
      </c>
      <c r="FM48" s="8" t="e">
        <f t="shared" si="368"/>
        <v>#NUM!</v>
      </c>
      <c r="FN48" s="9" t="e">
        <f t="shared" si="369"/>
        <v>#NUM!</v>
      </c>
      <c r="FO48" s="10" t="e">
        <f t="shared" si="370"/>
        <v>#NUM!</v>
      </c>
      <c r="FP48" s="277" t="e">
        <f t="shared" si="371"/>
        <v>#NUM!</v>
      </c>
      <c r="FQ48" s="173" t="e">
        <f t="shared" si="372"/>
        <v>#NUM!</v>
      </c>
      <c r="FR48" s="10" t="e">
        <f t="shared" si="373"/>
        <v>#NUM!</v>
      </c>
      <c r="FS48" s="9" t="e">
        <f t="shared" si="374"/>
        <v>#NUM!</v>
      </c>
      <c r="FT48" s="6" t="e">
        <f t="shared" si="375"/>
        <v>#NUM!</v>
      </c>
      <c r="FU48" s="4" t="e">
        <f t="shared" si="376"/>
        <v>#NUM!</v>
      </c>
      <c r="FV48" s="5" t="e">
        <f t="shared" si="377"/>
        <v>#NUM!</v>
      </c>
      <c r="FW48" s="8" t="e">
        <f t="shared" si="378"/>
        <v>#NUM!</v>
      </c>
      <c r="FX48" s="9" t="e">
        <f t="shared" si="379"/>
        <v>#NUM!</v>
      </c>
      <c r="FY48" s="10" t="e">
        <f t="shared" si="380"/>
        <v>#NUM!</v>
      </c>
      <c r="FZ48" s="277" t="e">
        <f t="shared" si="381"/>
        <v>#NUM!</v>
      </c>
      <c r="GA48" s="177" t="e">
        <f t="shared" si="382"/>
        <v>#NUM!</v>
      </c>
      <c r="GB48" s="4" t="e">
        <f t="shared" si="383"/>
        <v>#NUM!</v>
      </c>
      <c r="GC48" s="5" t="e">
        <f t="shared" si="384"/>
        <v>#NUM!</v>
      </c>
      <c r="GD48" s="10" t="e">
        <f t="shared" si="385"/>
        <v>#NUM!</v>
      </c>
      <c r="GE48" s="311" t="e">
        <f t="shared" si="386"/>
        <v>#NUM!</v>
      </c>
      <c r="GF48" s="341" t="e">
        <f t="shared" si="387"/>
        <v>#NUM!</v>
      </c>
      <c r="GG48" s="285" t="e">
        <f t="shared" si="388"/>
        <v>#NUM!</v>
      </c>
      <c r="GH48" s="286" t="e">
        <f t="shared" si="389"/>
        <v>#NUM!</v>
      </c>
      <c r="GI48" s="281" t="e">
        <f t="shared" si="390"/>
        <v>#NUM!</v>
      </c>
      <c r="GJ48" s="167">
        <f t="shared" si="391"/>
        <v>1.3966000000000001</v>
      </c>
      <c r="GK48" s="174">
        <f t="shared" si="59"/>
        <v>0.73155475766919509</v>
      </c>
      <c r="GL48" s="174">
        <f t="shared" si="392"/>
        <v>6.0299999999999999E-2</v>
      </c>
      <c r="GM48" s="177">
        <f t="shared" si="393"/>
        <v>0.52935302264942963</v>
      </c>
      <c r="GN48" s="280">
        <f t="shared" si="394"/>
        <v>6.0321038424010813E-2</v>
      </c>
      <c r="GO48" s="4" t="e">
        <f t="shared" si="395"/>
        <v>#NUM!</v>
      </c>
      <c r="GP48" s="8" t="e">
        <f t="shared" si="396"/>
        <v>#NUM!</v>
      </c>
      <c r="GQ48" s="177" t="e">
        <f t="shared" si="397"/>
        <v>#NUM!</v>
      </c>
      <c r="GR48" s="371" t="e">
        <f t="shared" si="398"/>
        <v>#NUM!</v>
      </c>
      <c r="GS48" s="342" t="e">
        <f t="shared" si="399"/>
        <v>#NUM!</v>
      </c>
      <c r="GT48" s="343" t="e">
        <f t="shared" si="400"/>
        <v>#NUM!</v>
      </c>
      <c r="GU48" s="344">
        <f t="shared" si="63"/>
        <v>1301.3261806798475</v>
      </c>
      <c r="GV48" s="343">
        <f t="shared" si="401"/>
        <v>1778.85</v>
      </c>
      <c r="GW48" s="345">
        <f t="shared" si="64"/>
        <v>29500</v>
      </c>
      <c r="GX48" s="346">
        <f t="shared" si="65"/>
        <v>207.0284925</v>
      </c>
      <c r="GY48" s="344" t="e">
        <f t="shared" si="402"/>
        <v>#NUM!</v>
      </c>
      <c r="GZ48" s="345" t="e">
        <f t="shared" si="403"/>
        <v>#NUM!</v>
      </c>
      <c r="HA48" s="342" t="e">
        <f t="shared" si="68"/>
        <v>#NUM!</v>
      </c>
      <c r="HB48" s="5" t="e">
        <f t="shared" si="231"/>
        <v>#NUM!</v>
      </c>
      <c r="HC48" s="343" t="e">
        <f t="shared" si="404"/>
        <v>#NUM!</v>
      </c>
      <c r="HD48" s="345" t="e">
        <f t="shared" si="405"/>
        <v>#NUM!</v>
      </c>
      <c r="HE48" s="344" t="e">
        <f t="shared" si="69"/>
        <v>#NUM!</v>
      </c>
      <c r="HF48" s="5" t="e">
        <f t="shared" si="70"/>
        <v>#NUM!</v>
      </c>
      <c r="HG48" s="343" t="e">
        <f t="shared" si="406"/>
        <v>#NUM!</v>
      </c>
      <c r="HH48" s="349" t="e">
        <f t="shared" si="407"/>
        <v>#NUM!</v>
      </c>
      <c r="HI48" s="317">
        <f t="shared" si="408"/>
        <v>3.1059999999999999</v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3.1059999999999999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1613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</v>
      </c>
      <c r="B49" s="578">
        <f t="shared" si="257"/>
        <v>2.103274219336702</v>
      </c>
      <c r="C49" s="572">
        <f t="shared" si="258"/>
        <v>-0.98077445656595563</v>
      </c>
      <c r="D49" s="576">
        <f t="shared" si="259"/>
        <v>-0.42105126989063008</v>
      </c>
      <c r="E49" s="580">
        <f t="shared" si="260"/>
        <v>0.39594201493107617</v>
      </c>
      <c r="F49" s="572">
        <f t="shared" si="261"/>
        <v>0.88115045435693129</v>
      </c>
      <c r="G49" s="579">
        <f t="shared" si="262"/>
        <v>0.25846430623761785</v>
      </c>
      <c r="H49" s="580">
        <f t="shared" si="263"/>
        <v>0.3125</v>
      </c>
      <c r="I49" s="572">
        <f t="shared" si="264"/>
        <v>0.52</v>
      </c>
      <c r="J49" s="483">
        <f t="shared" si="265"/>
        <v>3.109</v>
      </c>
      <c r="K49" s="806">
        <f t="shared" si="266"/>
        <v>1613</v>
      </c>
      <c r="L49" s="309"/>
      <c r="M49" s="164">
        <f t="shared" si="267"/>
        <v>3.109</v>
      </c>
      <c r="N49" s="575">
        <f t="shared" si="268"/>
        <v>2.103274219336702</v>
      </c>
      <c r="O49" s="572">
        <f t="shared" si="269"/>
        <v>-0.98077445656595563</v>
      </c>
      <c r="P49" s="576">
        <f t="shared" si="270"/>
        <v>-0.42105126989063008</v>
      </c>
      <c r="Q49" s="528">
        <f t="shared" si="140"/>
        <v>334.99996462638171</v>
      </c>
      <c r="R49" s="572">
        <f t="shared" si="101"/>
        <v>2.3207069992523097</v>
      </c>
      <c r="S49" s="577">
        <f t="shared" si="102"/>
        <v>-0.42105126989063008</v>
      </c>
      <c r="T49" s="578">
        <f t="shared" si="103"/>
        <v>-0.98077451438193064</v>
      </c>
      <c r="U49" s="572">
        <f t="shared" si="104"/>
        <v>-2.1032741923766261</v>
      </c>
      <c r="V49" s="579">
        <f t="shared" si="141"/>
        <v>-0.42105126989063008</v>
      </c>
      <c r="W49" s="528">
        <f t="shared" si="253"/>
        <v>244.99996305140337</v>
      </c>
      <c r="X49" s="572">
        <f t="shared" si="105"/>
        <v>2.3207069992523097</v>
      </c>
      <c r="Y49" s="573">
        <f t="shared" si="255"/>
        <v>-0.42105126989063008</v>
      </c>
      <c r="Z49" s="575">
        <f t="shared" si="271"/>
        <v>-0.39594201493107617</v>
      </c>
      <c r="AA49" s="572">
        <f t="shared" si="272"/>
        <v>-0.88115045435693129</v>
      </c>
      <c r="AB49" s="572">
        <f t="shared" si="273"/>
        <v>-0.25846430623761785</v>
      </c>
      <c r="AC49" s="579">
        <f t="shared" si="106"/>
        <v>1</v>
      </c>
      <c r="AD49" s="580">
        <f t="shared" si="142"/>
        <v>-0.39594201493107617</v>
      </c>
      <c r="AE49" s="572">
        <f t="shared" si="107"/>
        <v>-0.88115045435693129</v>
      </c>
      <c r="AF49" s="576">
        <f t="shared" si="108"/>
        <v>-0.25846430623761785</v>
      </c>
      <c r="AG49" s="545">
        <f t="shared" si="109"/>
        <v>-73.652217245726192</v>
      </c>
      <c r="AH49" s="546">
        <f t="shared" si="110"/>
        <v>113.32473807810982</v>
      </c>
      <c r="AI49" s="528">
        <f t="shared" si="111"/>
        <v>-75.021040994812239</v>
      </c>
      <c r="AJ49" s="529">
        <f t="shared" si="112"/>
        <v>-24.196607945570904</v>
      </c>
      <c r="AK49" s="578">
        <f t="shared" si="238"/>
        <v>0.96592583607220739</v>
      </c>
      <c r="AL49" s="572">
        <f t="shared" si="113"/>
        <v>1.3545538354532316E-2</v>
      </c>
      <c r="AM49" s="577">
        <f t="shared" si="114"/>
        <v>-0.25846430623761785</v>
      </c>
      <c r="AN49" s="524">
        <f t="shared" si="115"/>
        <v>2.999999566853591</v>
      </c>
      <c r="AO49" s="525">
        <f t="shared" si="116"/>
        <v>14.999997834268255</v>
      </c>
      <c r="AP49" s="528">
        <f t="shared" si="117"/>
        <v>0.80342742804736866</v>
      </c>
      <c r="AQ49" s="529">
        <f t="shared" si="274"/>
        <v>0.98224519238201413</v>
      </c>
      <c r="AS49" s="932">
        <f t="shared" si="461"/>
        <v>-115.00003694859663</v>
      </c>
      <c r="AT49" s="928">
        <f t="shared" si="275"/>
        <v>-0.34119012261887899</v>
      </c>
      <c r="AU49" s="418"/>
      <c r="AV49" s="164">
        <f t="shared" si="276"/>
        <v>3.109</v>
      </c>
      <c r="AW49" s="829">
        <f>IFERROR(INDEX(MassProp!C$9:C$150,MATCH($M49,MassProp!$B$9:$B$150,0)),"")</f>
        <v>2.1025999999999998</v>
      </c>
      <c r="AX49" s="830">
        <f>IFERROR(INDEX(MassProp!D$9:D$150,MATCH($M49,MassProp!$B$9:$B$150,0)),"")</f>
        <v>0.4032</v>
      </c>
      <c r="AY49" s="831">
        <f>IFERROR(INDEX(MassProp!E$9:E$150,MATCH($M49,MassProp!$B$9:$B$150,0)),"")</f>
        <v>3.61E-2</v>
      </c>
      <c r="AZ49" s="297">
        <f t="shared" si="277"/>
        <v>0.47700340295684407</v>
      </c>
      <c r="BA49" s="296">
        <f t="shared" si="278"/>
        <v>5.4355674506461053E-2</v>
      </c>
      <c r="BB49" s="190">
        <f t="shared" si="145"/>
        <v>0.49439012261887899</v>
      </c>
      <c r="BC49" s="9"/>
      <c r="BD49" s="5">
        <f t="shared" si="279"/>
        <v>2.1025999999999998</v>
      </c>
      <c r="BE49" s="6">
        <f t="shared" si="280"/>
        <v>7.3338852728248916E-2</v>
      </c>
      <c r="BF49" s="4">
        <f t="shared" si="281"/>
        <v>2.103274219336702</v>
      </c>
      <c r="BG49" s="5">
        <f t="shared" si="282"/>
        <v>-0.98077445656595563</v>
      </c>
      <c r="BH49" s="10">
        <f t="shared" si="283"/>
        <v>-0.42105126989063008</v>
      </c>
      <c r="BI49" s="9">
        <f t="shared" si="284"/>
        <v>2.103274219336702</v>
      </c>
      <c r="BJ49" s="5">
        <f t="shared" si="285"/>
        <v>-0.69930739998749492</v>
      </c>
      <c r="BK49" s="8">
        <f t="shared" si="286"/>
        <v>-1.3806221615193088</v>
      </c>
      <c r="BL49" s="173">
        <f t="shared" si="287"/>
        <v>3.0215497339902941</v>
      </c>
      <c r="BM49" s="5">
        <f t="shared" si="288"/>
        <v>-1.3607088888666241</v>
      </c>
      <c r="BN49" s="6">
        <f t="shared" si="289"/>
        <v>-0.53249590340902508</v>
      </c>
      <c r="BO49" s="4">
        <f t="shared" si="290"/>
        <v>-0.39594201493107634</v>
      </c>
      <c r="BP49" s="5">
        <f t="shared" si="239"/>
        <v>-0.88115045435693062</v>
      </c>
      <c r="BQ49" s="5">
        <f t="shared" si="291"/>
        <v>-0.25846430623761785</v>
      </c>
      <c r="BR49" s="6">
        <f t="shared" si="292"/>
        <v>-0.14026195003075254</v>
      </c>
      <c r="BS49" s="4">
        <f t="shared" si="458"/>
        <v>0</v>
      </c>
      <c r="BT49" s="5">
        <f t="shared" si="458"/>
        <v>0</v>
      </c>
      <c r="BU49" s="10">
        <f t="shared" si="119"/>
        <v>7.3338852728248916E-2</v>
      </c>
      <c r="BV49" s="9">
        <f t="shared" si="120"/>
        <v>0</v>
      </c>
      <c r="BW49" s="5">
        <f t="shared" si="121"/>
        <v>1</v>
      </c>
      <c r="BX49" s="8">
        <f t="shared" si="122"/>
        <v>7.3338852728248916E-2</v>
      </c>
      <c r="BY49" s="173">
        <f t="shared" si="123"/>
        <v>1</v>
      </c>
      <c r="BZ49" s="5">
        <f t="shared" si="124"/>
        <v>0</v>
      </c>
      <c r="CA49" s="6">
        <f t="shared" si="125"/>
        <v>7.3338852728248916E-2</v>
      </c>
      <c r="CB49" s="4">
        <f t="shared" si="293"/>
        <v>0</v>
      </c>
      <c r="CC49" s="5">
        <f t="shared" si="294"/>
        <v>0</v>
      </c>
      <c r="CD49" s="5">
        <f t="shared" si="295"/>
        <v>-1</v>
      </c>
      <c r="CE49" s="6">
        <f t="shared" si="296"/>
        <v>7.3338852728248916E-2</v>
      </c>
      <c r="CF49" s="4">
        <f t="shared" si="297"/>
        <v>0.88115045435693062</v>
      </c>
      <c r="CG49" s="5">
        <f t="shared" si="298"/>
        <v>-0.39594201493107634</v>
      </c>
      <c r="CH49" s="5">
        <f t="shared" si="299"/>
        <v>0</v>
      </c>
      <c r="CI49" s="4">
        <f t="shared" si="126"/>
        <v>0</v>
      </c>
      <c r="CJ49" s="5">
        <f t="shared" si="300"/>
        <v>-0.18069266710827511</v>
      </c>
      <c r="CK49" s="8">
        <f t="shared" si="301"/>
        <v>7.3338852728248916E-2</v>
      </c>
      <c r="CL49" s="173">
        <f t="shared" si="302"/>
        <v>0.88115045435693062</v>
      </c>
      <c r="CM49" s="5">
        <f t="shared" si="303"/>
        <v>-0.57663468203935142</v>
      </c>
      <c r="CN49" s="6">
        <f t="shared" si="304"/>
        <v>7.3338852728248916E-2</v>
      </c>
      <c r="CO49" s="167">
        <f t="shared" si="305"/>
        <v>0.3125</v>
      </c>
      <c r="CP49" s="4">
        <f t="shared" si="306"/>
        <v>0.9331962024011059</v>
      </c>
      <c r="CQ49" s="5">
        <f t="shared" si="307"/>
        <v>-4.3401740596665777</v>
      </c>
      <c r="CR49" s="5">
        <f t="shared" si="308"/>
        <v>5.2106586548913283</v>
      </c>
      <c r="CS49" s="8">
        <f t="shared" si="309"/>
        <v>-0.61315660680950757</v>
      </c>
      <c r="CT49" s="9" t="e">
        <f t="shared" si="160"/>
        <v>#NUM!</v>
      </c>
      <c r="CU49" s="6" t="e">
        <f t="shared" si="310"/>
        <v>#NUM!</v>
      </c>
      <c r="CV49" s="4" t="e">
        <f t="shared" si="311"/>
        <v>#NUM!</v>
      </c>
      <c r="CW49" s="5" t="e">
        <f t="shared" si="312"/>
        <v>#NUM!</v>
      </c>
      <c r="CX49" s="8" t="e">
        <f t="shared" si="313"/>
        <v>#NUM!</v>
      </c>
      <c r="CY49" s="9" t="e">
        <f t="shared" si="314"/>
        <v>#NUM!</v>
      </c>
      <c r="CZ49" s="5" t="e">
        <f t="shared" si="315"/>
        <v>#NUM!</v>
      </c>
      <c r="DA49" s="6" t="e">
        <f t="shared" si="316"/>
        <v>#NUM!</v>
      </c>
      <c r="DB49" s="4">
        <f t="shared" si="462"/>
        <v>0</v>
      </c>
      <c r="DC49" s="5">
        <f t="shared" si="462"/>
        <v>0</v>
      </c>
      <c r="DD49" s="10">
        <f t="shared" si="168"/>
        <v>-10</v>
      </c>
      <c r="DE49" s="9">
        <f t="shared" si="463"/>
        <v>0</v>
      </c>
      <c r="DF49" s="5">
        <f t="shared" si="463"/>
        <v>0</v>
      </c>
      <c r="DG49" s="10">
        <f t="shared" si="170"/>
        <v>10</v>
      </c>
      <c r="DH49" s="70">
        <f t="shared" si="317"/>
        <v>2.1025999999999998</v>
      </c>
      <c r="DI49" s="4">
        <f t="shared" si="318"/>
        <v>0</v>
      </c>
      <c r="DJ49" s="5">
        <f t="shared" si="319"/>
        <v>0</v>
      </c>
      <c r="DK49" s="10">
        <f t="shared" si="320"/>
        <v>20</v>
      </c>
      <c r="DL49" s="9" t="e">
        <f t="shared" si="321"/>
        <v>#NUM!</v>
      </c>
      <c r="DM49" s="173" t="e">
        <f t="shared" si="322"/>
        <v>#NUM!</v>
      </c>
      <c r="DN49" s="178" t="e">
        <f t="shared" si="323"/>
        <v>#NUM!</v>
      </c>
      <c r="DO49" s="9" t="e">
        <f t="shared" si="324"/>
        <v>#NUM!</v>
      </c>
      <c r="DP49" s="173" t="e">
        <f t="shared" si="325"/>
        <v>#NUM!</v>
      </c>
      <c r="DQ49" s="11" t="e">
        <f t="shared" si="326"/>
        <v>#NUM!</v>
      </c>
      <c r="DR49" s="173" t="e">
        <f t="shared" si="327"/>
        <v>#NUM!</v>
      </c>
      <c r="DS49" s="5" t="e">
        <f t="shared" si="328"/>
        <v>#NUM!</v>
      </c>
      <c r="DT49" s="5">
        <f t="shared" si="329"/>
        <v>400</v>
      </c>
      <c r="DU49" s="5" t="e">
        <f t="shared" si="330"/>
        <v>#NUM!</v>
      </c>
      <c r="DV49" s="5" t="e">
        <f t="shared" si="331"/>
        <v>#NUM!</v>
      </c>
      <c r="DW49" s="5" t="e">
        <f t="shared" si="332"/>
        <v>#NUM!</v>
      </c>
      <c r="DX49" s="167" t="e">
        <f t="shared" si="333"/>
        <v>#NUM!</v>
      </c>
      <c r="DY49" s="9" t="e">
        <f t="shared" si="334"/>
        <v>#NUM!</v>
      </c>
      <c r="DZ49" s="5" t="e">
        <f t="shared" si="335"/>
        <v>#NUM!</v>
      </c>
      <c r="EA49" s="10" t="e">
        <f t="shared" si="336"/>
        <v>#NUM!</v>
      </c>
      <c r="EB49" s="6" t="e">
        <f t="shared" si="337"/>
        <v>#NUM!</v>
      </c>
      <c r="EC49" s="173" t="e">
        <f t="shared" si="338"/>
        <v>#NUM!</v>
      </c>
      <c r="ED49" s="5" t="e">
        <f t="shared" si="339"/>
        <v>#NUM!</v>
      </c>
      <c r="EE49" s="4" t="e">
        <f t="shared" si="340"/>
        <v>#NUM!</v>
      </c>
      <c r="EF49" s="5" t="e">
        <f t="shared" si="341"/>
        <v>#NUM!</v>
      </c>
      <c r="EG49" s="10" t="e">
        <f t="shared" si="342"/>
        <v>#NUM!</v>
      </c>
      <c r="EH49" s="9" t="e">
        <f t="shared" si="343"/>
        <v>#NUM!</v>
      </c>
      <c r="EI49" s="5" t="e">
        <f t="shared" si="344"/>
        <v>#NUM!</v>
      </c>
      <c r="EJ49" s="6" t="e">
        <f t="shared" si="345"/>
        <v>#NUM!</v>
      </c>
      <c r="EK49" s="236" t="e">
        <f t="shared" si="200"/>
        <v>#NUM!</v>
      </c>
      <c r="EL49" s="238" t="e">
        <f t="shared" si="201"/>
        <v>#NUM!</v>
      </c>
      <c r="EM49" s="4" t="e">
        <f t="shared" si="346"/>
        <v>#NUM!</v>
      </c>
      <c r="EN49" s="5" t="e">
        <f t="shared" si="347"/>
        <v>#NUM!</v>
      </c>
      <c r="EO49" s="10" t="e">
        <f t="shared" si="348"/>
        <v>#NUM!</v>
      </c>
      <c r="EP49" s="9" t="e">
        <f t="shared" si="349"/>
        <v>#NUM!</v>
      </c>
      <c r="EQ49" s="5" t="e">
        <f t="shared" si="350"/>
        <v>#NUM!</v>
      </c>
      <c r="ER49" s="7" t="e">
        <f t="shared" si="351"/>
        <v>#NUM!</v>
      </c>
      <c r="ES49" s="21">
        <f t="shared" si="352"/>
        <v>-0.39594201493107617</v>
      </c>
      <c r="ET49" s="5">
        <f t="shared" si="353"/>
        <v>-0.88115045435693129</v>
      </c>
      <c r="EU49" s="10">
        <f t="shared" si="354"/>
        <v>-0.25846430623761785</v>
      </c>
      <c r="EV49" s="174" t="e">
        <f t="shared" si="355"/>
        <v>#NUM!</v>
      </c>
      <c r="EW49" s="9" t="e">
        <f t="shared" si="356"/>
        <v>#NUM!</v>
      </c>
      <c r="EX49" s="5" t="e">
        <f t="shared" si="357"/>
        <v>#NUM!</v>
      </c>
      <c r="EY49" s="6">
        <f t="shared" si="358"/>
        <v>-0.25846430623761785</v>
      </c>
      <c r="EZ49" s="51" t="e">
        <f t="shared" si="209"/>
        <v>#NUM!</v>
      </c>
      <c r="FA49" s="266" t="e">
        <f t="shared" si="134"/>
        <v>#NUM!</v>
      </c>
      <c r="FB49" s="267" t="e">
        <f t="shared" si="135"/>
        <v>#NUM!</v>
      </c>
      <c r="FC49" s="269" t="e">
        <f t="shared" si="48"/>
        <v>#NUM!</v>
      </c>
      <c r="FD49" s="4" t="e">
        <f t="shared" si="359"/>
        <v>#NUM!</v>
      </c>
      <c r="FE49" s="5" t="e">
        <f t="shared" si="360"/>
        <v>#NUM!</v>
      </c>
      <c r="FF49" s="7" t="e">
        <f t="shared" si="361"/>
        <v>#NUM!</v>
      </c>
      <c r="FG49" s="173" t="e">
        <f t="shared" si="362"/>
        <v>#NUM!</v>
      </c>
      <c r="FH49" s="5" t="e">
        <f t="shared" si="363"/>
        <v>#NUM!</v>
      </c>
      <c r="FI49" s="10" t="e">
        <f t="shared" si="364"/>
        <v>#NUM!</v>
      </c>
      <c r="FJ49" s="279" t="e">
        <f t="shared" si="365"/>
        <v>#NUM!</v>
      </c>
      <c r="FK49" s="4">
        <f t="shared" si="366"/>
        <v>0.96602080847210892</v>
      </c>
      <c r="FL49" s="5" t="e">
        <f t="shared" si="367"/>
        <v>#NUM!</v>
      </c>
      <c r="FM49" s="8" t="e">
        <f t="shared" si="368"/>
        <v>#NUM!</v>
      </c>
      <c r="FN49" s="9" t="e">
        <f t="shared" si="369"/>
        <v>#NUM!</v>
      </c>
      <c r="FO49" s="10" t="e">
        <f t="shared" si="370"/>
        <v>#NUM!</v>
      </c>
      <c r="FP49" s="277" t="e">
        <f t="shared" si="371"/>
        <v>#NUM!</v>
      </c>
      <c r="FQ49" s="173" t="e">
        <f t="shared" si="372"/>
        <v>#NUM!</v>
      </c>
      <c r="FR49" s="10" t="e">
        <f t="shared" si="373"/>
        <v>#NUM!</v>
      </c>
      <c r="FS49" s="9" t="e">
        <f t="shared" si="374"/>
        <v>#NUM!</v>
      </c>
      <c r="FT49" s="6" t="e">
        <f t="shared" si="375"/>
        <v>#NUM!</v>
      </c>
      <c r="FU49" s="4" t="e">
        <f t="shared" si="376"/>
        <v>#NUM!</v>
      </c>
      <c r="FV49" s="5" t="e">
        <f t="shared" si="377"/>
        <v>#NUM!</v>
      </c>
      <c r="FW49" s="8" t="e">
        <f t="shared" si="378"/>
        <v>#NUM!</v>
      </c>
      <c r="FX49" s="9" t="e">
        <f t="shared" si="379"/>
        <v>#NUM!</v>
      </c>
      <c r="FY49" s="10" t="e">
        <f t="shared" si="380"/>
        <v>#NUM!</v>
      </c>
      <c r="FZ49" s="277" t="e">
        <f t="shared" si="381"/>
        <v>#NUM!</v>
      </c>
      <c r="GA49" s="177" t="e">
        <f t="shared" si="382"/>
        <v>#NUM!</v>
      </c>
      <c r="GB49" s="4" t="e">
        <f t="shared" si="383"/>
        <v>#NUM!</v>
      </c>
      <c r="GC49" s="5" t="e">
        <f t="shared" si="384"/>
        <v>#NUM!</v>
      </c>
      <c r="GD49" s="10" t="e">
        <f t="shared" si="385"/>
        <v>#NUM!</v>
      </c>
      <c r="GE49" s="311" t="e">
        <f t="shared" si="386"/>
        <v>#NUM!</v>
      </c>
      <c r="GF49" s="341" t="e">
        <f t="shared" si="387"/>
        <v>#NUM!</v>
      </c>
      <c r="GG49" s="285" t="e">
        <f t="shared" si="388"/>
        <v>#NUM!</v>
      </c>
      <c r="GH49" s="286" t="e">
        <f t="shared" si="389"/>
        <v>#NUM!</v>
      </c>
      <c r="GI49" s="281" t="e">
        <f t="shared" si="390"/>
        <v>#NUM!</v>
      </c>
      <c r="GJ49" s="167">
        <f t="shared" si="391"/>
        <v>2.1025999999999998</v>
      </c>
      <c r="GK49" s="174">
        <f t="shared" si="59"/>
        <v>1.101115888635374</v>
      </c>
      <c r="GL49" s="174">
        <f t="shared" si="392"/>
        <v>3.61E-2</v>
      </c>
      <c r="GM49" s="177">
        <f t="shared" si="393"/>
        <v>0.47700340295684407</v>
      </c>
      <c r="GN49" s="280">
        <f t="shared" si="394"/>
        <v>5.4355674506461053E-2</v>
      </c>
      <c r="GO49" s="4" t="e">
        <f t="shared" si="395"/>
        <v>#NUM!</v>
      </c>
      <c r="GP49" s="8" t="e">
        <f t="shared" si="396"/>
        <v>#NUM!</v>
      </c>
      <c r="GQ49" s="177" t="e">
        <f t="shared" si="397"/>
        <v>#NUM!</v>
      </c>
      <c r="GR49" s="371" t="e">
        <f t="shared" si="398"/>
        <v>#NUM!</v>
      </c>
      <c r="GS49" s="342" t="e">
        <f t="shared" si="399"/>
        <v>#NUM!</v>
      </c>
      <c r="GT49" s="343" t="e">
        <f t="shared" si="400"/>
        <v>#NUM!</v>
      </c>
      <c r="GU49" s="344">
        <f t="shared" si="63"/>
        <v>1172.6333656022416</v>
      </c>
      <c r="GV49" s="343">
        <f t="shared" si="401"/>
        <v>1064.95</v>
      </c>
      <c r="GW49" s="345">
        <f t="shared" si="64"/>
        <v>29500</v>
      </c>
      <c r="GX49" s="346">
        <f t="shared" si="65"/>
        <v>186.59698916666667</v>
      </c>
      <c r="GY49" s="344" t="e">
        <f t="shared" si="402"/>
        <v>#NUM!</v>
      </c>
      <c r="GZ49" s="345" t="e">
        <f t="shared" si="403"/>
        <v>#NUM!</v>
      </c>
      <c r="HA49" s="342" t="e">
        <f t="shared" si="68"/>
        <v>#NUM!</v>
      </c>
      <c r="HB49" s="5" t="e">
        <f t="shared" si="231"/>
        <v>#NUM!</v>
      </c>
      <c r="HC49" s="343" t="e">
        <f t="shared" si="404"/>
        <v>#NUM!</v>
      </c>
      <c r="HD49" s="345" t="e">
        <f t="shared" si="405"/>
        <v>#NUM!</v>
      </c>
      <c r="HE49" s="344" t="e">
        <f t="shared" si="69"/>
        <v>#NUM!</v>
      </c>
      <c r="HF49" s="5" t="e">
        <f t="shared" si="70"/>
        <v>#NUM!</v>
      </c>
      <c r="HG49" s="343" t="e">
        <f t="shared" si="406"/>
        <v>#NUM!</v>
      </c>
      <c r="HH49" s="349" t="e">
        <f t="shared" si="407"/>
        <v>#NUM!</v>
      </c>
      <c r="HI49" s="317">
        <f t="shared" si="408"/>
        <v>3.109</v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3.109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26"/>
        <v>1613</v>
      </c>
      <c r="IM49" s="482" t="str">
        <f t="shared" si="237"/>
        <v/>
      </c>
      <c r="IN49" s="670" t="str">
        <f t="shared" si="427"/>
        <v/>
      </c>
      <c r="IO49" s="702"/>
      <c r="IP49" s="5" t="str">
        <f t="shared" si="428"/>
        <v/>
      </c>
      <c r="IQ49" s="714"/>
      <c r="IR49" s="9" t="str">
        <f t="shared" si="429"/>
        <v/>
      </c>
      <c r="IS49" s="5" t="str">
        <f t="shared" si="430"/>
        <v/>
      </c>
      <c r="IT49" s="5" t="str">
        <f t="shared" si="431"/>
        <v/>
      </c>
      <c r="IU49" s="5" t="str">
        <f t="shared" si="432"/>
        <v/>
      </c>
      <c r="IV49" s="670" t="str">
        <f t="shared" si="433"/>
        <v/>
      </c>
      <c r="IW49" s="9" t="str">
        <f t="shared" si="434"/>
        <v/>
      </c>
      <c r="IX49" s="5" t="str">
        <f t="shared" si="435"/>
        <v/>
      </c>
      <c r="IY49" s="5" t="str">
        <f t="shared" si="436"/>
        <v/>
      </c>
      <c r="IZ49" s="5" t="str">
        <f t="shared" si="437"/>
        <v/>
      </c>
      <c r="JA49" s="705" t="str">
        <f t="shared" si="438"/>
        <v/>
      </c>
    </row>
    <row r="50" spans="1:261" ht="15" customHeight="1" x14ac:dyDescent="0.25">
      <c r="A50" s="75">
        <f t="shared" si="256"/>
        <v>0</v>
      </c>
      <c r="B50" s="578">
        <f t="shared" si="257"/>
        <v>2.7762095870522625</v>
      </c>
      <c r="C50" s="572">
        <f t="shared" si="258"/>
        <v>-1.2945698777751693</v>
      </c>
      <c r="D50" s="576">
        <f t="shared" si="259"/>
        <v>-0.22645068297525989</v>
      </c>
      <c r="E50" s="580">
        <f t="shared" si="260"/>
        <v>0.40658084698052077</v>
      </c>
      <c r="F50" s="572">
        <f t="shared" si="261"/>
        <v>0.87618947750195841</v>
      </c>
      <c r="G50" s="579">
        <f t="shared" si="262"/>
        <v>0.25881270135649737</v>
      </c>
      <c r="H50" s="580">
        <f t="shared" si="263"/>
        <v>0.3125</v>
      </c>
      <c r="I50" s="572">
        <f t="shared" si="264"/>
        <v>0.52</v>
      </c>
      <c r="J50" s="483">
        <f t="shared" si="265"/>
        <v>3.1120000000000001</v>
      </c>
      <c r="K50" s="806">
        <f t="shared" si="266"/>
        <v>1613</v>
      </c>
      <c r="L50" s="309"/>
      <c r="M50" s="164">
        <f t="shared" si="267"/>
        <v>3.1120000000000001</v>
      </c>
      <c r="N50" s="575">
        <f t="shared" si="268"/>
        <v>2.7762095870522625</v>
      </c>
      <c r="O50" s="572">
        <f t="shared" si="269"/>
        <v>-1.2945698777751693</v>
      </c>
      <c r="P50" s="576">
        <f t="shared" si="270"/>
        <v>-0.22645068297525989</v>
      </c>
      <c r="Q50" s="528">
        <f t="shared" si="140"/>
        <v>334.99996462638171</v>
      </c>
      <c r="R50" s="572">
        <f t="shared" si="101"/>
        <v>3.0632092386390637</v>
      </c>
      <c r="S50" s="577">
        <f t="shared" si="102"/>
        <v>-0.22645068297525989</v>
      </c>
      <c r="T50" s="578">
        <f t="shared" si="103"/>
        <v>-1.2945699540891671</v>
      </c>
      <c r="U50" s="572">
        <f t="shared" si="104"/>
        <v>-2.7762095514664025</v>
      </c>
      <c r="V50" s="579">
        <f t="shared" si="141"/>
        <v>-0.22645068297525989</v>
      </c>
      <c r="W50" s="528">
        <f t="shared" si="253"/>
        <v>244.99996305140337</v>
      </c>
      <c r="X50" s="572">
        <f t="shared" si="105"/>
        <v>3.0632092386390637</v>
      </c>
      <c r="Y50" s="573">
        <f t="shared" si="255"/>
        <v>-0.22645068297525989</v>
      </c>
      <c r="Z50" s="575">
        <f t="shared" si="271"/>
        <v>-0.40658084698052077</v>
      </c>
      <c r="AA50" s="572">
        <f t="shared" si="272"/>
        <v>-0.87618947750195841</v>
      </c>
      <c r="AB50" s="572">
        <f t="shared" si="273"/>
        <v>-0.25881270135649737</v>
      </c>
      <c r="AC50" s="579">
        <f t="shared" si="106"/>
        <v>1</v>
      </c>
      <c r="AD50" s="580">
        <f t="shared" si="142"/>
        <v>-0.40658084698052077</v>
      </c>
      <c r="AE50" s="572">
        <f t="shared" si="107"/>
        <v>-0.87618947750195841</v>
      </c>
      <c r="AF50" s="576">
        <f t="shared" si="108"/>
        <v>-0.25881270135649737</v>
      </c>
      <c r="AG50" s="545">
        <f t="shared" si="109"/>
        <v>-73.543681733016086</v>
      </c>
      <c r="AH50" s="546">
        <f t="shared" si="110"/>
        <v>113.99022914532775</v>
      </c>
      <c r="AI50" s="528">
        <f t="shared" si="111"/>
        <v>-75.000376291371182</v>
      </c>
      <c r="AJ50" s="529">
        <f t="shared" si="112"/>
        <v>-24.892856723971899</v>
      </c>
      <c r="AK50" s="578">
        <f t="shared" si="238"/>
        <v>0.96592583607220739</v>
      </c>
      <c r="AL50" s="572">
        <f t="shared" si="113"/>
        <v>1.8068826081589218E-3</v>
      </c>
      <c r="AM50" s="577">
        <f t="shared" si="114"/>
        <v>-0.25881270135649737</v>
      </c>
      <c r="AN50" s="524">
        <f t="shared" si="115"/>
        <v>0.39999994224709218</v>
      </c>
      <c r="AO50" s="525">
        <f t="shared" si="116"/>
        <v>14.999997834268255</v>
      </c>
      <c r="AP50" s="528">
        <f t="shared" si="117"/>
        <v>0.10717864964637641</v>
      </c>
      <c r="AQ50" s="529">
        <f t="shared" si="274"/>
        <v>0.74418632727903244</v>
      </c>
      <c r="AS50" s="932">
        <f t="shared" si="461"/>
        <v>-115.00003694859663</v>
      </c>
      <c r="AT50" s="928">
        <f t="shared" si="275"/>
        <v>-0.1465895357035088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3.1120000000000001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26"/>
        <v>1613</v>
      </c>
      <c r="IM50" s="482" t="str">
        <f t="shared" si="237"/>
        <v/>
      </c>
      <c r="IN50" s="670" t="str">
        <f t="shared" si="427"/>
        <v/>
      </c>
      <c r="IO50" s="702"/>
      <c r="IP50" s="5" t="str">
        <f t="shared" si="428"/>
        <v/>
      </c>
      <c r="IQ50" s="714"/>
      <c r="IR50" s="9" t="str">
        <f t="shared" si="429"/>
        <v/>
      </c>
      <c r="IS50" s="5" t="str">
        <f t="shared" si="430"/>
        <v/>
      </c>
      <c r="IT50" s="5" t="str">
        <f t="shared" si="431"/>
        <v/>
      </c>
      <c r="IU50" s="5" t="str">
        <f t="shared" si="432"/>
        <v/>
      </c>
      <c r="IV50" s="670" t="str">
        <f t="shared" si="433"/>
        <v/>
      </c>
      <c r="IW50" s="9" t="str">
        <f t="shared" si="434"/>
        <v/>
      </c>
      <c r="IX50" s="5" t="str">
        <f t="shared" si="435"/>
        <v/>
      </c>
      <c r="IY50" s="5" t="str">
        <f t="shared" si="436"/>
        <v/>
      </c>
      <c r="IZ50" s="5" t="str">
        <f t="shared" si="437"/>
        <v/>
      </c>
      <c r="JA50" s="705" t="str">
        <f t="shared" si="438"/>
        <v/>
      </c>
    </row>
    <row r="51" spans="1:261" ht="15" customHeight="1" x14ac:dyDescent="0.25">
      <c r="A51" s="75">
        <f t="shared" si="256"/>
        <v>0</v>
      </c>
      <c r="B51" s="578">
        <f t="shared" si="257"/>
        <v>3.4480562070349006</v>
      </c>
      <c r="C51" s="572">
        <f t="shared" si="258"/>
        <v>-1.6083338587492986</v>
      </c>
      <c r="D51" s="576">
        <f t="shared" si="259"/>
        <v>-0.1574504748706323</v>
      </c>
      <c r="E51" s="580">
        <f t="shared" si="260"/>
        <v>0.45408564891956948</v>
      </c>
      <c r="F51" s="572">
        <f t="shared" si="261"/>
        <v>0.85302787070916619</v>
      </c>
      <c r="G51" s="579">
        <f t="shared" si="262"/>
        <v>0.25719579164263068</v>
      </c>
      <c r="H51" s="580">
        <f t="shared" si="263"/>
        <v>0.3125</v>
      </c>
      <c r="I51" s="572">
        <f t="shared" si="264"/>
        <v>0.52</v>
      </c>
      <c r="J51" s="483">
        <f t="shared" si="265"/>
        <v>3.1150000000000002</v>
      </c>
      <c r="K51" s="806">
        <f t="shared" si="266"/>
        <v>1613</v>
      </c>
      <c r="L51" s="309"/>
      <c r="M51" s="164">
        <f t="shared" si="267"/>
        <v>3.1150000000000002</v>
      </c>
      <c r="N51" s="575">
        <f t="shared" si="268"/>
        <v>3.4480562070349006</v>
      </c>
      <c r="O51" s="572">
        <f t="shared" si="269"/>
        <v>-1.6083338587492986</v>
      </c>
      <c r="P51" s="576">
        <f t="shared" si="270"/>
        <v>-0.1574504748706323</v>
      </c>
      <c r="Q51" s="528">
        <f t="shared" si="140"/>
        <v>334.99346462732024</v>
      </c>
      <c r="R51" s="572">
        <f t="shared" si="101"/>
        <v>3.8047114750098086</v>
      </c>
      <c r="S51" s="577">
        <f t="shared" si="102"/>
        <v>-0.1574504748706323</v>
      </c>
      <c r="T51" s="578">
        <f t="shared" si="103"/>
        <v>-1.6083339535313876</v>
      </c>
      <c r="U51" s="572">
        <f t="shared" si="104"/>
        <v>-3.448056162824122</v>
      </c>
      <c r="V51" s="579">
        <f t="shared" si="141"/>
        <v>-0.1574504748706323</v>
      </c>
      <c r="W51" s="528">
        <f t="shared" si="253"/>
        <v>244.99346305234189</v>
      </c>
      <c r="X51" s="572">
        <f t="shared" si="105"/>
        <v>3.8047114750098086</v>
      </c>
      <c r="Y51" s="573">
        <f t="shared" si="255"/>
        <v>-0.1574504748706323</v>
      </c>
      <c r="Z51" s="575">
        <f t="shared" si="271"/>
        <v>-0.45408564891956948</v>
      </c>
      <c r="AA51" s="572">
        <f t="shared" si="272"/>
        <v>-0.85302787070916619</v>
      </c>
      <c r="AB51" s="572">
        <f t="shared" si="273"/>
        <v>-0.25719579164263068</v>
      </c>
      <c r="AC51" s="579">
        <f t="shared" si="106"/>
        <v>1</v>
      </c>
      <c r="AD51" s="580">
        <f t="shared" si="142"/>
        <v>-0.45408564891956948</v>
      </c>
      <c r="AE51" s="572">
        <f t="shared" si="107"/>
        <v>-0.85302787070916619</v>
      </c>
      <c r="AF51" s="576">
        <f t="shared" si="108"/>
        <v>-0.25719579164263068</v>
      </c>
      <c r="AG51" s="545">
        <f t="shared" si="109"/>
        <v>-73.221455244694582</v>
      </c>
      <c r="AH51" s="546">
        <f t="shared" si="110"/>
        <v>117.0061186923168</v>
      </c>
      <c r="AI51" s="528">
        <f t="shared" si="111"/>
        <v>-75.096264830162909</v>
      </c>
      <c r="AJ51" s="529">
        <f t="shared" si="112"/>
        <v>-28.027362680396656</v>
      </c>
      <c r="AK51" s="578">
        <f t="shared" si="238"/>
        <v>0.965016504514979</v>
      </c>
      <c r="AL51" s="572">
        <f t="shared" si="113"/>
        <v>-5.0926130571759654E-2</v>
      </c>
      <c r="AM51" s="577">
        <f t="shared" si="114"/>
        <v>-0.25719579164263068</v>
      </c>
      <c r="AN51" s="524">
        <f t="shared" si="115"/>
        <v>-11.199998382920322</v>
      </c>
      <c r="AO51" s="525">
        <f t="shared" si="116"/>
        <v>15.19999780539186</v>
      </c>
      <c r="AP51" s="528">
        <f t="shared" si="117"/>
        <v>-3.0208273077168655</v>
      </c>
      <c r="AQ51" s="529">
        <f t="shared" si="274"/>
        <v>0.5991633124450525</v>
      </c>
      <c r="AS51" s="932">
        <f t="shared" si="461"/>
        <v>-115.00653694765811</v>
      </c>
      <c r="AT51" s="928">
        <f t="shared" si="275"/>
        <v>-7.7584813710644088E-2</v>
      </c>
      <c r="AU51" s="418"/>
      <c r="AV51" s="164">
        <f t="shared" si="276"/>
        <v>3.1150000000000002</v>
      </c>
      <c r="AW51" s="829">
        <f>IFERROR(INDEX(MassProp!C$9:C$150,MATCH($M51,MassProp!$B$9:$B$150,0)),"")</f>
        <v>2.9211999999999998</v>
      </c>
      <c r="AX51" s="830">
        <f>IFERROR(INDEX(MassProp!D$9:D$150,MATCH($M51,MassProp!$B$9:$B$150,0)),"")</f>
        <v>0.31390000000000001</v>
      </c>
      <c r="AY51" s="831">
        <f>IFERROR(INDEX(MassProp!E$9:E$150,MATCH($M51,MassProp!$B$9:$B$150,0)),"")</f>
        <v>3.6299999999999999E-2</v>
      </c>
      <c r="AZ51" s="297">
        <f t="shared" si="277"/>
        <v>0.66632800634936673</v>
      </c>
      <c r="BA51" s="296">
        <f t="shared" si="278"/>
        <v>7.5929664239611533E-2</v>
      </c>
      <c r="BB51" s="190">
        <f t="shared" si="145"/>
        <v>0.14148481371064409</v>
      </c>
      <c r="BC51" s="9"/>
      <c r="BD51" s="5">
        <f t="shared" si="279"/>
        <v>2.9211999999999998</v>
      </c>
      <c r="BE51" s="6">
        <f t="shared" si="280"/>
        <v>-1.5965661159988209E-2</v>
      </c>
      <c r="BF51" s="4">
        <f t="shared" si="281"/>
        <v>3.4480562070349006</v>
      </c>
      <c r="BG51" s="5">
        <f t="shared" si="282"/>
        <v>-1.6083338587492986</v>
      </c>
      <c r="BH51" s="10">
        <f t="shared" si="283"/>
        <v>-0.1574504748706323</v>
      </c>
      <c r="BI51" s="9">
        <f t="shared" si="284"/>
        <v>3.4480562070349006</v>
      </c>
      <c r="BJ51" s="5">
        <f t="shared" si="285"/>
        <v>-1.3196605643828365</v>
      </c>
      <c r="BK51" s="8">
        <f t="shared" si="286"/>
        <v>-1.1148781374747656</v>
      </c>
      <c r="BL51" s="173">
        <f t="shared" si="287"/>
        <v>4.3390142438948267</v>
      </c>
      <c r="BM51" s="5">
        <f t="shared" si="288"/>
        <v>-2.0430880202164428</v>
      </c>
      <c r="BN51" s="6">
        <f t="shared" si="289"/>
        <v>-0.28853287506877712</v>
      </c>
      <c r="BO51" s="4">
        <f t="shared" si="290"/>
        <v>-0.45408564891956948</v>
      </c>
      <c r="BP51" s="5">
        <f t="shared" si="239"/>
        <v>-0.85302787070916586</v>
      </c>
      <c r="BQ51" s="5">
        <f t="shared" si="291"/>
        <v>-0.25719579164263062</v>
      </c>
      <c r="BR51" s="6">
        <f t="shared" si="292"/>
        <v>0.15326363383536037</v>
      </c>
      <c r="BS51" s="4">
        <f t="shared" si="458"/>
        <v>0</v>
      </c>
      <c r="BT51" s="5">
        <f t="shared" si="458"/>
        <v>0</v>
      </c>
      <c r="BU51" s="10">
        <f t="shared" si="119"/>
        <v>-1.5965661159988209E-2</v>
      </c>
      <c r="BV51" s="9">
        <f t="shared" si="120"/>
        <v>0</v>
      </c>
      <c r="BW51" s="5">
        <f t="shared" si="121"/>
        <v>1</v>
      </c>
      <c r="BX51" s="8">
        <f t="shared" si="122"/>
        <v>-1.5965661159988209E-2</v>
      </c>
      <c r="BY51" s="173">
        <f t="shared" si="123"/>
        <v>1</v>
      </c>
      <c r="BZ51" s="5">
        <f t="shared" si="124"/>
        <v>0</v>
      </c>
      <c r="CA51" s="6">
        <f t="shared" si="125"/>
        <v>-1.5965661159988209E-2</v>
      </c>
      <c r="CB51" s="4">
        <f t="shared" si="293"/>
        <v>0</v>
      </c>
      <c r="CC51" s="5">
        <f t="shared" si="294"/>
        <v>0</v>
      </c>
      <c r="CD51" s="5">
        <f t="shared" si="295"/>
        <v>-1</v>
      </c>
      <c r="CE51" s="6">
        <f t="shared" si="296"/>
        <v>-1.5965661159988209E-2</v>
      </c>
      <c r="CF51" s="4">
        <f t="shared" si="297"/>
        <v>0.85302787070916586</v>
      </c>
      <c r="CG51" s="5">
        <f t="shared" si="298"/>
        <v>-0.45408564891956948</v>
      </c>
      <c r="CH51" s="5">
        <f t="shared" si="299"/>
        <v>0</v>
      </c>
      <c r="CI51" s="4">
        <f t="shared" si="126"/>
        <v>0</v>
      </c>
      <c r="CJ51" s="5">
        <f t="shared" si="300"/>
        <v>0.18448393083062084</v>
      </c>
      <c r="CK51" s="8">
        <f t="shared" si="301"/>
        <v>-1.5965661159988209E-2</v>
      </c>
      <c r="CL51" s="173">
        <f t="shared" si="302"/>
        <v>0.85302787070916586</v>
      </c>
      <c r="CM51" s="5">
        <f t="shared" si="303"/>
        <v>-0.26960171808894862</v>
      </c>
      <c r="CN51" s="6">
        <f t="shared" si="304"/>
        <v>-1.5965661159988209E-2</v>
      </c>
      <c r="CO51" s="167">
        <f t="shared" si="305"/>
        <v>0.3125</v>
      </c>
      <c r="CP51" s="4">
        <f t="shared" si="306"/>
        <v>0.93385032476131991</v>
      </c>
      <c r="CQ51" s="5">
        <f t="shared" si="307"/>
        <v>-7.5107617474968995</v>
      </c>
      <c r="CR51" s="5">
        <f t="shared" si="308"/>
        <v>15.025648936016868</v>
      </c>
      <c r="CS51" s="8">
        <f t="shared" si="309"/>
        <v>0.28471347306694383</v>
      </c>
      <c r="CT51" s="9">
        <f t="shared" si="160"/>
        <v>4.3070859549209493</v>
      </c>
      <c r="CU51" s="6">
        <f t="shared" si="310"/>
        <v>3.7357037174139118</v>
      </c>
      <c r="CV51" s="4">
        <f t="shared" si="311"/>
        <v>3.6740643610875718</v>
      </c>
      <c r="CW51" s="5">
        <f t="shared" si="312"/>
        <v>-1.7713019899620221</v>
      </c>
      <c r="CX51" s="8">
        <f t="shared" si="313"/>
        <v>-1.5965661159988209E-2</v>
      </c>
      <c r="CY51" s="9">
        <f t="shared" si="314"/>
        <v>3.1866593876659048</v>
      </c>
      <c r="CZ51" s="5">
        <f t="shared" si="315"/>
        <v>-1.5118455158625235</v>
      </c>
      <c r="DA51" s="6">
        <f t="shared" si="316"/>
        <v>-1.5965661159988209E-2</v>
      </c>
      <c r="DB51" s="4">
        <f t="shared" si="462"/>
        <v>0</v>
      </c>
      <c r="DC51" s="5">
        <f t="shared" si="462"/>
        <v>0</v>
      </c>
      <c r="DD51" s="10">
        <f t="shared" si="168"/>
        <v>-10</v>
      </c>
      <c r="DE51" s="9">
        <f t="shared" si="463"/>
        <v>0</v>
      </c>
      <c r="DF51" s="5">
        <f t="shared" si="463"/>
        <v>0</v>
      </c>
      <c r="DG51" s="10">
        <f t="shared" si="170"/>
        <v>10</v>
      </c>
      <c r="DH51" s="70">
        <f t="shared" si="317"/>
        <v>2.9211999999999998</v>
      </c>
      <c r="DI51" s="4">
        <f t="shared" si="318"/>
        <v>0</v>
      </c>
      <c r="DJ51" s="5">
        <f t="shared" si="319"/>
        <v>0</v>
      </c>
      <c r="DK51" s="10">
        <f t="shared" si="320"/>
        <v>20</v>
      </c>
      <c r="DL51" s="9">
        <f t="shared" si="321"/>
        <v>3.6740643610875718</v>
      </c>
      <c r="DM51" s="173">
        <f t="shared" si="322"/>
        <v>-1.7713019899620221</v>
      </c>
      <c r="DN51" s="178">
        <f t="shared" si="323"/>
        <v>9.9840343388400115</v>
      </c>
      <c r="DO51" s="9">
        <f t="shared" si="324"/>
        <v>-0.487404973421667</v>
      </c>
      <c r="DP51" s="173">
        <f t="shared" si="325"/>
        <v>0.25945647409949868</v>
      </c>
      <c r="DQ51" s="11">
        <f t="shared" si="326"/>
        <v>0</v>
      </c>
      <c r="DR51" s="173">
        <f t="shared" si="327"/>
        <v>199.68068677680023</v>
      </c>
      <c r="DS51" s="5">
        <f t="shared" si="328"/>
        <v>0</v>
      </c>
      <c r="DT51" s="5">
        <f t="shared" si="329"/>
        <v>400</v>
      </c>
      <c r="DU51" s="5">
        <f t="shared" si="330"/>
        <v>0.30488127006831972</v>
      </c>
      <c r="DV51" s="5">
        <f t="shared" si="331"/>
        <v>-2.2503330111463535</v>
      </c>
      <c r="DW51" s="5">
        <f t="shared" si="332"/>
        <v>116.31720134819375</v>
      </c>
      <c r="DX51" s="167">
        <f t="shared" si="333"/>
        <v>107.78379190819375</v>
      </c>
      <c r="DY51" s="9">
        <f t="shared" si="334"/>
        <v>121.95250802732789</v>
      </c>
      <c r="DZ51" s="5">
        <f t="shared" si="335"/>
        <v>-900.1332044585414</v>
      </c>
      <c r="EA51" s="10">
        <f t="shared" si="336"/>
        <v>3241.1400916228959</v>
      </c>
      <c r="EB51" s="6">
        <f t="shared" si="337"/>
        <v>414974.62272746681</v>
      </c>
      <c r="EC51" s="173">
        <f t="shared" si="338"/>
        <v>12.663277442102284</v>
      </c>
      <c r="ED51" s="5">
        <f t="shared" si="339"/>
        <v>2.0987511380206247</v>
      </c>
      <c r="EE51" s="4">
        <f t="shared" si="340"/>
        <v>-2.4980800440114876</v>
      </c>
      <c r="EF51" s="5">
        <f t="shared" si="341"/>
        <v>1.5142673257095549</v>
      </c>
      <c r="EG51" s="10">
        <f t="shared" si="342"/>
        <v>-1.5965661159988209E-2</v>
      </c>
      <c r="EH51" s="9">
        <f t="shared" si="343"/>
        <v>2.6511226184419359</v>
      </c>
      <c r="EI51" s="5">
        <f t="shared" si="344"/>
        <v>-1.2267674196788807</v>
      </c>
      <c r="EJ51" s="6">
        <f t="shared" si="345"/>
        <v>-1.5965661159988209E-2</v>
      </c>
      <c r="EK51" s="236" t="b">
        <f t="shared" si="200"/>
        <v>0</v>
      </c>
      <c r="EL51" s="238" t="b">
        <f t="shared" si="201"/>
        <v>0</v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e">
        <f t="shared" si="349"/>
        <v>#VALUE!</v>
      </c>
      <c r="EQ51" s="5" t="e">
        <f t="shared" si="350"/>
        <v>#VALUE!</v>
      </c>
      <c r="ER51" s="7" t="str">
        <f t="shared" si="351"/>
        <v/>
      </c>
      <c r="ES51" s="21">
        <f t="shared" si="352"/>
        <v>-0.45408564891956948</v>
      </c>
      <c r="ET51" s="5">
        <f t="shared" si="353"/>
        <v>-0.85302787070916619</v>
      </c>
      <c r="EU51" s="10">
        <f t="shared" si="354"/>
        <v>-0.25719579164263068</v>
      </c>
      <c r="EV51" s="174" t="e">
        <f t="shared" si="355"/>
        <v>#VALUE!</v>
      </c>
      <c r="EW51" s="9" t="e">
        <f t="shared" si="356"/>
        <v>#VALUE!</v>
      </c>
      <c r="EX51" s="5" t="e">
        <f t="shared" si="357"/>
        <v>#VALUE!</v>
      </c>
      <c r="EY51" s="6">
        <f t="shared" si="358"/>
        <v>-0.25719579164263068</v>
      </c>
      <c r="EZ51" s="51" t="e">
        <f t="shared" si="209"/>
        <v>#VALUE!</v>
      </c>
      <c r="FA51" s="266" t="e">
        <f t="shared" si="134"/>
        <v>#VALUE!</v>
      </c>
      <c r="FB51" s="267" t="e">
        <f t="shared" si="135"/>
        <v>#VALUE!</v>
      </c>
      <c r="FC51" s="269" t="e">
        <f t="shared" si="48"/>
        <v>#VALUE!</v>
      </c>
      <c r="FD51" s="4" t="e">
        <f t="shared" si="359"/>
        <v>#VALUE!</v>
      </c>
      <c r="FE51" s="5" t="e">
        <f t="shared" si="360"/>
        <v>#VALUE!</v>
      </c>
      <c r="FF51" s="7" t="e">
        <f t="shared" si="361"/>
        <v>#VALUE!</v>
      </c>
      <c r="FG51" s="173" t="e">
        <f t="shared" si="362"/>
        <v>#VALUE!</v>
      </c>
      <c r="FH51" s="5" t="e">
        <f t="shared" si="363"/>
        <v>#VALUE!</v>
      </c>
      <c r="FI51" s="10" t="e">
        <f t="shared" si="364"/>
        <v>#VALUE!</v>
      </c>
      <c r="FJ51" s="279" t="e">
        <f t="shared" si="365"/>
        <v>#VALUE!</v>
      </c>
      <c r="FK51" s="4">
        <f t="shared" si="366"/>
        <v>0.96635931452090862</v>
      </c>
      <c r="FL51" s="5" t="e">
        <f t="shared" si="367"/>
        <v>#VALUE!</v>
      </c>
      <c r="FM51" s="8" t="e">
        <f t="shared" si="368"/>
        <v>#VALUE!</v>
      </c>
      <c r="FN51" s="9" t="e">
        <f t="shared" si="369"/>
        <v>#VALUE!</v>
      </c>
      <c r="FO51" s="10" t="e">
        <f t="shared" si="370"/>
        <v>#VALUE!</v>
      </c>
      <c r="FP51" s="277" t="e">
        <f t="shared" si="371"/>
        <v>#VALUE!</v>
      </c>
      <c r="FQ51" s="173" t="e">
        <f t="shared" si="372"/>
        <v>#VALUE!</v>
      </c>
      <c r="FR51" s="10" t="e">
        <f t="shared" si="373"/>
        <v>#VALUE!</v>
      </c>
      <c r="FS51" s="9" t="e">
        <f t="shared" si="374"/>
        <v>#VALUE!</v>
      </c>
      <c r="FT51" s="6" t="e">
        <f t="shared" si="375"/>
        <v>#VALUE!</v>
      </c>
      <c r="FU51" s="4" t="e">
        <f t="shared" si="376"/>
        <v>#VALUE!</v>
      </c>
      <c r="FV51" s="5" t="e">
        <f t="shared" si="377"/>
        <v>#VALUE!</v>
      </c>
      <c r="FW51" s="8" t="e">
        <f t="shared" si="378"/>
        <v>#VALUE!</v>
      </c>
      <c r="FX51" s="9" t="e">
        <f t="shared" si="379"/>
        <v>#VALUE!</v>
      </c>
      <c r="FY51" s="10" t="e">
        <f t="shared" si="380"/>
        <v>#VALUE!</v>
      </c>
      <c r="FZ51" s="277" t="e">
        <f t="shared" si="381"/>
        <v>#VALUE!</v>
      </c>
      <c r="GA51" s="177" t="e">
        <f t="shared" si="382"/>
        <v>#VALUE!</v>
      </c>
      <c r="GB51" s="4" t="e">
        <f t="shared" si="383"/>
        <v>#VALUE!</v>
      </c>
      <c r="GC51" s="5" t="e">
        <f t="shared" si="384"/>
        <v>#VALUE!</v>
      </c>
      <c r="GD51" s="10" t="e">
        <f t="shared" si="385"/>
        <v>#VALUE!</v>
      </c>
      <c r="GE51" s="311" t="e">
        <f t="shared" si="386"/>
        <v>#VALUE!</v>
      </c>
      <c r="GF51" s="341" t="e">
        <f t="shared" si="387"/>
        <v>#VALUE!</v>
      </c>
      <c r="GG51" s="285" t="e">
        <f t="shared" si="388"/>
        <v>#VALUE!</v>
      </c>
      <c r="GH51" s="286" t="e">
        <f t="shared" si="389"/>
        <v>#VALUE!</v>
      </c>
      <c r="GI51" s="281" t="e">
        <f t="shared" si="390"/>
        <v>#VALUE!</v>
      </c>
      <c r="GJ51" s="167">
        <f t="shared" si="391"/>
        <v>2.9211999999999998</v>
      </c>
      <c r="GK51" s="174">
        <f t="shared" si="59"/>
        <v>1.5296786188001992</v>
      </c>
      <c r="GL51" s="174">
        <f t="shared" si="392"/>
        <v>3.6299999999999999E-2</v>
      </c>
      <c r="GM51" s="177">
        <f t="shared" si="393"/>
        <v>0.66632800634936673</v>
      </c>
      <c r="GN51" s="280">
        <f t="shared" si="394"/>
        <v>7.5929664239611533E-2</v>
      </c>
      <c r="GO51" s="4" t="e">
        <f t="shared" si="395"/>
        <v>#VALUE!</v>
      </c>
      <c r="GP51" s="8" t="e">
        <f t="shared" si="396"/>
        <v>#VALUE!</v>
      </c>
      <c r="GQ51" s="177" t="e">
        <f t="shared" si="397"/>
        <v>#VALUE!</v>
      </c>
      <c r="GR51" s="371" t="e">
        <f t="shared" si="398"/>
        <v>#VALUE!</v>
      </c>
      <c r="GS51" s="342" t="e">
        <f t="shared" si="399"/>
        <v>#VALUE!</v>
      </c>
      <c r="GT51" s="343" t="e">
        <f t="shared" si="400"/>
        <v>#VALUE!</v>
      </c>
      <c r="GU51" s="344">
        <f t="shared" si="63"/>
        <v>1638.0563489421932</v>
      </c>
      <c r="GV51" s="343">
        <f t="shared" si="401"/>
        <v>1070.8499999999999</v>
      </c>
      <c r="GW51" s="345">
        <f t="shared" si="64"/>
        <v>29500</v>
      </c>
      <c r="GX51" s="346">
        <f t="shared" si="65"/>
        <v>260.68058499999995</v>
      </c>
      <c r="GY51" s="344" t="e">
        <f t="shared" si="402"/>
        <v>#VALUE!</v>
      </c>
      <c r="GZ51" s="345" t="e">
        <f t="shared" si="403"/>
        <v>#VALUE!</v>
      </c>
      <c r="HA51" s="342" t="e">
        <f t="shared" si="68"/>
        <v>#VALUE!</v>
      </c>
      <c r="HB51" s="5" t="e">
        <f t="shared" si="231"/>
        <v>#VALUE!</v>
      </c>
      <c r="HC51" s="343" t="e">
        <f t="shared" si="404"/>
        <v>#VALUE!</v>
      </c>
      <c r="HD51" s="345" t="e">
        <f t="shared" si="405"/>
        <v>#VALUE!</v>
      </c>
      <c r="HE51" s="344" t="e">
        <f t="shared" si="69"/>
        <v>#VALUE!</v>
      </c>
      <c r="HF51" s="5" t="e">
        <f t="shared" si="70"/>
        <v>#VALUE!</v>
      </c>
      <c r="HG51" s="343" t="e">
        <f t="shared" si="406"/>
        <v>#VALUE!</v>
      </c>
      <c r="HH51" s="349" t="e">
        <f t="shared" si="407"/>
        <v>#VALUE!</v>
      </c>
      <c r="HI51" s="317">
        <f t="shared" si="408"/>
        <v>3.1150000000000002</v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3.1150000000000002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26"/>
        <v>1613</v>
      </c>
      <c r="IM51" s="482" t="str">
        <f t="shared" si="237"/>
        <v/>
      </c>
      <c r="IN51" s="670" t="str">
        <f t="shared" si="427"/>
        <v/>
      </c>
      <c r="IO51" s="702"/>
      <c r="IP51" s="5" t="str">
        <f t="shared" si="428"/>
        <v/>
      </c>
      <c r="IQ51" s="714"/>
      <c r="IR51" s="9" t="str">
        <f t="shared" si="429"/>
        <v/>
      </c>
      <c r="IS51" s="5" t="str">
        <f t="shared" si="430"/>
        <v/>
      </c>
      <c r="IT51" s="5" t="str">
        <f t="shared" si="431"/>
        <v/>
      </c>
      <c r="IU51" s="5" t="str">
        <f t="shared" si="432"/>
        <v/>
      </c>
      <c r="IV51" s="670" t="str">
        <f t="shared" si="433"/>
        <v/>
      </c>
      <c r="IW51" s="9" t="str">
        <f t="shared" si="434"/>
        <v/>
      </c>
      <c r="IX51" s="5" t="str">
        <f t="shared" si="435"/>
        <v/>
      </c>
      <c r="IY51" s="5" t="str">
        <f t="shared" si="436"/>
        <v/>
      </c>
      <c r="IZ51" s="5" t="str">
        <f t="shared" si="437"/>
        <v/>
      </c>
      <c r="JA51" s="705" t="str">
        <f t="shared" si="438"/>
        <v/>
      </c>
    </row>
    <row r="52" spans="1:261" ht="15" customHeight="1" x14ac:dyDescent="0.25">
      <c r="A52" s="75">
        <f t="shared" si="256"/>
        <v>0</v>
      </c>
      <c r="B52" s="578">
        <f t="shared" si="257"/>
        <v>4.1176361178690124</v>
      </c>
      <c r="C52" s="572">
        <f t="shared" si="258"/>
        <v>-1.9462161443438679</v>
      </c>
      <c r="D52" s="576">
        <f t="shared" si="259"/>
        <v>-0.26415079667880281</v>
      </c>
      <c r="E52" s="580">
        <f t="shared" si="260"/>
        <v>0.50697460253062243</v>
      </c>
      <c r="F52" s="572">
        <f t="shared" si="261"/>
        <v>0.82518569121787888</v>
      </c>
      <c r="G52" s="579">
        <f t="shared" si="262"/>
        <v>0.2490889949359244</v>
      </c>
      <c r="H52" s="580">
        <f t="shared" si="263"/>
        <v>0.3125</v>
      </c>
      <c r="I52" s="572">
        <f t="shared" si="264"/>
        <v>0.52</v>
      </c>
      <c r="J52" s="483">
        <f t="shared" si="265"/>
        <v>3.1179999999999999</v>
      </c>
      <c r="K52" s="806">
        <f t="shared" si="266"/>
        <v>1613</v>
      </c>
      <c r="L52" s="309"/>
      <c r="M52" s="164">
        <f t="shared" si="267"/>
        <v>3.1179999999999999</v>
      </c>
      <c r="N52" s="575">
        <f t="shared" si="268"/>
        <v>4.1176361178690124</v>
      </c>
      <c r="O52" s="572">
        <f t="shared" si="269"/>
        <v>-1.9462161443438679</v>
      </c>
      <c r="P52" s="576">
        <f t="shared" si="270"/>
        <v>-0.26415079667880281</v>
      </c>
      <c r="Q52" s="528">
        <f t="shared" si="140"/>
        <v>334.70206466939317</v>
      </c>
      <c r="R52" s="572">
        <f t="shared" si="101"/>
        <v>4.5544137361118278</v>
      </c>
      <c r="S52" s="577">
        <f t="shared" si="102"/>
        <v>-0.26415079667880281</v>
      </c>
      <c r="T52" s="578">
        <f t="shared" si="103"/>
        <v>-1.946216257531745</v>
      </c>
      <c r="U52" s="572">
        <f t="shared" si="104"/>
        <v>-4.1176360643703358</v>
      </c>
      <c r="V52" s="579">
        <f t="shared" si="141"/>
        <v>-0.26415079667880281</v>
      </c>
      <c r="W52" s="528">
        <f t="shared" si="253"/>
        <v>244.70206309441483</v>
      </c>
      <c r="X52" s="572">
        <f t="shared" si="105"/>
        <v>4.5544137361118278</v>
      </c>
      <c r="Y52" s="573">
        <f t="shared" si="255"/>
        <v>-0.26415079667880281</v>
      </c>
      <c r="Z52" s="575">
        <f t="shared" si="271"/>
        <v>-0.50697460253062243</v>
      </c>
      <c r="AA52" s="572">
        <f t="shared" si="272"/>
        <v>-0.82518569121787888</v>
      </c>
      <c r="AB52" s="572">
        <f t="shared" si="273"/>
        <v>-0.2490889949359244</v>
      </c>
      <c r="AC52" s="579">
        <f t="shared" si="106"/>
        <v>1</v>
      </c>
      <c r="AD52" s="580">
        <f t="shared" si="142"/>
        <v>-0.50697460253062243</v>
      </c>
      <c r="AE52" s="572">
        <f t="shared" si="107"/>
        <v>-0.82518569121787888</v>
      </c>
      <c r="AF52" s="576">
        <f t="shared" si="108"/>
        <v>-0.2490889949359244</v>
      </c>
      <c r="AG52" s="545">
        <f t="shared" si="109"/>
        <v>-73.203134239101729</v>
      </c>
      <c r="AH52" s="546">
        <f t="shared" si="110"/>
        <v>120.46251882491283</v>
      </c>
      <c r="AI52" s="528">
        <f t="shared" si="111"/>
        <v>-75.576389842205202</v>
      </c>
      <c r="AJ52" s="529">
        <f t="shared" si="112"/>
        <v>-31.565583499417137</v>
      </c>
      <c r="AK52" s="578">
        <f t="shared" si="238"/>
        <v>0.96269175713227328</v>
      </c>
      <c r="AL52" s="572">
        <f t="shared" si="113"/>
        <v>-0.10573198830716984</v>
      </c>
      <c r="AM52" s="577">
        <f t="shared" si="114"/>
        <v>-0.2490889949359244</v>
      </c>
      <c r="AN52" s="524">
        <f t="shared" si="115"/>
        <v>-22.999996679211449</v>
      </c>
      <c r="AO52" s="525">
        <f t="shared" si="116"/>
        <v>15.699997733200757</v>
      </c>
      <c r="AP52" s="528">
        <f t="shared" si="117"/>
        <v>-6.2676481688103189</v>
      </c>
      <c r="AQ52" s="529">
        <f t="shared" si="274"/>
        <v>0.50054052358548051</v>
      </c>
      <c r="AS52" s="932">
        <f t="shared" si="461"/>
        <v>-115.29793690558517</v>
      </c>
      <c r="AT52" s="928">
        <f t="shared" si="275"/>
        <v>-0.18408277443692081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3.1179999999999999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1613</v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</v>
      </c>
      <c r="B53" s="578">
        <f t="shared" si="257"/>
        <v>4.7337839926810918</v>
      </c>
      <c r="C53" s="572">
        <f t="shared" si="258"/>
        <v>-2.2934925373107808</v>
      </c>
      <c r="D53" s="576">
        <f t="shared" si="259"/>
        <v>-0.54765165171738117</v>
      </c>
      <c r="E53" s="580">
        <f t="shared" si="260"/>
        <v>0.56429881365466028</v>
      </c>
      <c r="F53" s="572">
        <f t="shared" si="261"/>
        <v>0.79202765664183294</v>
      </c>
      <c r="G53" s="579">
        <f t="shared" si="262"/>
        <v>0.23293569933007238</v>
      </c>
      <c r="H53" s="580">
        <f t="shared" si="263"/>
        <v>0.3125</v>
      </c>
      <c r="I53" s="572">
        <f t="shared" si="264"/>
        <v>0.52</v>
      </c>
      <c r="J53" s="483">
        <f t="shared" si="265"/>
        <v>3.121</v>
      </c>
      <c r="K53" s="806">
        <f t="shared" si="266"/>
        <v>1613</v>
      </c>
      <c r="L53" s="309"/>
      <c r="M53" s="164">
        <f t="shared" si="267"/>
        <v>3.121</v>
      </c>
      <c r="N53" s="575">
        <f t="shared" si="268"/>
        <v>4.7337839926810918</v>
      </c>
      <c r="O53" s="572">
        <f t="shared" si="269"/>
        <v>-2.2934925373107808</v>
      </c>
      <c r="P53" s="576">
        <f t="shared" si="270"/>
        <v>-0.54765165171738117</v>
      </c>
      <c r="Q53" s="528">
        <f t="shared" si="140"/>
        <v>334.15006474909211</v>
      </c>
      <c r="R53" s="572">
        <f t="shared" ref="R53:R58" si="464">IF(M53="","",SQRT(N53^2+O53^2))</f>
        <v>5.2601158645094488</v>
      </c>
      <c r="S53" s="577">
        <f t="shared" ref="S53:S58" si="465">IF(M53="","",P53)</f>
        <v>-0.54765165171738117</v>
      </c>
      <c r="T53" s="578">
        <f t="shared" ref="T53:T58" si="466">IF(M53="","",X53*COS(RADIANS(W53)))</f>
        <v>-2.2934926674356713</v>
      </c>
      <c r="U53" s="572">
        <f t="shared" ref="U53:U58" si="467">IF(M53="","",X53*SIN(RADIANS(W53)))</f>
        <v>-4.7337839296362896</v>
      </c>
      <c r="V53" s="579">
        <f t="shared" ref="V53:V58" si="468">IF(M53="","",Y53)</f>
        <v>-0.54765165171738117</v>
      </c>
      <c r="W53" s="528">
        <f t="shared" si="253"/>
        <v>244.15006317411377</v>
      </c>
      <c r="X53" s="572">
        <f t="shared" ref="X53:X58" si="469">IF(M53="","",R53)</f>
        <v>5.2601158645094488</v>
      </c>
      <c r="Y53" s="573">
        <f t="shared" si="255"/>
        <v>-0.54765165171738117</v>
      </c>
      <c r="Z53" s="575">
        <f t="shared" si="271"/>
        <v>-0.56429881365466028</v>
      </c>
      <c r="AA53" s="572">
        <f t="shared" si="272"/>
        <v>-0.79202765664183294</v>
      </c>
      <c r="AB53" s="572">
        <f t="shared" si="273"/>
        <v>-0.23293569933007238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-0.56429881365466028</v>
      </c>
      <c r="AE53" s="572">
        <f t="shared" ref="AE53:AE58" si="472">IF(M53="","",AA53*(1/SQRT(Z53^2+AA53^2+AB53^2)))</f>
        <v>-0.79202765664183294</v>
      </c>
      <c r="AF53" s="576">
        <f t="shared" ref="AF53:AF58" si="473">IF(M53="","",AB53*(1/SQRT(Z53^2+AA53^2+AB53^2)))</f>
        <v>-0.23293569933007238</v>
      </c>
      <c r="AG53" s="545">
        <f t="shared" ref="AG53:AG58" si="474">IF(M53="","",DEGREES(ATAN2(-AF53,AE53)))</f>
        <v>-73.611365934277288</v>
      </c>
      <c r="AH53" s="546">
        <f t="shared" ref="AH53:AH58" si="475">IF(M53="","",DEGREES(ACOS(AD53)))</f>
        <v>124.3536138365524</v>
      </c>
      <c r="AI53" s="528">
        <f t="shared" ref="AI53:AI58" si="476">IF(M53="","",DEGREES(-ACOS(-AF53)))</f>
        <v>-76.530029508253904</v>
      </c>
      <c r="AJ53" s="529">
        <f t="shared" ref="AJ53:AJ58" si="477">IF(M53="","",DEGREES(ATAN2(-AE53,AD53)))</f>
        <v>-35.468869725519141</v>
      </c>
      <c r="AK53" s="578">
        <f t="shared" ref="AK53:AK58" si="478">IF(M53="","",(COS(RADIANS((90-$Q$8)-W53))*AD53)+(-SIN(RADIANS((90-$Q$8)-W53))*AE53))</f>
        <v>0.95881974667728453</v>
      </c>
      <c r="AL53" s="572">
        <f t="shared" ref="AL53:AL58" si="479">IF(M53="","",(SIN(RADIANS((90-$Q$8)-W53))*AD53)+(COS(RADIANS((90-$Q$8)-W53))*AE53))</f>
        <v>-0.16249816417214713</v>
      </c>
      <c r="AM53" s="577">
        <f t="shared" ref="AM53:AM58" si="480">IF(M53="","",AF53)</f>
        <v>-0.23293569933007238</v>
      </c>
      <c r="AN53" s="524">
        <f t="shared" ref="AN53:AN58" si="481">IF(M53="","",DEGREES(ATAN2(-AM53,AL53)))</f>
        <v>-34.899994961064216</v>
      </c>
      <c r="AO53" s="525">
        <f t="shared" si="116"/>
        <v>16.499997617695097</v>
      </c>
      <c r="AP53" s="528">
        <f t="shared" ref="AP53:AP58" si="482">IF(M53="","",DEGREES(ATAN2(AK53,AL53)))</f>
        <v>-9.618934474611228</v>
      </c>
      <c r="AQ53" s="529">
        <f t="shared" si="274"/>
        <v>0.43339029253368283</v>
      </c>
      <c r="AS53" s="932">
        <f t="shared" si="461"/>
        <v>-115.84993682588623</v>
      </c>
      <c r="AT53" s="928">
        <f t="shared" si="275"/>
        <v>-0.46720029619751235</v>
      </c>
      <c r="AU53" s="418"/>
      <c r="AV53" s="164">
        <f t="shared" si="276"/>
        <v>3.121</v>
      </c>
      <c r="AW53" s="829">
        <f>IFERROR(INDEX(MassProp!C$9:C$150,MATCH($M53,MassProp!$B$9:$B$150,0)),"")</f>
        <v>3.6800999999999999</v>
      </c>
      <c r="AX53" s="830">
        <f>IFERROR(INDEX(MassProp!D$9:D$150,MATCH($M53,MassProp!$B$9:$B$150,0)),"")</f>
        <v>-4.1399999999999999E-2</v>
      </c>
      <c r="AY53" s="831">
        <f>IFERROR(INDEX(MassProp!E$9:E$150,MATCH($M53,MassProp!$B$9:$B$150,0)),"")</f>
        <v>2.9899999999999999E-2</v>
      </c>
      <c r="AZ53" s="297">
        <f t="shared" si="277"/>
        <v>0.69141064059948498</v>
      </c>
      <c r="BA53" s="296">
        <f t="shared" si="278"/>
        <v>7.8787890186455323E-2</v>
      </c>
      <c r="BB53" s="190">
        <f t="shared" si="145"/>
        <v>0.17580029619751236</v>
      </c>
      <c r="BC53" s="9"/>
      <c r="BD53" s="5">
        <f t="shared" si="279"/>
        <v>3.6800999999999999</v>
      </c>
      <c r="BE53" s="6">
        <f t="shared" si="280"/>
        <v>-0.37185135551986881</v>
      </c>
      <c r="BF53" s="4">
        <f t="shared" si="281"/>
        <v>4.7337839926810918</v>
      </c>
      <c r="BG53" s="5">
        <f t="shared" si="282"/>
        <v>-2.2934925373107808</v>
      </c>
      <c r="BH53" s="10">
        <f t="shared" si="283"/>
        <v>-0.54765165171738117</v>
      </c>
      <c r="BI53" s="9">
        <f t="shared" si="284"/>
        <v>4.7337839926810918</v>
      </c>
      <c r="BJ53" s="5">
        <f t="shared" si="285"/>
        <v>-2.0113413879897477</v>
      </c>
      <c r="BK53" s="8">
        <f t="shared" si="286"/>
        <v>-1.5070216162966461</v>
      </c>
      <c r="BL53" s="173">
        <f t="shared" si="287"/>
        <v>5.5593546128632436</v>
      </c>
      <c r="BM53" s="5">
        <f t="shared" si="288"/>
        <v>-2.8348638701787738</v>
      </c>
      <c r="BN53" s="6">
        <f t="shared" si="289"/>
        <v>-0.70686921055053908</v>
      </c>
      <c r="BO53" s="4">
        <f t="shared" si="290"/>
        <v>-0.56429881365466095</v>
      </c>
      <c r="BP53" s="5">
        <f t="shared" si="239"/>
        <v>-0.79202765664183372</v>
      </c>
      <c r="BQ53" s="5">
        <f t="shared" si="291"/>
        <v>-0.23293569933007241</v>
      </c>
      <c r="BR53" s="6">
        <f t="shared" si="292"/>
        <v>0.72719155083351539</v>
      </c>
      <c r="BS53" s="4">
        <f t="shared" si="458"/>
        <v>0</v>
      </c>
      <c r="BT53" s="5">
        <f t="shared" si="458"/>
        <v>0</v>
      </c>
      <c r="BU53" s="10">
        <f t="shared" si="119"/>
        <v>-0.37185135551986881</v>
      </c>
      <c r="BV53" s="9">
        <f t="shared" si="120"/>
        <v>0</v>
      </c>
      <c r="BW53" s="5">
        <f t="shared" si="121"/>
        <v>1</v>
      </c>
      <c r="BX53" s="8">
        <f t="shared" si="122"/>
        <v>-0.37185135551986881</v>
      </c>
      <c r="BY53" s="173">
        <f t="shared" si="123"/>
        <v>1</v>
      </c>
      <c r="BZ53" s="5">
        <f t="shared" si="124"/>
        <v>0</v>
      </c>
      <c r="CA53" s="6">
        <f t="shared" si="125"/>
        <v>-0.37185135551986881</v>
      </c>
      <c r="CB53" s="4">
        <f t="shared" si="293"/>
        <v>0</v>
      </c>
      <c r="CC53" s="5">
        <f t="shared" si="294"/>
        <v>0</v>
      </c>
      <c r="CD53" s="5">
        <f t="shared" si="295"/>
        <v>-1</v>
      </c>
      <c r="CE53" s="6">
        <f t="shared" si="296"/>
        <v>-0.37185135551986881</v>
      </c>
      <c r="CF53" s="4">
        <f t="shared" si="297"/>
        <v>0.79202765664183372</v>
      </c>
      <c r="CG53" s="5">
        <f t="shared" si="298"/>
        <v>-0.56429881365466095</v>
      </c>
      <c r="CH53" s="5">
        <f t="shared" si="299"/>
        <v>0</v>
      </c>
      <c r="CI53" s="4">
        <f t="shared" si="126"/>
        <v>0</v>
      </c>
      <c r="CJ53" s="5">
        <f t="shared" si="300"/>
        <v>1.0275007438867598</v>
      </c>
      <c r="CK53" s="8">
        <f t="shared" si="301"/>
        <v>-0.37185135551986881</v>
      </c>
      <c r="CL53" s="173">
        <f t="shared" si="302"/>
        <v>0.79202765664183372</v>
      </c>
      <c r="CM53" s="5">
        <f t="shared" si="303"/>
        <v>0.46320193023209888</v>
      </c>
      <c r="CN53" s="6">
        <f t="shared" si="304"/>
        <v>-0.37185135551986881</v>
      </c>
      <c r="CO53" s="167">
        <f t="shared" si="305"/>
        <v>0.3125</v>
      </c>
      <c r="CP53" s="4">
        <f t="shared" si="306"/>
        <v>0.94574095997761232</v>
      </c>
      <c r="CQ53" s="5">
        <f t="shared" si="307"/>
        <v>-11.246640823013401</v>
      </c>
      <c r="CR53" s="5">
        <f t="shared" si="308"/>
        <v>33.370956757266079</v>
      </c>
      <c r="CS53" s="8">
        <f t="shared" si="309"/>
        <v>0.24580708591869893</v>
      </c>
      <c r="CT53" s="9">
        <f t="shared" si="160"/>
        <v>6.2080583776822644</v>
      </c>
      <c r="CU53" s="6">
        <f t="shared" si="310"/>
        <v>5.6838245997449075</v>
      </c>
      <c r="CV53" s="4">
        <f t="shared" si="311"/>
        <v>4.9169539291713882</v>
      </c>
      <c r="CW53" s="5">
        <f t="shared" si="312"/>
        <v>-2.4756992337382213</v>
      </c>
      <c r="CX53" s="8">
        <f t="shared" si="313"/>
        <v>-0.37185135551986881</v>
      </c>
      <c r="CY53" s="9">
        <f t="shared" si="314"/>
        <v>4.5017462784991675</v>
      </c>
      <c r="CZ53" s="5">
        <f t="shared" si="315"/>
        <v>-2.1798747347704692</v>
      </c>
      <c r="DA53" s="6">
        <f t="shared" si="316"/>
        <v>-0.37185135551986881</v>
      </c>
      <c r="DB53" s="4">
        <f t="shared" si="462"/>
        <v>0</v>
      </c>
      <c r="DC53" s="5">
        <f t="shared" si="462"/>
        <v>0</v>
      </c>
      <c r="DD53" s="10">
        <f t="shared" si="168"/>
        <v>-10</v>
      </c>
      <c r="DE53" s="9">
        <f t="shared" si="463"/>
        <v>0</v>
      </c>
      <c r="DF53" s="5">
        <f t="shared" si="463"/>
        <v>0</v>
      </c>
      <c r="DG53" s="10">
        <f t="shared" si="170"/>
        <v>10</v>
      </c>
      <c r="DH53" s="70">
        <f t="shared" si="317"/>
        <v>3.6800999999999999</v>
      </c>
      <c r="DI53" s="4">
        <f t="shared" si="318"/>
        <v>0</v>
      </c>
      <c r="DJ53" s="5">
        <f t="shared" si="319"/>
        <v>0</v>
      </c>
      <c r="DK53" s="10">
        <f t="shared" si="320"/>
        <v>20</v>
      </c>
      <c r="DL53" s="9">
        <f t="shared" si="321"/>
        <v>4.9169539291713882</v>
      </c>
      <c r="DM53" s="173">
        <f t="shared" si="322"/>
        <v>-2.4756992337382213</v>
      </c>
      <c r="DN53" s="178">
        <f t="shared" si="323"/>
        <v>9.628148644480131</v>
      </c>
      <c r="DO53" s="9">
        <f t="shared" si="324"/>
        <v>-0.41520765067222065</v>
      </c>
      <c r="DP53" s="173">
        <f t="shared" si="325"/>
        <v>0.29582449896775209</v>
      </c>
      <c r="DQ53" s="11">
        <f t="shared" si="326"/>
        <v>0</v>
      </c>
      <c r="DR53" s="173">
        <f t="shared" si="327"/>
        <v>192.56297288960263</v>
      </c>
      <c r="DS53" s="5">
        <f t="shared" si="328"/>
        <v>0</v>
      </c>
      <c r="DT53" s="5">
        <f t="shared" si="329"/>
        <v>400</v>
      </c>
      <c r="DU53" s="5">
        <f t="shared" si="330"/>
        <v>0.25990952736626638</v>
      </c>
      <c r="DV53" s="5">
        <f t="shared" si="331"/>
        <v>-2.7739293748102534</v>
      </c>
      <c r="DW53" s="5">
        <f t="shared" si="332"/>
        <v>123.00676895773056</v>
      </c>
      <c r="DX53" s="167">
        <f t="shared" si="333"/>
        <v>109.46363294773056</v>
      </c>
      <c r="DY53" s="9">
        <f t="shared" si="334"/>
        <v>103.96381094650656</v>
      </c>
      <c r="DZ53" s="5">
        <f t="shared" si="335"/>
        <v>-1109.5717499241014</v>
      </c>
      <c r="EA53" s="10">
        <f t="shared" si="336"/>
        <v>6704.9546510103901</v>
      </c>
      <c r="EB53" s="6">
        <f t="shared" si="337"/>
        <v>534076.83048708853</v>
      </c>
      <c r="EC53" s="173">
        <f t="shared" si="338"/>
        <v>17.702095920965185</v>
      </c>
      <c r="ED53" s="5">
        <f t="shared" si="339"/>
        <v>3.6432499224075503</v>
      </c>
      <c r="EE53" s="4">
        <f t="shared" si="340"/>
        <v>-2.4330917301468666</v>
      </c>
      <c r="EF53" s="5">
        <f t="shared" si="341"/>
        <v>2.7610144227603923</v>
      </c>
      <c r="EG53" s="10">
        <f t="shared" si="342"/>
        <v>-0.37185135551986881</v>
      </c>
      <c r="EH53" s="9">
        <f t="shared" si="343"/>
        <v>3.404248688076799</v>
      </c>
      <c r="EI53" s="5">
        <f t="shared" si="344"/>
        <v>-1.397936650827706</v>
      </c>
      <c r="EJ53" s="6">
        <f t="shared" si="345"/>
        <v>-0.37185135551986881</v>
      </c>
      <c r="EK53" s="236" t="b">
        <f t="shared" si="200"/>
        <v>0</v>
      </c>
      <c r="EL53" s="238" t="b">
        <f t="shared" si="201"/>
        <v>0</v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e">
        <f t="shared" si="349"/>
        <v>#VALUE!</v>
      </c>
      <c r="EQ53" s="5" t="e">
        <f t="shared" si="350"/>
        <v>#VALUE!</v>
      </c>
      <c r="ER53" s="7" t="str">
        <f t="shared" si="351"/>
        <v/>
      </c>
      <c r="ES53" s="21">
        <f t="shared" si="352"/>
        <v>-0.56429881365466028</v>
      </c>
      <c r="ET53" s="5">
        <f t="shared" si="353"/>
        <v>-0.79202765664183294</v>
      </c>
      <c r="EU53" s="10">
        <f t="shared" si="354"/>
        <v>-0.23293569933007238</v>
      </c>
      <c r="EV53" s="174" t="e">
        <f t="shared" si="355"/>
        <v>#VALUE!</v>
      </c>
      <c r="EW53" s="9" t="e">
        <f t="shared" si="356"/>
        <v>#VALUE!</v>
      </c>
      <c r="EX53" s="5" t="e">
        <f t="shared" si="357"/>
        <v>#VALUE!</v>
      </c>
      <c r="EY53" s="6">
        <f t="shared" si="358"/>
        <v>-0.23293569933007238</v>
      </c>
      <c r="EZ53" s="51" t="e">
        <f t="shared" si="209"/>
        <v>#VALUE!</v>
      </c>
      <c r="FA53" s="266" t="e">
        <f t="shared" si="134"/>
        <v>#VALUE!</v>
      </c>
      <c r="FB53" s="267" t="e">
        <f t="shared" si="135"/>
        <v>#VALUE!</v>
      </c>
      <c r="FC53" s="269" t="e">
        <f t="shared" si="48"/>
        <v>#VALUE!</v>
      </c>
      <c r="FD53" s="4" t="e">
        <f t="shared" si="359"/>
        <v>#VALUE!</v>
      </c>
      <c r="FE53" s="5" t="e">
        <f t="shared" si="360"/>
        <v>#VALUE!</v>
      </c>
      <c r="FF53" s="7" t="e">
        <f t="shared" si="361"/>
        <v>#VALUE!</v>
      </c>
      <c r="FG53" s="173" t="e">
        <f t="shared" si="362"/>
        <v>#VALUE!</v>
      </c>
      <c r="FH53" s="5" t="e">
        <f t="shared" si="363"/>
        <v>#VALUE!</v>
      </c>
      <c r="FI53" s="10" t="e">
        <f t="shared" si="364"/>
        <v>#VALUE!</v>
      </c>
      <c r="FJ53" s="279" t="e">
        <f t="shared" si="365"/>
        <v>#VALUE!</v>
      </c>
      <c r="FK53" s="4">
        <f t="shared" si="366"/>
        <v>0.97249213877419616</v>
      </c>
      <c r="FL53" s="5" t="e">
        <f t="shared" si="367"/>
        <v>#VALUE!</v>
      </c>
      <c r="FM53" s="8" t="e">
        <f t="shared" si="368"/>
        <v>#VALUE!</v>
      </c>
      <c r="FN53" s="9" t="e">
        <f t="shared" si="369"/>
        <v>#VALUE!</v>
      </c>
      <c r="FO53" s="10" t="e">
        <f t="shared" si="370"/>
        <v>#VALUE!</v>
      </c>
      <c r="FP53" s="277" t="e">
        <f t="shared" si="371"/>
        <v>#VALUE!</v>
      </c>
      <c r="FQ53" s="173" t="e">
        <f t="shared" si="372"/>
        <v>#VALUE!</v>
      </c>
      <c r="FR53" s="10" t="e">
        <f t="shared" si="373"/>
        <v>#VALUE!</v>
      </c>
      <c r="FS53" s="9" t="e">
        <f t="shared" si="374"/>
        <v>#VALUE!</v>
      </c>
      <c r="FT53" s="6" t="e">
        <f t="shared" si="375"/>
        <v>#VALUE!</v>
      </c>
      <c r="FU53" s="4" t="e">
        <f t="shared" si="376"/>
        <v>#VALUE!</v>
      </c>
      <c r="FV53" s="5" t="e">
        <f t="shared" si="377"/>
        <v>#VALUE!</v>
      </c>
      <c r="FW53" s="8" t="e">
        <f t="shared" si="378"/>
        <v>#VALUE!</v>
      </c>
      <c r="FX53" s="9" t="e">
        <f t="shared" si="379"/>
        <v>#VALUE!</v>
      </c>
      <c r="FY53" s="10" t="e">
        <f t="shared" si="380"/>
        <v>#VALUE!</v>
      </c>
      <c r="FZ53" s="277" t="e">
        <f t="shared" si="381"/>
        <v>#VALUE!</v>
      </c>
      <c r="GA53" s="177" t="e">
        <f t="shared" si="382"/>
        <v>#VALUE!</v>
      </c>
      <c r="GB53" s="4" t="e">
        <f t="shared" si="383"/>
        <v>#VALUE!</v>
      </c>
      <c r="GC53" s="5" t="e">
        <f t="shared" si="384"/>
        <v>#VALUE!</v>
      </c>
      <c r="GD53" s="10" t="e">
        <f t="shared" si="385"/>
        <v>#VALUE!</v>
      </c>
      <c r="GE53" s="311" t="e">
        <f t="shared" si="386"/>
        <v>#VALUE!</v>
      </c>
      <c r="GF53" s="341" t="e">
        <f t="shared" si="387"/>
        <v>#VALUE!</v>
      </c>
      <c r="GG53" s="285" t="e">
        <f t="shared" si="388"/>
        <v>#VALUE!</v>
      </c>
      <c r="GH53" s="286" t="e">
        <f t="shared" si="389"/>
        <v>#VALUE!</v>
      </c>
      <c r="GI53" s="281" t="e">
        <f t="shared" si="390"/>
        <v>#VALUE!</v>
      </c>
      <c r="GJ53" s="167">
        <f t="shared" si="391"/>
        <v>3.6800999999999999</v>
      </c>
      <c r="GK53" s="174">
        <f t="shared" si="59"/>
        <v>1.9270084743575391</v>
      </c>
      <c r="GL53" s="174">
        <f t="shared" si="392"/>
        <v>2.9899999999999999E-2</v>
      </c>
      <c r="GM53" s="177">
        <f t="shared" si="393"/>
        <v>0.69141064059948498</v>
      </c>
      <c r="GN53" s="280">
        <f t="shared" si="394"/>
        <v>7.8787890186455323E-2</v>
      </c>
      <c r="GO53" s="4" t="e">
        <f t="shared" si="395"/>
        <v>#VALUE!</v>
      </c>
      <c r="GP53" s="8" t="e">
        <f t="shared" si="396"/>
        <v>#VALUE!</v>
      </c>
      <c r="GQ53" s="177" t="e">
        <f t="shared" si="397"/>
        <v>#VALUE!</v>
      </c>
      <c r="GR53" s="371" t="e">
        <f t="shared" si="398"/>
        <v>#VALUE!</v>
      </c>
      <c r="GS53" s="342" t="e">
        <f t="shared" si="399"/>
        <v>#VALUE!</v>
      </c>
      <c r="GT53" s="343" t="e">
        <f t="shared" si="400"/>
        <v>#VALUE!</v>
      </c>
      <c r="GU53" s="344">
        <f t="shared" si="63"/>
        <v>1699.7178248070672</v>
      </c>
      <c r="GV53" s="343">
        <f t="shared" si="401"/>
        <v>882.05</v>
      </c>
      <c r="GW53" s="345">
        <f t="shared" si="64"/>
        <v>29500</v>
      </c>
      <c r="GX53" s="346">
        <f t="shared" si="65"/>
        <v>270.50268374999996</v>
      </c>
      <c r="GY53" s="344" t="e">
        <f t="shared" si="402"/>
        <v>#VALUE!</v>
      </c>
      <c r="GZ53" s="345" t="e">
        <f t="shared" si="403"/>
        <v>#VALUE!</v>
      </c>
      <c r="HA53" s="342" t="e">
        <f t="shared" si="68"/>
        <v>#VALUE!</v>
      </c>
      <c r="HB53" s="5" t="e">
        <f t="shared" si="231"/>
        <v>#VALUE!</v>
      </c>
      <c r="HC53" s="343" t="e">
        <f t="shared" si="404"/>
        <v>#VALUE!</v>
      </c>
      <c r="HD53" s="345" t="e">
        <f t="shared" si="405"/>
        <v>#VALUE!</v>
      </c>
      <c r="HE53" s="344" t="e">
        <f t="shared" si="69"/>
        <v>#VALUE!</v>
      </c>
      <c r="HF53" s="5" t="e">
        <f t="shared" si="70"/>
        <v>#VALUE!</v>
      </c>
      <c r="HG53" s="343" t="e">
        <f t="shared" si="406"/>
        <v>#VALUE!</v>
      </c>
      <c r="HH53" s="349" t="e">
        <f t="shared" si="407"/>
        <v>#VALUE!</v>
      </c>
      <c r="HI53" s="317">
        <f t="shared" si="408"/>
        <v>3.121</v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3.121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1613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</v>
      </c>
      <c r="B54" s="578">
        <f t="shared" si="257"/>
        <v>5.2613784728431785</v>
      </c>
      <c r="C54" s="572">
        <f t="shared" si="258"/>
        <v>-2.6206513274921428</v>
      </c>
      <c r="D54" s="576">
        <f t="shared" si="259"/>
        <v>-0.98515297122136114</v>
      </c>
      <c r="E54" s="580">
        <f t="shared" si="260"/>
        <v>0.62617028467383851</v>
      </c>
      <c r="F54" s="572">
        <f t="shared" si="261"/>
        <v>0.7500086498966797</v>
      </c>
      <c r="G54" s="579">
        <f t="shared" si="262"/>
        <v>0.21306759413773813</v>
      </c>
      <c r="H54" s="580">
        <f t="shared" si="263"/>
        <v>0.3125</v>
      </c>
      <c r="I54" s="572">
        <f t="shared" si="264"/>
        <v>0.52</v>
      </c>
      <c r="J54" s="483">
        <f t="shared" si="265"/>
        <v>3.1240000000000001</v>
      </c>
      <c r="K54" s="806">
        <f t="shared" si="266"/>
        <v>1613</v>
      </c>
      <c r="L54" s="309"/>
      <c r="M54" s="164">
        <f t="shared" si="267"/>
        <v>3.1240000000000001</v>
      </c>
      <c r="N54" s="575">
        <f t="shared" si="268"/>
        <v>5.2613784728431785</v>
      </c>
      <c r="O54" s="572">
        <f t="shared" si="269"/>
        <v>-2.6206513274921428</v>
      </c>
      <c r="P54" s="576">
        <f t="shared" si="270"/>
        <v>-0.98515297122136114</v>
      </c>
      <c r="Q54" s="528">
        <f t="shared" si="140"/>
        <v>333.52246483970629</v>
      </c>
      <c r="R54" s="572">
        <f t="shared" si="464"/>
        <v>5.8779177277998667</v>
      </c>
      <c r="S54" s="577">
        <f t="shared" si="465"/>
        <v>-0.98515297122136114</v>
      </c>
      <c r="T54" s="578">
        <f t="shared" si="466"/>
        <v>-2.6206514721198473</v>
      </c>
      <c r="U54" s="572">
        <f t="shared" si="467"/>
        <v>-5.2613784008052509</v>
      </c>
      <c r="V54" s="579">
        <f t="shared" si="468"/>
        <v>-0.98515297122136114</v>
      </c>
      <c r="W54" s="528">
        <f t="shared" si="253"/>
        <v>243.52246326472795</v>
      </c>
      <c r="X54" s="572">
        <f t="shared" si="469"/>
        <v>5.8779177277998667</v>
      </c>
      <c r="Y54" s="573">
        <f t="shared" si="255"/>
        <v>-0.98515297122136114</v>
      </c>
      <c r="Z54" s="575">
        <f t="shared" si="271"/>
        <v>-0.62617028467383851</v>
      </c>
      <c r="AA54" s="572">
        <f t="shared" si="272"/>
        <v>-0.7500086498966797</v>
      </c>
      <c r="AB54" s="572">
        <f t="shared" si="273"/>
        <v>-0.21306759413773813</v>
      </c>
      <c r="AC54" s="579">
        <f t="shared" si="470"/>
        <v>1</v>
      </c>
      <c r="AD54" s="580">
        <f t="shared" si="471"/>
        <v>-0.62617028467383851</v>
      </c>
      <c r="AE54" s="572">
        <f t="shared" si="472"/>
        <v>-0.7500086498966797</v>
      </c>
      <c r="AF54" s="576">
        <f t="shared" si="473"/>
        <v>-0.21306759413773813</v>
      </c>
      <c r="AG54" s="545">
        <f t="shared" si="474"/>
        <v>-74.140848982442222</v>
      </c>
      <c r="AH54" s="546">
        <f t="shared" si="475"/>
        <v>128.76813487884044</v>
      </c>
      <c r="AI54" s="528">
        <f t="shared" si="476"/>
        <v>-77.697818052291595</v>
      </c>
      <c r="AJ54" s="529">
        <f t="shared" si="477"/>
        <v>-39.857968049034348</v>
      </c>
      <c r="AK54" s="578">
        <f t="shared" si="478"/>
        <v>0.95051574579803733</v>
      </c>
      <c r="AL54" s="572">
        <f t="shared" si="479"/>
        <v>-0.22610178530555014</v>
      </c>
      <c r="AM54" s="577">
        <f t="shared" si="480"/>
        <v>-0.21306759413773813</v>
      </c>
      <c r="AN54" s="524">
        <f t="shared" si="481"/>
        <v>-46.699993257355175</v>
      </c>
      <c r="AO54" s="525">
        <f t="shared" si="116"/>
        <v>18.099997386683679</v>
      </c>
      <c r="AP54" s="528">
        <f t="shared" si="482"/>
        <v>-13.380432888740607</v>
      </c>
      <c r="AQ54" s="529">
        <f t="shared" si="274"/>
        <v>0.3878400341748347</v>
      </c>
      <c r="AS54" s="932">
        <f t="shared" si="461"/>
        <v>-116.47753673527205</v>
      </c>
      <c r="AT54" s="928">
        <f t="shared" si="275"/>
        <v>-0.90426578243108546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3.1240000000000001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1613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</v>
      </c>
      <c r="B55" s="578">
        <f t="shared" ref="B55:B118" si="515">IFERROR(Q210+($A55*-E55),"")</f>
        <v>5.6809591841729015</v>
      </c>
      <c r="C55" s="572">
        <f t="shared" ref="C55:C118" si="516">IFERROR(R210+($A55*-F55),"")</f>
        <v>-2.9019202015634518</v>
      </c>
      <c r="D55" s="576">
        <f t="shared" ref="D55:D118" si="517">IFERROR(S210+($A55*-G55),"")</f>
        <v>-1.5540546870289362</v>
      </c>
      <c r="E55" s="580">
        <f t="shared" ref="E55:E118" si="518">T210</f>
        <v>0.7024783915977858</v>
      </c>
      <c r="F55" s="572">
        <f t="shared" ref="F55:F118" si="519">U210</f>
        <v>0.68522089550483634</v>
      </c>
      <c r="G55" s="579">
        <f t="shared" ref="G55:G118" si="520">V210</f>
        <v>0.19234457024241186</v>
      </c>
      <c r="H55" s="580">
        <f t="shared" ref="H55:H118" si="521">W210</f>
        <v>0.3125</v>
      </c>
      <c r="I55" s="572">
        <f t="shared" ref="I55:I118" si="522">X210</f>
        <v>0.52</v>
      </c>
      <c r="J55" s="483">
        <f t="shared" ref="J55:J118" si="523">IF(Y210=0,"",Y210)</f>
        <v>3.1269999999999998</v>
      </c>
      <c r="K55" s="806">
        <f t="shared" ref="K55:K118" si="524">Z210</f>
        <v>1613</v>
      </c>
      <c r="L55" s="309"/>
      <c r="M55" s="164">
        <f t="shared" si="267"/>
        <v>3.1269999999999998</v>
      </c>
      <c r="N55" s="575">
        <f t="shared" si="268"/>
        <v>5.6809591841729015</v>
      </c>
      <c r="O55" s="572">
        <f t="shared" si="269"/>
        <v>-2.9019202015634518</v>
      </c>
      <c r="P55" s="576">
        <f t="shared" si="270"/>
        <v>-1.5540546870289362</v>
      </c>
      <c r="Q55" s="528">
        <f t="shared" si="140"/>
        <v>332.94136492360673</v>
      </c>
      <c r="R55" s="572">
        <f t="shared" si="464"/>
        <v>6.3792192397252263</v>
      </c>
      <c r="S55" s="577">
        <f t="shared" si="465"/>
        <v>-1.5540546870289362</v>
      </c>
      <c r="T55" s="578">
        <f t="shared" si="466"/>
        <v>-2.9019203577248249</v>
      </c>
      <c r="U55" s="572">
        <f t="shared" si="467"/>
        <v>-5.6809591044032981</v>
      </c>
      <c r="V55" s="579">
        <f t="shared" si="468"/>
        <v>-1.5540546870289362</v>
      </c>
      <c r="W55" s="528">
        <f t="shared" si="253"/>
        <v>242.94136334862839</v>
      </c>
      <c r="X55" s="572">
        <f t="shared" si="469"/>
        <v>6.3792192397252263</v>
      </c>
      <c r="Y55" s="573">
        <f t="shared" si="255"/>
        <v>-1.5540546870289362</v>
      </c>
      <c r="Z55" s="575">
        <f t="shared" si="271"/>
        <v>-0.7024783915977858</v>
      </c>
      <c r="AA55" s="572">
        <f t="shared" si="272"/>
        <v>-0.68522089550483634</v>
      </c>
      <c r="AB55" s="572">
        <f t="shared" si="273"/>
        <v>-0.19234457024241186</v>
      </c>
      <c r="AC55" s="579">
        <f t="shared" si="470"/>
        <v>1</v>
      </c>
      <c r="AD55" s="580">
        <f t="shared" si="471"/>
        <v>-0.7024783915977858</v>
      </c>
      <c r="AE55" s="572">
        <f t="shared" si="472"/>
        <v>-0.68522089550483634</v>
      </c>
      <c r="AF55" s="576">
        <f t="shared" si="473"/>
        <v>-0.19234457024241186</v>
      </c>
      <c r="AG55" s="545">
        <f t="shared" si="474"/>
        <v>-74.320331498637955</v>
      </c>
      <c r="AH55" s="546">
        <f t="shared" si="475"/>
        <v>134.62618546196623</v>
      </c>
      <c r="AI55" s="528">
        <f t="shared" si="476"/>
        <v>-78.910357642051778</v>
      </c>
      <c r="AJ55" s="529">
        <f t="shared" si="477"/>
        <v>-45.712496382726322</v>
      </c>
      <c r="AK55" s="578">
        <f t="shared" si="478"/>
        <v>0.92977650592555494</v>
      </c>
      <c r="AL55" s="572">
        <f t="shared" si="479"/>
        <v>-0.31387770759824324</v>
      </c>
      <c r="AM55" s="577">
        <f t="shared" si="480"/>
        <v>-0.19234457024241186</v>
      </c>
      <c r="AN55" s="524">
        <f t="shared" si="481"/>
        <v>-58.499991553646254</v>
      </c>
      <c r="AO55" s="525">
        <f>IF(ROUND(IF(M55="",0,DEGREES(ACOS(AK55))),4)=90,0,IF(M55="","",DEGREES(ACOS(AK55))))</f>
        <v>21.599996881346282</v>
      </c>
      <c r="AP55" s="528">
        <f t="shared" si="482"/>
        <v>-18.653861306333031</v>
      </c>
      <c r="AQ55" s="529">
        <f t="shared" si="274"/>
        <v>0.35736302266681558</v>
      </c>
      <c r="AS55" s="932">
        <f t="shared" si="461"/>
        <v>-117.05863665137161</v>
      </c>
      <c r="AT55" s="928">
        <f t="shared" si="275"/>
        <v>-1.4727639566302582</v>
      </c>
      <c r="AU55" s="418"/>
      <c r="AV55" s="164">
        <f t="shared" si="276"/>
        <v>3.1269999999999998</v>
      </c>
      <c r="AW55" s="797">
        <f>IFERROR(INDEX(MassProp!C$9:C$150,MATCH($M55,MassProp!$B$9:$B$150,0)),"")</f>
        <v>4.2827999999999999</v>
      </c>
      <c r="AX55" s="744">
        <f>IFERROR(INDEX(MassProp!D$9:D$150,MATCH($M55,MassProp!$B$9:$B$150,0)),"")</f>
        <v>-0.61480000000000001</v>
      </c>
      <c r="AY55" s="731">
        <f>IFERROR(INDEX(MassProp!E$9:E$150,MATCH($M55,MassProp!$B$9:$B$150,0)),"")</f>
        <v>2.2200000000000001E-2</v>
      </c>
      <c r="AZ55" s="297">
        <f t="shared" si="144"/>
        <v>0.59741947812671992</v>
      </c>
      <c r="BA55" s="296">
        <f t="shared" si="278"/>
        <v>6.8077373233779132E-2</v>
      </c>
      <c r="BB55" s="177">
        <f t="shared" si="145"/>
        <v>0.60796395663025815</v>
      </c>
      <c r="BC55" s="9"/>
      <c r="BD55" s="5">
        <f t="shared" si="146"/>
        <v>4.2827999999999999</v>
      </c>
      <c r="BE55" s="6">
        <f t="shared" si="280"/>
        <v>-0.94609073039867808</v>
      </c>
      <c r="BF55" s="4">
        <f t="shared" si="281"/>
        <v>5.6809591841729015</v>
      </c>
      <c r="BG55" s="5">
        <f t="shared" si="282"/>
        <v>-2.9019202015634518</v>
      </c>
      <c r="BH55" s="10">
        <f t="shared" si="283"/>
        <v>-1.5540546870289362</v>
      </c>
      <c r="BI55" s="9">
        <f t="shared" si="147"/>
        <v>5.6809591841729015</v>
      </c>
      <c r="BJ55" s="5">
        <f t="shared" si="285"/>
        <v>-2.6316613853172566</v>
      </c>
      <c r="BK55" s="8">
        <f t="shared" si="286"/>
        <v>-2.5168423958418424</v>
      </c>
      <c r="BL55" s="173">
        <f t="shared" si="287"/>
        <v>6.3926642560518276</v>
      </c>
      <c r="BM55" s="5">
        <f t="shared" si="288"/>
        <v>-3.5782577627004595</v>
      </c>
      <c r="BN55" s="6">
        <f t="shared" si="289"/>
        <v>-1.743905665580685</v>
      </c>
      <c r="BO55" s="4">
        <f t="shared" si="148"/>
        <v>-0.70247839159778636</v>
      </c>
      <c r="BP55" s="5">
        <f t="shared" si="239"/>
        <v>-0.685220895504836</v>
      </c>
      <c r="BQ55" s="5">
        <f t="shared" si="149"/>
        <v>-0.19234457024241491</v>
      </c>
      <c r="BR55" s="6">
        <f t="shared" si="150"/>
        <v>1.7033807303217783</v>
      </c>
      <c r="BS55" s="4">
        <f t="shared" si="483"/>
        <v>0</v>
      </c>
      <c r="BT55" s="5">
        <f t="shared" si="483"/>
        <v>0</v>
      </c>
      <c r="BU55" s="10">
        <f t="shared" si="119"/>
        <v>-0.94609073039867808</v>
      </c>
      <c r="BV55" s="9">
        <f t="shared" si="120"/>
        <v>0</v>
      </c>
      <c r="BW55" s="5">
        <f t="shared" si="121"/>
        <v>1</v>
      </c>
      <c r="BX55" s="8">
        <f t="shared" si="122"/>
        <v>-0.94609073039867808</v>
      </c>
      <c r="BY55" s="173">
        <f t="shared" si="123"/>
        <v>1</v>
      </c>
      <c r="BZ55" s="5">
        <f t="shared" si="124"/>
        <v>0</v>
      </c>
      <c r="CA55" s="6">
        <f t="shared" si="125"/>
        <v>-0.94609073039867808</v>
      </c>
      <c r="CB55" s="4">
        <f t="shared" si="151"/>
        <v>0</v>
      </c>
      <c r="CC55" s="5">
        <f t="shared" si="152"/>
        <v>0</v>
      </c>
      <c r="CD55" s="5">
        <f t="shared" si="153"/>
        <v>-1</v>
      </c>
      <c r="CE55" s="6">
        <f t="shared" si="154"/>
        <v>-0.94609073039867808</v>
      </c>
      <c r="CF55" s="4">
        <f t="shared" si="155"/>
        <v>0.685220895504836</v>
      </c>
      <c r="CG55" s="5">
        <f t="shared" si="156"/>
        <v>-0.70247839159778636</v>
      </c>
      <c r="CH55" s="5">
        <f t="shared" si="157"/>
        <v>0</v>
      </c>
      <c r="CI55" s="4">
        <f t="shared" si="126"/>
        <v>0</v>
      </c>
      <c r="CJ55" s="5">
        <f t="shared" si="127"/>
        <v>2.7514574608551738</v>
      </c>
      <c r="CK55" s="8">
        <f t="shared" si="128"/>
        <v>-0.94609073039867797</v>
      </c>
      <c r="CL55" s="173">
        <f t="shared" si="129"/>
        <v>0.685220895504836</v>
      </c>
      <c r="CM55" s="5">
        <f t="shared" si="130"/>
        <v>2.0489790692573875</v>
      </c>
      <c r="CN55" s="6">
        <f t="shared" si="131"/>
        <v>-0.94609073039867797</v>
      </c>
      <c r="CO55" s="167">
        <f t="shared" si="305"/>
        <v>0.3125</v>
      </c>
      <c r="CP55" s="4">
        <f t="shared" si="240"/>
        <v>0.96300356629826223</v>
      </c>
      <c r="CQ55" s="5">
        <f t="shared" si="241"/>
        <v>-15.728175173792135</v>
      </c>
      <c r="CR55" s="5">
        <f t="shared" si="158"/>
        <v>64.505940168733844</v>
      </c>
      <c r="CS55" s="8">
        <f t="shared" si="159"/>
        <v>-1.1023074221608056</v>
      </c>
      <c r="CT55" s="9" t="e">
        <f t="shared" si="160"/>
        <v>#NUM!</v>
      </c>
      <c r="CU55" s="6" t="e">
        <f t="shared" si="161"/>
        <v>#NUM!</v>
      </c>
      <c r="CV55" s="4" t="e">
        <f t="shared" si="242"/>
        <v>#NUM!</v>
      </c>
      <c r="CW55" s="5" t="e">
        <f t="shared" si="162"/>
        <v>#NUM!</v>
      </c>
      <c r="CX55" s="8" t="e">
        <f t="shared" si="163"/>
        <v>#NUM!</v>
      </c>
      <c r="CY55" s="9" t="e">
        <f t="shared" si="164"/>
        <v>#NUM!</v>
      </c>
      <c r="CZ55" s="5" t="e">
        <f t="shared" si="165"/>
        <v>#NUM!</v>
      </c>
      <c r="DA55" s="6" t="e">
        <f t="shared" si="166"/>
        <v>#NUM!</v>
      </c>
      <c r="DB55" s="4">
        <f t="shared" si="484"/>
        <v>0</v>
      </c>
      <c r="DC55" s="5">
        <f t="shared" si="484"/>
        <v>0</v>
      </c>
      <c r="DD55" s="10">
        <f t="shared" si="168"/>
        <v>-10</v>
      </c>
      <c r="DE55" s="9">
        <f t="shared" si="485"/>
        <v>0</v>
      </c>
      <c r="DF55" s="5">
        <f t="shared" si="485"/>
        <v>0</v>
      </c>
      <c r="DG55" s="10">
        <f t="shared" si="170"/>
        <v>10</v>
      </c>
      <c r="DH55" s="70">
        <f t="shared" si="171"/>
        <v>4.2827999999999999</v>
      </c>
      <c r="DI55" s="4">
        <f t="shared" si="172"/>
        <v>0</v>
      </c>
      <c r="DJ55" s="5">
        <f t="shared" si="173"/>
        <v>0</v>
      </c>
      <c r="DK55" s="10">
        <f t="shared" si="174"/>
        <v>20</v>
      </c>
      <c r="DL55" s="9" t="e">
        <f t="shared" si="175"/>
        <v>#NUM!</v>
      </c>
      <c r="DM55" s="173" t="e">
        <f t="shared" si="176"/>
        <v>#NUM!</v>
      </c>
      <c r="DN55" s="178" t="e">
        <f t="shared" si="177"/>
        <v>#NUM!</v>
      </c>
      <c r="DO55" s="9" t="e">
        <f t="shared" si="178"/>
        <v>#NUM!</v>
      </c>
      <c r="DP55" s="173" t="e">
        <f t="shared" si="179"/>
        <v>#NUM!</v>
      </c>
      <c r="DQ55" s="11" t="e">
        <f t="shared" si="180"/>
        <v>#NUM!</v>
      </c>
      <c r="DR55" s="173" t="e">
        <f t="shared" si="181"/>
        <v>#NUM!</v>
      </c>
      <c r="DS55" s="5" t="e">
        <f t="shared" si="182"/>
        <v>#NUM!</v>
      </c>
      <c r="DT55" s="5">
        <f t="shared" si="183"/>
        <v>400</v>
      </c>
      <c r="DU55" s="5" t="e">
        <f t="shared" si="184"/>
        <v>#NUM!</v>
      </c>
      <c r="DV55" s="5" t="e">
        <f t="shared" si="185"/>
        <v>#NUM!</v>
      </c>
      <c r="DW55" s="5" t="e">
        <f t="shared" si="186"/>
        <v>#NUM!</v>
      </c>
      <c r="DX55" s="167" t="e">
        <f t="shared" si="187"/>
        <v>#NUM!</v>
      </c>
      <c r="DY55" s="9" t="e">
        <f t="shared" si="188"/>
        <v>#NUM!</v>
      </c>
      <c r="DZ55" s="5" t="e">
        <f t="shared" si="189"/>
        <v>#NUM!</v>
      </c>
      <c r="EA55" s="10" t="e">
        <f t="shared" si="190"/>
        <v>#NUM!</v>
      </c>
      <c r="EB55" s="6" t="e">
        <f t="shared" si="191"/>
        <v>#NUM!</v>
      </c>
      <c r="EC55" s="173" t="e">
        <f t="shared" si="192"/>
        <v>#NUM!</v>
      </c>
      <c r="ED55" s="5" t="e">
        <f t="shared" si="193"/>
        <v>#NUM!</v>
      </c>
      <c r="EE55" s="4" t="e">
        <f t="shared" si="194"/>
        <v>#NUM!</v>
      </c>
      <c r="EF55" s="5" t="e">
        <f t="shared" si="195"/>
        <v>#NUM!</v>
      </c>
      <c r="EG55" s="10" t="e">
        <f t="shared" si="196"/>
        <v>#NUM!</v>
      </c>
      <c r="EH55" s="9" t="e">
        <f t="shared" si="197"/>
        <v>#NUM!</v>
      </c>
      <c r="EI55" s="5" t="e">
        <f t="shared" si="198"/>
        <v>#NUM!</v>
      </c>
      <c r="EJ55" s="6" t="e">
        <f t="shared" si="199"/>
        <v>#NUM!</v>
      </c>
      <c r="EK55" s="236" t="e">
        <f t="shared" si="200"/>
        <v>#NUM!</v>
      </c>
      <c r="EL55" s="238" t="e">
        <f t="shared" si="201"/>
        <v>#NUM!</v>
      </c>
      <c r="EM55" s="4" t="e">
        <f t="shared" si="202"/>
        <v>#NUM!</v>
      </c>
      <c r="EN55" s="5" t="e">
        <f t="shared" si="203"/>
        <v>#NUM!</v>
      </c>
      <c r="EO55" s="10" t="e">
        <f t="shared" si="204"/>
        <v>#NUM!</v>
      </c>
      <c r="EP55" s="9" t="e">
        <f t="shared" si="205"/>
        <v>#NUM!</v>
      </c>
      <c r="EQ55" s="5" t="e">
        <f t="shared" si="206"/>
        <v>#NUM!</v>
      </c>
      <c r="ER55" s="7" t="e">
        <f t="shared" si="207"/>
        <v>#NUM!</v>
      </c>
      <c r="ES55" s="21">
        <f t="shared" si="352"/>
        <v>-0.7024783915977858</v>
      </c>
      <c r="ET55" s="5">
        <f t="shared" si="353"/>
        <v>-0.68522089550483634</v>
      </c>
      <c r="EU55" s="10">
        <f t="shared" si="354"/>
        <v>-0.19234457024241186</v>
      </c>
      <c r="EV55" s="174" t="e">
        <f t="shared" si="486"/>
        <v>#NUM!</v>
      </c>
      <c r="EW55" s="9" t="e">
        <f t="shared" si="487"/>
        <v>#NUM!</v>
      </c>
      <c r="EX55" s="5" t="e">
        <f t="shared" si="488"/>
        <v>#NUM!</v>
      </c>
      <c r="EY55" s="6">
        <f t="shared" si="208"/>
        <v>-0.19234457024241186</v>
      </c>
      <c r="EZ55" s="51" t="e">
        <f t="shared" si="209"/>
        <v>#NUM!</v>
      </c>
      <c r="FA55" s="173" t="e">
        <f t="shared" si="489"/>
        <v>#NUM!</v>
      </c>
      <c r="FB55" s="5" t="e">
        <f t="shared" si="490"/>
        <v>#NUM!</v>
      </c>
      <c r="FC55" s="6" t="e">
        <f t="shared" si="491"/>
        <v>#NUM!</v>
      </c>
      <c r="FD55" s="4" t="e">
        <f t="shared" si="492"/>
        <v>#NUM!</v>
      </c>
      <c r="FE55" s="5" t="e">
        <f t="shared" si="493"/>
        <v>#NUM!</v>
      </c>
      <c r="FF55" s="7" t="e">
        <f t="shared" si="210"/>
        <v>#NUM!</v>
      </c>
      <c r="FG55" s="173" t="e">
        <f t="shared" si="494"/>
        <v>#NUM!</v>
      </c>
      <c r="FH55" s="5" t="e">
        <f t="shared" si="495"/>
        <v>#NUM!</v>
      </c>
      <c r="FI55" s="10" t="e">
        <f t="shared" si="496"/>
        <v>#NUM!</v>
      </c>
      <c r="FJ55" s="279" t="e">
        <f t="shared" si="212"/>
        <v>#NUM!</v>
      </c>
      <c r="FK55" s="4">
        <f t="shared" si="497"/>
        <v>0.98132745110807018</v>
      </c>
      <c r="FL55" s="5" t="e">
        <f t="shared" si="213"/>
        <v>#NUM!</v>
      </c>
      <c r="FM55" s="8" t="e">
        <f t="shared" si="214"/>
        <v>#NUM!</v>
      </c>
      <c r="FN55" s="9" t="e">
        <f t="shared" si="215"/>
        <v>#NUM!</v>
      </c>
      <c r="FO55" s="10" t="e">
        <f t="shared" si="498"/>
        <v>#NUM!</v>
      </c>
      <c r="FP55" s="277" t="e">
        <f t="shared" si="499"/>
        <v>#NUM!</v>
      </c>
      <c r="FQ55" s="173" t="e">
        <f t="shared" si="243"/>
        <v>#NUM!</v>
      </c>
      <c r="FR55" s="10" t="e">
        <f t="shared" si="216"/>
        <v>#NUM!</v>
      </c>
      <c r="FS55" s="9" t="e">
        <f t="shared" si="217"/>
        <v>#NUM!</v>
      </c>
      <c r="FT55" s="6" t="e">
        <f t="shared" si="218"/>
        <v>#NUM!</v>
      </c>
      <c r="FU55" s="4" t="e">
        <f t="shared" si="219"/>
        <v>#NUM!</v>
      </c>
      <c r="FV55" s="5" t="e">
        <f t="shared" si="220"/>
        <v>#NUM!</v>
      </c>
      <c r="FW55" s="8" t="e">
        <f t="shared" si="244"/>
        <v>#NUM!</v>
      </c>
      <c r="FX55" s="9" t="e">
        <f t="shared" si="245"/>
        <v>#NUM!</v>
      </c>
      <c r="FY55" s="10" t="e">
        <f t="shared" si="500"/>
        <v>#NUM!</v>
      </c>
      <c r="FZ55" s="277" t="e">
        <f t="shared" si="246"/>
        <v>#NUM!</v>
      </c>
      <c r="GA55" s="177" t="e">
        <f t="shared" si="221"/>
        <v>#NUM!</v>
      </c>
      <c r="GB55" s="4" t="e">
        <f t="shared" si="222"/>
        <v>#NUM!</v>
      </c>
      <c r="GC55" s="5" t="e">
        <f t="shared" si="223"/>
        <v>#NUM!</v>
      </c>
      <c r="GD55" s="10" t="e">
        <f t="shared" si="224"/>
        <v>#NUM!</v>
      </c>
      <c r="GE55" s="311" t="e">
        <f t="shared" si="225"/>
        <v>#NUM!</v>
      </c>
      <c r="GF55" s="341" t="e">
        <f t="shared" si="247"/>
        <v>#NUM!</v>
      </c>
      <c r="GG55" s="285" t="e">
        <f t="shared" si="501"/>
        <v>#NUM!</v>
      </c>
      <c r="GH55" s="286" t="e">
        <f t="shared" si="502"/>
        <v>#NUM!</v>
      </c>
      <c r="GI55" s="281" t="e">
        <f t="shared" si="503"/>
        <v>#NUM!</v>
      </c>
      <c r="GJ55" s="167">
        <f t="shared" si="226"/>
        <v>4.2827999999999999</v>
      </c>
      <c r="GK55" s="174">
        <f t="shared" si="504"/>
        <v>2.2425656085837833</v>
      </c>
      <c r="GL55" s="174">
        <f t="shared" si="227"/>
        <v>2.2200000000000001E-2</v>
      </c>
      <c r="GM55" s="177">
        <f t="shared" si="248"/>
        <v>0.59741947812671992</v>
      </c>
      <c r="GN55" s="280">
        <f t="shared" si="228"/>
        <v>6.8077373233779132E-2</v>
      </c>
      <c r="GO55" s="4" t="e">
        <f t="shared" si="229"/>
        <v>#NUM!</v>
      </c>
      <c r="GP55" s="8" t="e">
        <f t="shared" si="249"/>
        <v>#NUM!</v>
      </c>
      <c r="GQ55" s="177" t="e">
        <f t="shared" si="230"/>
        <v>#NUM!</v>
      </c>
      <c r="GR55" s="371" t="e">
        <f t="shared" si="250"/>
        <v>#NUM!</v>
      </c>
      <c r="GS55" s="342" t="e">
        <f t="shared" si="505"/>
        <v>#NUM!</v>
      </c>
      <c r="GT55" s="343" t="e">
        <f t="shared" si="506"/>
        <v>#NUM!</v>
      </c>
      <c r="GU55" s="344">
        <f t="shared" si="507"/>
        <v>1468.6562170615196</v>
      </c>
      <c r="GV55" s="343">
        <f t="shared" si="252"/>
        <v>654.9</v>
      </c>
      <c r="GW55" s="345">
        <f t="shared" si="508"/>
        <v>29500</v>
      </c>
      <c r="GX55" s="346">
        <f t="shared" si="509"/>
        <v>233.73380999999998</v>
      </c>
      <c r="GY55" s="344" t="e">
        <f t="shared" si="510"/>
        <v>#NUM!</v>
      </c>
      <c r="GZ55" s="345" t="e">
        <f t="shared" si="511"/>
        <v>#NUM!</v>
      </c>
      <c r="HA55" s="342" t="e">
        <f t="shared" si="512"/>
        <v>#NUM!</v>
      </c>
      <c r="HB55" s="5" t="e">
        <f t="shared" si="231"/>
        <v>#NUM!</v>
      </c>
      <c r="HC55" s="343" t="e">
        <f t="shared" si="232"/>
        <v>#NUM!</v>
      </c>
      <c r="HD55" s="363" t="e">
        <f t="shared" si="233"/>
        <v>#NUM!</v>
      </c>
      <c r="HE55" s="344" t="e">
        <f t="shared" si="513"/>
        <v>#NUM!</v>
      </c>
      <c r="HF55" s="5" t="e">
        <f t="shared" si="514"/>
        <v>#NUM!</v>
      </c>
      <c r="HG55" s="343" t="e">
        <f t="shared" si="234"/>
        <v>#NUM!</v>
      </c>
      <c r="HH55" s="349" t="e">
        <f t="shared" si="235"/>
        <v>#NUM!</v>
      </c>
      <c r="HI55" s="317">
        <f t="shared" si="408"/>
        <v>3.1269999999999998</v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3.1269999999999998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1613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</v>
      </c>
      <c r="B56" s="578">
        <f t="shared" si="515"/>
        <v>5.9698430630152606</v>
      </c>
      <c r="C56" s="572">
        <f t="shared" si="516"/>
        <v>-3.1071123267396321</v>
      </c>
      <c r="D56" s="576">
        <f t="shared" si="517"/>
        <v>-2.220656697500599</v>
      </c>
      <c r="E56" s="580">
        <f t="shared" si="518"/>
        <v>0.7691791104090181</v>
      </c>
      <c r="F56" s="572">
        <f t="shared" si="519"/>
        <v>0.62303733918844528</v>
      </c>
      <c r="G56" s="579">
        <f t="shared" si="520"/>
        <v>0.1420843766477296</v>
      </c>
      <c r="H56" s="580">
        <f t="shared" si="521"/>
        <v>0.3125</v>
      </c>
      <c r="I56" s="572">
        <f t="shared" si="522"/>
        <v>0.52</v>
      </c>
      <c r="J56" s="483">
        <f t="shared" si="523"/>
        <v>3.13</v>
      </c>
      <c r="K56" s="806">
        <f t="shared" si="524"/>
        <v>1613</v>
      </c>
      <c r="L56" s="309"/>
      <c r="M56" s="164">
        <f t="shared" si="267"/>
        <v>3.13</v>
      </c>
      <c r="N56" s="575">
        <f t="shared" si="268"/>
        <v>5.9698430630152606</v>
      </c>
      <c r="O56" s="572">
        <f t="shared" si="269"/>
        <v>-3.1071123267396321</v>
      </c>
      <c r="P56" s="576">
        <f t="shared" si="270"/>
        <v>-2.220656697500599</v>
      </c>
      <c r="Q56" s="528">
        <f t="shared" si="140"/>
        <v>332.50446498668731</v>
      </c>
      <c r="R56" s="572">
        <f t="shared" si="464"/>
        <v>6.730020297741218</v>
      </c>
      <c r="S56" s="577">
        <f t="shared" si="465"/>
        <v>-2.220656697500599</v>
      </c>
      <c r="T56" s="578">
        <f t="shared" si="466"/>
        <v>-3.1071124908420065</v>
      </c>
      <c r="U56" s="572">
        <f t="shared" si="467"/>
        <v>-5.9698429776052215</v>
      </c>
      <c r="V56" s="579">
        <f t="shared" si="468"/>
        <v>-2.220656697500599</v>
      </c>
      <c r="W56" s="528">
        <f t="shared" si="253"/>
        <v>242.50446341170897</v>
      </c>
      <c r="X56" s="572">
        <f t="shared" si="469"/>
        <v>6.730020297741218</v>
      </c>
      <c r="Y56" s="573">
        <f t="shared" si="255"/>
        <v>-2.220656697500599</v>
      </c>
      <c r="Z56" s="575">
        <f t="shared" si="271"/>
        <v>-0.7691791104090181</v>
      </c>
      <c r="AA56" s="572">
        <f t="shared" si="272"/>
        <v>-0.62303733918844528</v>
      </c>
      <c r="AB56" s="572">
        <f t="shared" si="273"/>
        <v>-0.1420843766477296</v>
      </c>
      <c r="AC56" s="579">
        <f t="shared" si="470"/>
        <v>1</v>
      </c>
      <c r="AD56" s="580">
        <f t="shared" si="471"/>
        <v>-0.7691791104090181</v>
      </c>
      <c r="AE56" s="572">
        <f t="shared" si="472"/>
        <v>-0.62303733918844528</v>
      </c>
      <c r="AF56" s="576">
        <f t="shared" si="473"/>
        <v>-0.1420843766477296</v>
      </c>
      <c r="AG56" s="545">
        <f t="shared" si="474"/>
        <v>-77.153331766176393</v>
      </c>
      <c r="AH56" s="546">
        <f t="shared" si="475"/>
        <v>140.28023080814253</v>
      </c>
      <c r="AI56" s="528">
        <f t="shared" si="476"/>
        <v>-81.831521858147326</v>
      </c>
      <c r="AJ56" s="529">
        <f t="shared" si="477"/>
        <v>-50.992425806689781</v>
      </c>
      <c r="AK56" s="578">
        <f t="shared" si="478"/>
        <v>0.90777750474639451</v>
      </c>
      <c r="AL56" s="572">
        <f t="shared" si="479"/>
        <v>-0.39465431935940615</v>
      </c>
      <c r="AM56" s="577">
        <f t="shared" si="480"/>
        <v>-0.1420843766477296</v>
      </c>
      <c r="AN56" s="524">
        <f t="shared" si="481"/>
        <v>-70.19998986437551</v>
      </c>
      <c r="AO56" s="525">
        <f t="shared" ref="AO56:AO119" si="525">IF(ROUND(IF(M56="",0,DEGREES(ACOS(AK56))),4)=90,0,IF(M56="","",DEGREES(ACOS(AK56))))</f>
        <v>24.799996419323509</v>
      </c>
      <c r="AP56" s="528">
        <f t="shared" si="482"/>
        <v>-23.496890793377087</v>
      </c>
      <c r="AQ56" s="529">
        <f t="shared" si="274"/>
        <v>0.338735987466735</v>
      </c>
      <c r="AS56" s="932">
        <f t="shared" si="461"/>
        <v>-117.49553658829103</v>
      </c>
      <c r="AT56" s="928">
        <f t="shared" si="275"/>
        <v>-2.1390625643679488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3.13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</v>
      </c>
      <c r="B57" s="578">
        <f t="shared" si="515"/>
        <v>6.1366369667758445</v>
      </c>
      <c r="C57" s="572">
        <f t="shared" si="516"/>
        <v>-3.2300817121158412</v>
      </c>
      <c r="D57" s="576">
        <f t="shared" si="517"/>
        <v>-2.9325588445974748</v>
      </c>
      <c r="E57" s="580">
        <f t="shared" si="518"/>
        <v>0.81006388558286591</v>
      </c>
      <c r="F57" s="572">
        <f t="shared" si="519"/>
        <v>0.57871615382337604</v>
      </c>
      <c r="G57" s="579">
        <f t="shared" si="520"/>
        <v>9.4255581151825377E-2</v>
      </c>
      <c r="H57" s="580">
        <f t="shared" si="521"/>
        <v>0.3125</v>
      </c>
      <c r="I57" s="572">
        <f t="shared" si="522"/>
        <v>0.52</v>
      </c>
      <c r="J57" s="483">
        <f t="shared" si="523"/>
        <v>3.133</v>
      </c>
      <c r="K57" s="806">
        <f t="shared" si="524"/>
        <v>1613</v>
      </c>
      <c r="L57" s="309"/>
      <c r="M57" s="164">
        <f t="shared" si="267"/>
        <v>3.133</v>
      </c>
      <c r="N57" s="575">
        <f t="shared" si="268"/>
        <v>6.1366369667758445</v>
      </c>
      <c r="O57" s="572">
        <f t="shared" si="269"/>
        <v>-3.2300817121158412</v>
      </c>
      <c r="P57" s="576">
        <f t="shared" si="270"/>
        <v>-2.9325588445974748</v>
      </c>
      <c r="Q57" s="528">
        <f t="shared" si="140"/>
        <v>332.23946502494857</v>
      </c>
      <c r="R57" s="572">
        <f t="shared" si="464"/>
        <v>6.9348209154198814</v>
      </c>
      <c r="S57" s="577">
        <f t="shared" si="465"/>
        <v>-2.9325588445974748</v>
      </c>
      <c r="T57" s="578">
        <f t="shared" si="466"/>
        <v>-3.2300818808031351</v>
      </c>
      <c r="U57" s="572">
        <f t="shared" si="467"/>
        <v>-6.1366368779855565</v>
      </c>
      <c r="V57" s="579">
        <f t="shared" si="468"/>
        <v>-2.9325588445974748</v>
      </c>
      <c r="W57" s="528">
        <f t="shared" si="253"/>
        <v>242.23946344997023</v>
      </c>
      <c r="X57" s="572">
        <f t="shared" si="469"/>
        <v>6.9348209154198814</v>
      </c>
      <c r="Y57" s="573">
        <f t="shared" si="255"/>
        <v>-2.9325588445974748</v>
      </c>
      <c r="Z57" s="575">
        <f t="shared" si="271"/>
        <v>-0.81006388558286591</v>
      </c>
      <c r="AA57" s="572">
        <f t="shared" si="272"/>
        <v>-0.57871615382337604</v>
      </c>
      <c r="AB57" s="572">
        <f t="shared" si="273"/>
        <v>-9.4255581151825377E-2</v>
      </c>
      <c r="AC57" s="579">
        <f t="shared" si="470"/>
        <v>1</v>
      </c>
      <c r="AD57" s="580">
        <f t="shared" si="471"/>
        <v>-0.81006388558286591</v>
      </c>
      <c r="AE57" s="572">
        <f t="shared" si="472"/>
        <v>-0.57871615382337604</v>
      </c>
      <c r="AF57" s="576">
        <f t="shared" si="473"/>
        <v>-9.4255581151825377E-2</v>
      </c>
      <c r="AG57" s="545">
        <f t="shared" si="474"/>
        <v>-80.749453094965858</v>
      </c>
      <c r="AH57" s="546">
        <f t="shared" si="475"/>
        <v>144.10217368000798</v>
      </c>
      <c r="AI57" s="528">
        <f t="shared" si="476"/>
        <v>-84.591524501104615</v>
      </c>
      <c r="AJ57" s="529">
        <f t="shared" si="477"/>
        <v>-54.457681500219685</v>
      </c>
      <c r="AK57" s="578">
        <f t="shared" si="478"/>
        <v>0.88941640462191085</v>
      </c>
      <c r="AL57" s="572">
        <f t="shared" si="479"/>
        <v>-0.44727435049549319</v>
      </c>
      <c r="AM57" s="577">
        <f t="shared" si="480"/>
        <v>-9.4255581151825377E-2</v>
      </c>
      <c r="AN57" s="524">
        <f t="shared" si="481"/>
        <v>-78.099988723756752</v>
      </c>
      <c r="AO57" s="525">
        <f t="shared" si="525"/>
        <v>27.199996072806442</v>
      </c>
      <c r="AP57" s="528">
        <f t="shared" si="482"/>
        <v>-26.697146525168243</v>
      </c>
      <c r="AQ57" s="529">
        <f t="shared" si="274"/>
        <v>0.3287325865554977</v>
      </c>
      <c r="AS57" s="932">
        <f t="shared" si="461"/>
        <v>-117.76053655002977</v>
      </c>
      <c r="AT57" s="928">
        <f t="shared" si="275"/>
        <v>-2.8507806837136176</v>
      </c>
      <c r="AU57" s="418"/>
      <c r="AV57" s="164">
        <f t="shared" si="276"/>
        <v>3.133</v>
      </c>
      <c r="AW57" s="797">
        <f>IFERROR(INDEX(MassProp!C$9:C$150,MATCH($M57,MassProp!$B$9:$B$150,0)),"")</f>
        <v>4.6947999999999999</v>
      </c>
      <c r="AX57" s="744">
        <f>IFERROR(INDEX(MassProp!D$9:D$150,MATCH($M57,MassProp!$B$9:$B$150,0)),"")</f>
        <v>-1.3412999999999999</v>
      </c>
      <c r="AY57" s="731">
        <f>IFERROR(INDEX(MassProp!E$9:E$150,MATCH($M57,MassProp!$B$9:$B$150,0)),"")</f>
        <v>1.34E-2</v>
      </c>
      <c r="AZ57" s="297">
        <f t="shared" si="144"/>
        <v>0.39529139377315992</v>
      </c>
      <c r="BA57" s="296">
        <f t="shared" si="278"/>
        <v>4.5044396333338399E-2</v>
      </c>
      <c r="BB57" s="177">
        <f t="shared" si="145"/>
        <v>1.2594806837136177</v>
      </c>
      <c r="BC57" s="9"/>
      <c r="BD57" s="5">
        <f t="shared" si="146"/>
        <v>4.6947999999999999</v>
      </c>
      <c r="BE57" s="6">
        <f t="shared" si="280"/>
        <v>-1.6730781608838572</v>
      </c>
      <c r="BF57" s="4">
        <f t="shared" si="281"/>
        <v>6.1366369667758445</v>
      </c>
      <c r="BG57" s="5">
        <f t="shared" si="282"/>
        <v>-3.2300817121158412</v>
      </c>
      <c r="BH57" s="10">
        <f t="shared" si="283"/>
        <v>-2.9325588445974748</v>
      </c>
      <c r="BI57" s="9">
        <f t="shared" si="147"/>
        <v>6.1366369667758445</v>
      </c>
      <c r="BJ57" s="5">
        <f t="shared" si="285"/>
        <v>-3.0693297253492946</v>
      </c>
      <c r="BK57" s="8">
        <f t="shared" si="286"/>
        <v>-3.9195536767777694</v>
      </c>
      <c r="BL57" s="173">
        <f t="shared" si="287"/>
        <v>6.7229785918327645</v>
      </c>
      <c r="BM57" s="5">
        <f t="shared" si="288"/>
        <v>-4.0296105809220197</v>
      </c>
      <c r="BN57" s="6">
        <f t="shared" si="289"/>
        <v>-3.062778223612749</v>
      </c>
      <c r="BO57" s="4">
        <f t="shared" si="148"/>
        <v>-0.81006388558286613</v>
      </c>
      <c r="BP57" s="5">
        <f t="shared" si="239"/>
        <v>-0.57871615382337271</v>
      </c>
      <c r="BQ57" s="5">
        <f t="shared" si="149"/>
        <v>-9.4255581151825751E-2</v>
      </c>
      <c r="BR57" s="6">
        <f t="shared" si="150"/>
        <v>2.82535748258754</v>
      </c>
      <c r="BS57" s="4">
        <f t="shared" si="483"/>
        <v>0</v>
      </c>
      <c r="BT57" s="5">
        <f t="shared" si="483"/>
        <v>0</v>
      </c>
      <c r="BU57" s="10">
        <f t="shared" si="119"/>
        <v>-1.6730781608838572</v>
      </c>
      <c r="BV57" s="9">
        <f t="shared" si="120"/>
        <v>0</v>
      </c>
      <c r="BW57" s="5">
        <f t="shared" si="121"/>
        <v>1</v>
      </c>
      <c r="BX57" s="8">
        <f t="shared" si="122"/>
        <v>-1.6730781608838572</v>
      </c>
      <c r="BY57" s="173">
        <f t="shared" si="123"/>
        <v>1</v>
      </c>
      <c r="BZ57" s="5">
        <f t="shared" si="124"/>
        <v>0</v>
      </c>
      <c r="CA57" s="6">
        <f t="shared" si="125"/>
        <v>-1.6730781608838572</v>
      </c>
      <c r="CB57" s="4">
        <f t="shared" si="151"/>
        <v>0</v>
      </c>
      <c r="CC57" s="5">
        <f t="shared" si="152"/>
        <v>0</v>
      </c>
      <c r="CD57" s="5">
        <f t="shared" si="153"/>
        <v>-1</v>
      </c>
      <c r="CE57" s="6">
        <f t="shared" si="154"/>
        <v>-1.6730781608838572</v>
      </c>
      <c r="CF57" s="4">
        <f t="shared" si="155"/>
        <v>0.57871615382337271</v>
      </c>
      <c r="CG57" s="5">
        <f t="shared" si="156"/>
        <v>-0.81006388558286613</v>
      </c>
      <c r="CH57" s="5">
        <f t="shared" si="157"/>
        <v>0</v>
      </c>
      <c r="CI57" s="4">
        <f t="shared" si="126"/>
        <v>0</v>
      </c>
      <c r="CJ57" s="5">
        <f t="shared" si="127"/>
        <v>5.15460717183388</v>
      </c>
      <c r="CK57" s="8">
        <f t="shared" si="128"/>
        <v>-1.6730781608838572</v>
      </c>
      <c r="CL57" s="173">
        <f t="shared" si="129"/>
        <v>0.57871615382337271</v>
      </c>
      <c r="CM57" s="5">
        <f t="shared" si="130"/>
        <v>4.3445432862510138</v>
      </c>
      <c r="CN57" s="6">
        <f t="shared" si="131"/>
        <v>-1.6730781608838572</v>
      </c>
      <c r="CO57" s="167">
        <f t="shared" si="305"/>
        <v>0.3125</v>
      </c>
      <c r="CP57" s="4">
        <f t="shared" si="240"/>
        <v>0.99111588542172835</v>
      </c>
      <c r="CQ57" s="5">
        <f t="shared" si="241"/>
        <v>-20.687009199117242</v>
      </c>
      <c r="CR57" s="5">
        <f t="shared" si="158"/>
        <v>109.44995628527758</v>
      </c>
      <c r="CS57" s="8">
        <f t="shared" si="159"/>
        <v>-5.9580117278480316</v>
      </c>
      <c r="CT57" s="9" t="e">
        <f t="shared" si="160"/>
        <v>#NUM!</v>
      </c>
      <c r="CU57" s="6" t="e">
        <f t="shared" si="161"/>
        <v>#NUM!</v>
      </c>
      <c r="CV57" s="4" t="e">
        <f t="shared" si="242"/>
        <v>#NUM!</v>
      </c>
      <c r="CW57" s="5" t="e">
        <f t="shared" si="162"/>
        <v>#NUM!</v>
      </c>
      <c r="CX57" s="8" t="e">
        <f t="shared" si="163"/>
        <v>#NUM!</v>
      </c>
      <c r="CY57" s="9" t="e">
        <f t="shared" si="164"/>
        <v>#NUM!</v>
      </c>
      <c r="CZ57" s="5" t="e">
        <f t="shared" si="165"/>
        <v>#NUM!</v>
      </c>
      <c r="DA57" s="6" t="e">
        <f t="shared" si="166"/>
        <v>#NUM!</v>
      </c>
      <c r="DB57" s="4">
        <f t="shared" si="484"/>
        <v>0</v>
      </c>
      <c r="DC57" s="5">
        <f t="shared" si="484"/>
        <v>0</v>
      </c>
      <c r="DD57" s="10">
        <f t="shared" si="168"/>
        <v>-10</v>
      </c>
      <c r="DE57" s="9">
        <f t="shared" si="485"/>
        <v>0</v>
      </c>
      <c r="DF57" s="5">
        <f t="shared" si="485"/>
        <v>0</v>
      </c>
      <c r="DG57" s="10">
        <f t="shared" si="170"/>
        <v>10</v>
      </c>
      <c r="DH57" s="70">
        <f t="shared" si="171"/>
        <v>4.6947999999999999</v>
      </c>
      <c r="DI57" s="4">
        <f t="shared" si="172"/>
        <v>0</v>
      </c>
      <c r="DJ57" s="5">
        <f t="shared" si="173"/>
        <v>0</v>
      </c>
      <c r="DK57" s="10">
        <f t="shared" si="174"/>
        <v>20</v>
      </c>
      <c r="DL57" s="9" t="e">
        <f t="shared" si="175"/>
        <v>#NUM!</v>
      </c>
      <c r="DM57" s="173" t="e">
        <f t="shared" si="176"/>
        <v>#NUM!</v>
      </c>
      <c r="DN57" s="178" t="e">
        <f t="shared" si="177"/>
        <v>#NUM!</v>
      </c>
      <c r="DO57" s="9" t="e">
        <f t="shared" si="178"/>
        <v>#NUM!</v>
      </c>
      <c r="DP57" s="173" t="e">
        <f t="shared" si="179"/>
        <v>#NUM!</v>
      </c>
      <c r="DQ57" s="11" t="e">
        <f t="shared" si="180"/>
        <v>#NUM!</v>
      </c>
      <c r="DR57" s="173" t="e">
        <f t="shared" si="181"/>
        <v>#NUM!</v>
      </c>
      <c r="DS57" s="5" t="e">
        <f t="shared" si="182"/>
        <v>#NUM!</v>
      </c>
      <c r="DT57" s="5">
        <f t="shared" si="183"/>
        <v>400</v>
      </c>
      <c r="DU57" s="5" t="e">
        <f t="shared" si="184"/>
        <v>#NUM!</v>
      </c>
      <c r="DV57" s="5" t="e">
        <f t="shared" si="185"/>
        <v>#NUM!</v>
      </c>
      <c r="DW57" s="5" t="e">
        <f t="shared" si="186"/>
        <v>#NUM!</v>
      </c>
      <c r="DX57" s="167" t="e">
        <f t="shared" si="187"/>
        <v>#NUM!</v>
      </c>
      <c r="DY57" s="9" t="e">
        <f t="shared" si="188"/>
        <v>#NUM!</v>
      </c>
      <c r="DZ57" s="5" t="e">
        <f t="shared" si="189"/>
        <v>#NUM!</v>
      </c>
      <c r="EA57" s="10" t="e">
        <f t="shared" si="190"/>
        <v>#NUM!</v>
      </c>
      <c r="EB57" s="6" t="e">
        <f t="shared" si="191"/>
        <v>#NUM!</v>
      </c>
      <c r="EC57" s="173" t="e">
        <f t="shared" si="192"/>
        <v>#NUM!</v>
      </c>
      <c r="ED57" s="5" t="e">
        <f t="shared" si="193"/>
        <v>#NUM!</v>
      </c>
      <c r="EE57" s="4" t="e">
        <f t="shared" si="194"/>
        <v>#NUM!</v>
      </c>
      <c r="EF57" s="5" t="e">
        <f t="shared" si="195"/>
        <v>#NUM!</v>
      </c>
      <c r="EG57" s="10" t="e">
        <f t="shared" si="196"/>
        <v>#NUM!</v>
      </c>
      <c r="EH57" s="9" t="e">
        <f t="shared" si="197"/>
        <v>#NUM!</v>
      </c>
      <c r="EI57" s="5" t="e">
        <f t="shared" si="198"/>
        <v>#NUM!</v>
      </c>
      <c r="EJ57" s="6" t="e">
        <f t="shared" si="199"/>
        <v>#NUM!</v>
      </c>
      <c r="EK57" s="236" t="e">
        <f t="shared" si="200"/>
        <v>#NUM!</v>
      </c>
      <c r="EL57" s="238" t="e">
        <f t="shared" si="201"/>
        <v>#NUM!</v>
      </c>
      <c r="EM57" s="4" t="e">
        <f t="shared" si="202"/>
        <v>#NUM!</v>
      </c>
      <c r="EN57" s="5" t="e">
        <f t="shared" si="203"/>
        <v>#NUM!</v>
      </c>
      <c r="EO57" s="10" t="e">
        <f t="shared" si="204"/>
        <v>#NUM!</v>
      </c>
      <c r="EP57" s="9" t="e">
        <f t="shared" si="205"/>
        <v>#NUM!</v>
      </c>
      <c r="EQ57" s="5" t="e">
        <f t="shared" si="206"/>
        <v>#NUM!</v>
      </c>
      <c r="ER57" s="7" t="e">
        <f t="shared" si="207"/>
        <v>#NUM!</v>
      </c>
      <c r="ES57" s="21">
        <f t="shared" si="352"/>
        <v>-0.81006388558286591</v>
      </c>
      <c r="ET57" s="5">
        <f t="shared" si="353"/>
        <v>-0.57871615382337604</v>
      </c>
      <c r="EU57" s="10">
        <f t="shared" si="354"/>
        <v>-9.4255581151825377E-2</v>
      </c>
      <c r="EV57" s="174" t="e">
        <f t="shared" si="486"/>
        <v>#NUM!</v>
      </c>
      <c r="EW57" s="9" t="e">
        <f t="shared" si="487"/>
        <v>#NUM!</v>
      </c>
      <c r="EX57" s="5" t="e">
        <f t="shared" si="488"/>
        <v>#NUM!</v>
      </c>
      <c r="EY57" s="6">
        <f t="shared" si="208"/>
        <v>-9.4255581151825377E-2</v>
      </c>
      <c r="EZ57" s="51" t="e">
        <f t="shared" si="209"/>
        <v>#NUM!</v>
      </c>
      <c r="FA57" s="173" t="e">
        <f t="shared" si="489"/>
        <v>#NUM!</v>
      </c>
      <c r="FB57" s="5" t="e">
        <f t="shared" si="490"/>
        <v>#NUM!</v>
      </c>
      <c r="FC57" s="6" t="e">
        <f t="shared" si="491"/>
        <v>#NUM!</v>
      </c>
      <c r="FD57" s="4" t="e">
        <f t="shared" si="492"/>
        <v>#NUM!</v>
      </c>
      <c r="FE57" s="5" t="e">
        <f t="shared" si="493"/>
        <v>#NUM!</v>
      </c>
      <c r="FF57" s="7" t="e">
        <f t="shared" si="210"/>
        <v>#NUM!</v>
      </c>
      <c r="FG57" s="173" t="e">
        <f t="shared" si="494"/>
        <v>#NUM!</v>
      </c>
      <c r="FH57" s="5" t="e">
        <f t="shared" si="495"/>
        <v>#NUM!</v>
      </c>
      <c r="FI57" s="10" t="e">
        <f t="shared" si="496"/>
        <v>#NUM!</v>
      </c>
      <c r="FJ57" s="279" t="e">
        <f t="shared" si="212"/>
        <v>#NUM!</v>
      </c>
      <c r="FK57" s="4">
        <f t="shared" si="497"/>
        <v>0.99554803270446568</v>
      </c>
      <c r="FL57" s="5" t="e">
        <f t="shared" si="213"/>
        <v>#NUM!</v>
      </c>
      <c r="FM57" s="8" t="e">
        <f t="shared" si="214"/>
        <v>#NUM!</v>
      </c>
      <c r="FN57" s="9" t="e">
        <f t="shared" si="215"/>
        <v>#NUM!</v>
      </c>
      <c r="FO57" s="10" t="e">
        <f t="shared" si="498"/>
        <v>#NUM!</v>
      </c>
      <c r="FP57" s="277" t="e">
        <f t="shared" si="499"/>
        <v>#NUM!</v>
      </c>
      <c r="FQ57" s="173" t="e">
        <f t="shared" si="243"/>
        <v>#NUM!</v>
      </c>
      <c r="FR57" s="10" t="e">
        <f t="shared" si="216"/>
        <v>#NUM!</v>
      </c>
      <c r="FS57" s="9" t="e">
        <f t="shared" si="217"/>
        <v>#NUM!</v>
      </c>
      <c r="FT57" s="6" t="e">
        <f t="shared" si="218"/>
        <v>#NUM!</v>
      </c>
      <c r="FU57" s="4" t="e">
        <f t="shared" si="219"/>
        <v>#NUM!</v>
      </c>
      <c r="FV57" s="5" t="e">
        <f t="shared" si="220"/>
        <v>#NUM!</v>
      </c>
      <c r="FW57" s="8" t="e">
        <f t="shared" si="244"/>
        <v>#NUM!</v>
      </c>
      <c r="FX57" s="9" t="e">
        <f t="shared" si="245"/>
        <v>#NUM!</v>
      </c>
      <c r="FY57" s="10" t="e">
        <f t="shared" si="500"/>
        <v>#NUM!</v>
      </c>
      <c r="FZ57" s="277" t="e">
        <f t="shared" si="246"/>
        <v>#NUM!</v>
      </c>
      <c r="GA57" s="177" t="e">
        <f t="shared" si="221"/>
        <v>#NUM!</v>
      </c>
      <c r="GB57" s="4" t="e">
        <f t="shared" si="222"/>
        <v>#NUM!</v>
      </c>
      <c r="GC57" s="5" t="e">
        <f t="shared" si="223"/>
        <v>#NUM!</v>
      </c>
      <c r="GD57" s="10" t="e">
        <f t="shared" si="224"/>
        <v>#NUM!</v>
      </c>
      <c r="GE57" s="311" t="e">
        <f t="shared" si="225"/>
        <v>#NUM!</v>
      </c>
      <c r="GF57" s="341" t="e">
        <f t="shared" si="247"/>
        <v>#NUM!</v>
      </c>
      <c r="GG57" s="285" t="e">
        <f t="shared" si="501"/>
        <v>#NUM!</v>
      </c>
      <c r="GH57" s="286" t="e">
        <f t="shared" si="502"/>
        <v>#NUM!</v>
      </c>
      <c r="GI57" s="281" t="e">
        <f t="shared" si="503"/>
        <v>#NUM!</v>
      </c>
      <c r="GJ57" s="167">
        <f t="shared" si="226"/>
        <v>4.6947999999999999</v>
      </c>
      <c r="GK57" s="174">
        <f t="shared" si="504"/>
        <v>2.458279812022139</v>
      </c>
      <c r="GL57" s="174">
        <f t="shared" si="227"/>
        <v>1.34E-2</v>
      </c>
      <c r="GM57" s="177">
        <f t="shared" si="248"/>
        <v>0.39529139377315992</v>
      </c>
      <c r="GN57" s="280">
        <f t="shared" si="228"/>
        <v>4.5044396333338399E-2</v>
      </c>
      <c r="GO57" s="4" t="e">
        <f t="shared" si="229"/>
        <v>#NUM!</v>
      </c>
      <c r="GP57" s="8" t="e">
        <f t="shared" si="249"/>
        <v>#NUM!</v>
      </c>
      <c r="GQ57" s="177" t="e">
        <f t="shared" si="230"/>
        <v>#NUM!</v>
      </c>
      <c r="GR57" s="371" t="e">
        <f t="shared" si="250"/>
        <v>#NUM!</v>
      </c>
      <c r="GS57" s="342" t="e">
        <f t="shared" si="505"/>
        <v>#NUM!</v>
      </c>
      <c r="GT57" s="343" t="e">
        <f t="shared" si="506"/>
        <v>#NUM!</v>
      </c>
      <c r="GU57" s="344">
        <f t="shared" si="507"/>
        <v>971.75800969235161</v>
      </c>
      <c r="GV57" s="343">
        <f t="shared" si="252"/>
        <v>395.3</v>
      </c>
      <c r="GW57" s="345">
        <f t="shared" si="508"/>
        <v>29500</v>
      </c>
      <c r="GX57" s="346">
        <f t="shared" si="509"/>
        <v>154.65453666666667</v>
      </c>
      <c r="GY57" s="344" t="e">
        <f t="shared" si="510"/>
        <v>#NUM!</v>
      </c>
      <c r="GZ57" s="345" t="e">
        <f t="shared" si="511"/>
        <v>#NUM!</v>
      </c>
      <c r="HA57" s="342" t="e">
        <f t="shared" si="512"/>
        <v>#NUM!</v>
      </c>
      <c r="HB57" s="5" t="e">
        <f t="shared" si="231"/>
        <v>#NUM!</v>
      </c>
      <c r="HC57" s="343" t="e">
        <f t="shared" si="232"/>
        <v>#NUM!</v>
      </c>
      <c r="HD57" s="363" t="e">
        <f t="shared" si="233"/>
        <v>#NUM!</v>
      </c>
      <c r="HE57" s="344" t="e">
        <f t="shared" si="513"/>
        <v>#NUM!</v>
      </c>
      <c r="HF57" s="5" t="e">
        <f t="shared" si="514"/>
        <v>#NUM!</v>
      </c>
      <c r="HG57" s="343" t="e">
        <f t="shared" si="234"/>
        <v>#NUM!</v>
      </c>
      <c r="HH57" s="349" t="e">
        <f t="shared" si="235"/>
        <v>#NUM!</v>
      </c>
      <c r="HI57" s="317">
        <f t="shared" si="408"/>
        <v>3.133</v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3.133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</v>
      </c>
      <c r="B58" s="578">
        <f t="shared" si="515"/>
        <v>6.2462168552724542</v>
      </c>
      <c r="C58" s="572">
        <f t="shared" si="516"/>
        <v>-3.3127358214592846</v>
      </c>
      <c r="D58" s="576">
        <f t="shared" si="517"/>
        <v>-3.6719610746346003</v>
      </c>
      <c r="E58" s="580">
        <f t="shared" si="518"/>
        <v>0.84598731628360901</v>
      </c>
      <c r="F58" s="572">
        <f t="shared" si="519"/>
        <v>0.53061979691315508</v>
      </c>
      <c r="G58" s="579">
        <f t="shared" si="520"/>
        <v>5.2422245383987987E-2</v>
      </c>
      <c r="H58" s="580">
        <f t="shared" si="521"/>
        <v>0.3125</v>
      </c>
      <c r="I58" s="572">
        <f t="shared" si="522"/>
        <v>0.52</v>
      </c>
      <c r="J58" s="483">
        <f t="shared" si="523"/>
        <v>3.1360000000000001</v>
      </c>
      <c r="K58" s="806">
        <f t="shared" si="524"/>
        <v>1613</v>
      </c>
      <c r="L58" s="309"/>
      <c r="M58" s="164">
        <f t="shared" si="267"/>
        <v>3.1360000000000001</v>
      </c>
      <c r="N58" s="575">
        <f t="shared" si="268"/>
        <v>6.2462168552724542</v>
      </c>
      <c r="O58" s="572">
        <f t="shared" si="269"/>
        <v>-3.3127358214592846</v>
      </c>
      <c r="P58" s="576">
        <f t="shared" si="270"/>
        <v>-3.6719610746346003</v>
      </c>
      <c r="Q58" s="528">
        <f t="shared" si="140"/>
        <v>332.06036505080738</v>
      </c>
      <c r="R58" s="572">
        <f t="shared" si="464"/>
        <v>7.0703213240891127</v>
      </c>
      <c r="S58" s="577">
        <f t="shared" si="465"/>
        <v>-3.6719610746346003</v>
      </c>
      <c r="T58" s="578">
        <f t="shared" si="466"/>
        <v>-3.3127359931587783</v>
      </c>
      <c r="U58" s="572">
        <f t="shared" si="467"/>
        <v>-6.2462167642101205</v>
      </c>
      <c r="V58" s="579">
        <f t="shared" si="468"/>
        <v>-3.6719610746346003</v>
      </c>
      <c r="W58" s="528">
        <f t="shared" si="253"/>
        <v>242.06036347582904</v>
      </c>
      <c r="X58" s="572">
        <f t="shared" si="469"/>
        <v>7.0703213240891127</v>
      </c>
      <c r="Y58" s="573">
        <f t="shared" si="255"/>
        <v>-3.6719610746346003</v>
      </c>
      <c r="Z58" s="575">
        <f t="shared" si="271"/>
        <v>-0.84598731628360901</v>
      </c>
      <c r="AA58" s="572">
        <f t="shared" si="272"/>
        <v>-0.53061979691315508</v>
      </c>
      <c r="AB58" s="572">
        <f t="shared" si="273"/>
        <v>-5.2422245383987987E-2</v>
      </c>
      <c r="AC58" s="579">
        <f t="shared" si="470"/>
        <v>1</v>
      </c>
      <c r="AD58" s="580">
        <f t="shared" si="471"/>
        <v>-0.84598731628360901</v>
      </c>
      <c r="AE58" s="572">
        <f t="shared" si="472"/>
        <v>-0.53061979691315508</v>
      </c>
      <c r="AF58" s="576">
        <f t="shared" si="473"/>
        <v>-5.2422245383987987E-2</v>
      </c>
      <c r="AG58" s="545">
        <f t="shared" si="474"/>
        <v>-84.357808908061429</v>
      </c>
      <c r="AH58" s="546">
        <f t="shared" si="475"/>
        <v>147.77787345243948</v>
      </c>
      <c r="AI58" s="528">
        <f t="shared" si="476"/>
        <v>-86.995049200300954</v>
      </c>
      <c r="AJ58" s="529">
        <f t="shared" si="477"/>
        <v>-57.903258667717296</v>
      </c>
      <c r="AK58" s="578">
        <f t="shared" si="478"/>
        <v>0.86515145860943854</v>
      </c>
      <c r="AL58" s="572">
        <f t="shared" si="479"/>
        <v>-0.49876333250837723</v>
      </c>
      <c r="AM58" s="577">
        <f t="shared" si="480"/>
        <v>-5.2422245383987987E-2</v>
      </c>
      <c r="AN58" s="524">
        <f t="shared" si="481"/>
        <v>-83.99998787190232</v>
      </c>
      <c r="AO58" s="525">
        <f t="shared" si="525"/>
        <v>30.099995654098311</v>
      </c>
      <c r="AP58" s="528">
        <f t="shared" si="482"/>
        <v>-29.963623718524694</v>
      </c>
      <c r="AQ58" s="529">
        <f t="shared" si="274"/>
        <v>0.32243266775809315</v>
      </c>
      <c r="AS58" s="932">
        <f t="shared" si="461"/>
        <v>-117.93963652417096</v>
      </c>
      <c r="AT58" s="928">
        <f t="shared" si="275"/>
        <v>-3.5900585387687003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3.1360000000000001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1613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</v>
      </c>
      <c r="B59" s="578">
        <f t="shared" si="515"/>
        <v>6.2982449191186056</v>
      </c>
      <c r="C59" s="572">
        <f t="shared" si="516"/>
        <v>-3.3524939999933587</v>
      </c>
      <c r="D59" s="576">
        <f t="shared" si="517"/>
        <v>-4.4270633520230689</v>
      </c>
      <c r="E59" s="580">
        <f t="shared" si="518"/>
        <v>0.86943024471117802</v>
      </c>
      <c r="F59" s="572">
        <f t="shared" si="519"/>
        <v>0.4937016832397696</v>
      </c>
      <c r="G59" s="579">
        <f t="shared" si="520"/>
        <v>1.8700201808521937E-2</v>
      </c>
      <c r="H59" s="580">
        <f t="shared" si="521"/>
        <v>0.3125</v>
      </c>
      <c r="I59" s="572">
        <f t="shared" si="522"/>
        <v>0.52</v>
      </c>
      <c r="J59" s="483">
        <f t="shared" si="523"/>
        <v>3.1389999999999998</v>
      </c>
      <c r="K59" s="806">
        <f t="shared" si="524"/>
        <v>1613</v>
      </c>
      <c r="L59" s="309"/>
      <c r="M59" s="164">
        <f t="shared" si="267"/>
        <v>3.1389999999999998</v>
      </c>
      <c r="N59" s="575">
        <f t="shared" si="268"/>
        <v>6.2982449191186056</v>
      </c>
      <c r="O59" s="572">
        <f t="shared" si="269"/>
        <v>-3.3524939999933587</v>
      </c>
      <c r="P59" s="576">
        <f t="shared" si="270"/>
        <v>-4.4270633520230689</v>
      </c>
      <c r="Q59" s="528">
        <f t="shared" si="140"/>
        <v>331.97406506326757</v>
      </c>
      <c r="R59" s="572">
        <f t="shared" si="101"/>
        <v>7.134921518923302</v>
      </c>
      <c r="S59" s="577">
        <f t="shared" si="102"/>
        <v>-4.4270633520230689</v>
      </c>
      <c r="T59" s="578">
        <f t="shared" si="103"/>
        <v>-3.352494173123024</v>
      </c>
      <c r="U59" s="572">
        <f t="shared" si="104"/>
        <v>-6.2982448269633791</v>
      </c>
      <c r="V59" s="579">
        <f t="shared" si="141"/>
        <v>-4.4270633520230689</v>
      </c>
      <c r="W59" s="528">
        <f t="shared" si="253"/>
        <v>241.97406348828923</v>
      </c>
      <c r="X59" s="572">
        <f t="shared" si="105"/>
        <v>7.134921518923302</v>
      </c>
      <c r="Y59" s="573">
        <f t="shared" si="255"/>
        <v>-4.4270633520230689</v>
      </c>
      <c r="Z59" s="575">
        <f t="shared" si="271"/>
        <v>-0.86943024471117802</v>
      </c>
      <c r="AA59" s="572">
        <f t="shared" si="272"/>
        <v>-0.4937016832397696</v>
      </c>
      <c r="AB59" s="572">
        <f t="shared" si="273"/>
        <v>-1.8700201808521937E-2</v>
      </c>
      <c r="AC59" s="579">
        <f t="shared" si="106"/>
        <v>1</v>
      </c>
      <c r="AD59" s="580">
        <f t="shared" si="142"/>
        <v>-0.86943024471117802</v>
      </c>
      <c r="AE59" s="572">
        <f t="shared" si="107"/>
        <v>-0.4937016832397696</v>
      </c>
      <c r="AF59" s="576">
        <f t="shared" si="108"/>
        <v>-1.8700201808521937E-2</v>
      </c>
      <c r="AG59" s="545">
        <f t="shared" si="109"/>
        <v>-87.830814205424446</v>
      </c>
      <c r="AH59" s="546">
        <f t="shared" si="110"/>
        <v>150.39249762193592</v>
      </c>
      <c r="AI59" s="528">
        <f t="shared" si="111"/>
        <v>-88.92849490368927</v>
      </c>
      <c r="AJ59" s="529">
        <f t="shared" si="112"/>
        <v>-60.410136689663574</v>
      </c>
      <c r="AK59" s="578">
        <f t="shared" si="238"/>
        <v>0.84432796925021414</v>
      </c>
      <c r="AL59" s="572">
        <f t="shared" si="113"/>
        <v>-0.53550031073205751</v>
      </c>
      <c r="AM59" s="577">
        <f t="shared" si="114"/>
        <v>-1.8700201808521937E-2</v>
      </c>
      <c r="AN59" s="524">
        <f t="shared" si="115"/>
        <v>-87.999987294373838</v>
      </c>
      <c r="AO59" s="525">
        <f t="shared" si="525"/>
        <v>32.399995322019443</v>
      </c>
      <c r="AP59" s="528">
        <f t="shared" si="117"/>
        <v>-32.384201752931133</v>
      </c>
      <c r="AQ59" s="529">
        <f t="shared" si="274"/>
        <v>0.31951339537350448</v>
      </c>
      <c r="AS59" s="932">
        <f t="shared" si="461"/>
        <v>-118.02593651171077</v>
      </c>
      <c r="AT59" s="928">
        <f t="shared" si="275"/>
        <v>-4.3451008856102664</v>
      </c>
      <c r="AU59" s="418"/>
      <c r="AV59" s="164">
        <f t="shared" si="276"/>
        <v>3.1389999999999998</v>
      </c>
      <c r="AW59" s="797">
        <f>IFERROR(INDEX(MassProp!C$9:C$150,MATCH($M59,MassProp!$B$9:$B$150,0)),"")</f>
        <v>4.8963000000000001</v>
      </c>
      <c r="AX59" s="744">
        <f>IFERROR(INDEX(MassProp!D$9:D$150,MATCH($M59,MassProp!$B$9:$B$150,0)),"")</f>
        <v>-2.1715</v>
      </c>
      <c r="AY59" s="731">
        <f>IFERROR(INDEX(MassProp!E$9:E$150,MATCH($M59,MassProp!$B$9:$B$150,0)),"")</f>
        <v>3.5999999999999999E-3</v>
      </c>
      <c r="AZ59" s="297">
        <f t="shared" si="144"/>
        <v>0.1107553535588371</v>
      </c>
      <c r="BA59" s="296">
        <f t="shared" si="278"/>
        <v>1.2620836477421999E-2</v>
      </c>
      <c r="BB59" s="177">
        <f t="shared" si="145"/>
        <v>1.9236008856102664</v>
      </c>
      <c r="BC59" s="9"/>
      <c r="BD59" s="5">
        <f t="shared" si="146"/>
        <v>4.8963000000000001</v>
      </c>
      <c r="BE59" s="6">
        <f t="shared" si="280"/>
        <v>-2.5034624664128025</v>
      </c>
      <c r="BF59" s="4">
        <f t="shared" si="281"/>
        <v>6.2982449191186056</v>
      </c>
      <c r="BG59" s="5">
        <f t="shared" si="282"/>
        <v>-3.3524939999933587</v>
      </c>
      <c r="BH59" s="10">
        <f t="shared" si="283"/>
        <v>-4.4270633520230689</v>
      </c>
      <c r="BI59" s="9">
        <f t="shared" si="147"/>
        <v>6.2982449191186056</v>
      </c>
      <c r="BJ59" s="5">
        <f t="shared" si="285"/>
        <v>-3.3146436093621583</v>
      </c>
      <c r="BK59" s="8">
        <f t="shared" si="286"/>
        <v>-5.4263467692421603</v>
      </c>
      <c r="BL59" s="173">
        <f t="shared" si="287"/>
        <v>6.7923006341765957</v>
      </c>
      <c r="BM59" s="5">
        <f t="shared" si="288"/>
        <v>-4.2213012259619758</v>
      </c>
      <c r="BN59" s="6">
        <f t="shared" si="289"/>
        <v>-4.4599716264119671</v>
      </c>
      <c r="BO59" s="4">
        <f t="shared" si="148"/>
        <v>-0.86943024471117791</v>
      </c>
      <c r="BP59" s="5">
        <f t="shared" si="239"/>
        <v>-0.49370168323976671</v>
      </c>
      <c r="BQ59" s="5">
        <f t="shared" si="149"/>
        <v>-1.8700201808522721E-2</v>
      </c>
      <c r="BR59" s="6">
        <f t="shared" si="150"/>
        <v>3.7379657123303467</v>
      </c>
      <c r="BS59" s="4">
        <f t="shared" si="483"/>
        <v>0</v>
      </c>
      <c r="BT59" s="5">
        <f t="shared" si="483"/>
        <v>0</v>
      </c>
      <c r="BU59" s="10">
        <f t="shared" si="119"/>
        <v>-2.5034624664128025</v>
      </c>
      <c r="BV59" s="9">
        <f t="shared" si="120"/>
        <v>0</v>
      </c>
      <c r="BW59" s="5">
        <f t="shared" si="121"/>
        <v>1</v>
      </c>
      <c r="BX59" s="8">
        <f t="shared" si="122"/>
        <v>-2.5034624664128025</v>
      </c>
      <c r="BY59" s="173">
        <f t="shared" si="123"/>
        <v>1</v>
      </c>
      <c r="BZ59" s="5">
        <f t="shared" si="124"/>
        <v>0</v>
      </c>
      <c r="CA59" s="6">
        <f t="shared" si="125"/>
        <v>-2.5034624664128025</v>
      </c>
      <c r="CB59" s="4">
        <f t="shared" si="151"/>
        <v>0</v>
      </c>
      <c r="CC59" s="5">
        <f t="shared" si="152"/>
        <v>0</v>
      </c>
      <c r="CD59" s="5">
        <f t="shared" si="153"/>
        <v>-1</v>
      </c>
      <c r="CE59" s="6">
        <f t="shared" si="154"/>
        <v>-2.5034624664128025</v>
      </c>
      <c r="CF59" s="4">
        <f t="shared" si="155"/>
        <v>0.49370168323976671</v>
      </c>
      <c r="CG59" s="5">
        <f t="shared" si="156"/>
        <v>-0.86943024471117791</v>
      </c>
      <c r="CH59" s="5">
        <f t="shared" si="157"/>
        <v>0</v>
      </c>
      <c r="CI59" s="4">
        <f t="shared" si="126"/>
        <v>0</v>
      </c>
      <c r="CJ59" s="5">
        <f t="shared" si="127"/>
        <v>7.6661293533290333</v>
      </c>
      <c r="CK59" s="8">
        <f t="shared" si="128"/>
        <v>-2.5034624664128025</v>
      </c>
      <c r="CL59" s="173">
        <f t="shared" si="129"/>
        <v>0.49370168323976671</v>
      </c>
      <c r="CM59" s="5">
        <f t="shared" si="130"/>
        <v>6.7966991086178554</v>
      </c>
      <c r="CN59" s="6">
        <f t="shared" si="131"/>
        <v>-2.5034624664128025</v>
      </c>
      <c r="CO59" s="167">
        <f t="shared" si="305"/>
        <v>0.3125</v>
      </c>
      <c r="CP59" s="4">
        <f t="shared" si="240"/>
        <v>0.99965030245231756</v>
      </c>
      <c r="CQ59" s="5">
        <f t="shared" si="241"/>
        <v>-25.378757032969101</v>
      </c>
      <c r="CR59" s="5">
        <f t="shared" si="158"/>
        <v>164.68053378070553</v>
      </c>
      <c r="CS59" s="8">
        <f t="shared" si="159"/>
        <v>-14.410473069086834</v>
      </c>
      <c r="CT59" s="9" t="e">
        <f t="shared" si="160"/>
        <v>#NUM!</v>
      </c>
      <c r="CU59" s="6" t="e">
        <f t="shared" si="161"/>
        <v>#NUM!</v>
      </c>
      <c r="CV59" s="4" t="e">
        <f t="shared" si="242"/>
        <v>#NUM!</v>
      </c>
      <c r="CW59" s="5" t="e">
        <f t="shared" si="162"/>
        <v>#NUM!</v>
      </c>
      <c r="CX59" s="8" t="e">
        <f t="shared" si="163"/>
        <v>#NUM!</v>
      </c>
      <c r="CY59" s="9" t="e">
        <f t="shared" si="164"/>
        <v>#NUM!</v>
      </c>
      <c r="CZ59" s="5" t="e">
        <f t="shared" si="165"/>
        <v>#NUM!</v>
      </c>
      <c r="DA59" s="6" t="e">
        <f t="shared" si="166"/>
        <v>#NUM!</v>
      </c>
      <c r="DB59" s="4">
        <f t="shared" si="484"/>
        <v>0</v>
      </c>
      <c r="DC59" s="5">
        <f t="shared" si="484"/>
        <v>0</v>
      </c>
      <c r="DD59" s="10">
        <f t="shared" si="168"/>
        <v>-10</v>
      </c>
      <c r="DE59" s="9">
        <f t="shared" si="485"/>
        <v>0</v>
      </c>
      <c r="DF59" s="5">
        <f t="shared" si="485"/>
        <v>0</v>
      </c>
      <c r="DG59" s="10">
        <f t="shared" si="170"/>
        <v>10</v>
      </c>
      <c r="DH59" s="70">
        <f t="shared" si="171"/>
        <v>4.8963000000000001</v>
      </c>
      <c r="DI59" s="4">
        <f t="shared" si="172"/>
        <v>0</v>
      </c>
      <c r="DJ59" s="5">
        <f t="shared" si="173"/>
        <v>0</v>
      </c>
      <c r="DK59" s="10">
        <f t="shared" si="174"/>
        <v>20</v>
      </c>
      <c r="DL59" s="9" t="e">
        <f t="shared" si="175"/>
        <v>#NUM!</v>
      </c>
      <c r="DM59" s="173" t="e">
        <f t="shared" si="176"/>
        <v>#NUM!</v>
      </c>
      <c r="DN59" s="178" t="e">
        <f t="shared" si="177"/>
        <v>#NUM!</v>
      </c>
      <c r="DO59" s="9" t="e">
        <f t="shared" si="178"/>
        <v>#NUM!</v>
      </c>
      <c r="DP59" s="173" t="e">
        <f t="shared" si="179"/>
        <v>#NUM!</v>
      </c>
      <c r="DQ59" s="11" t="e">
        <f t="shared" si="180"/>
        <v>#NUM!</v>
      </c>
      <c r="DR59" s="173" t="e">
        <f t="shared" si="181"/>
        <v>#NUM!</v>
      </c>
      <c r="DS59" s="5" t="e">
        <f t="shared" si="182"/>
        <v>#NUM!</v>
      </c>
      <c r="DT59" s="5">
        <f t="shared" si="183"/>
        <v>400</v>
      </c>
      <c r="DU59" s="5" t="e">
        <f t="shared" si="184"/>
        <v>#NUM!</v>
      </c>
      <c r="DV59" s="5" t="e">
        <f t="shared" si="185"/>
        <v>#NUM!</v>
      </c>
      <c r="DW59" s="5" t="e">
        <f t="shared" si="186"/>
        <v>#NUM!</v>
      </c>
      <c r="DX59" s="167" t="e">
        <f t="shared" si="187"/>
        <v>#NUM!</v>
      </c>
      <c r="DY59" s="9" t="e">
        <f t="shared" si="188"/>
        <v>#NUM!</v>
      </c>
      <c r="DZ59" s="5" t="e">
        <f t="shared" si="189"/>
        <v>#NUM!</v>
      </c>
      <c r="EA59" s="10" t="e">
        <f t="shared" si="190"/>
        <v>#NUM!</v>
      </c>
      <c r="EB59" s="6" t="e">
        <f t="shared" si="191"/>
        <v>#NUM!</v>
      </c>
      <c r="EC59" s="173" t="e">
        <f t="shared" si="192"/>
        <v>#NUM!</v>
      </c>
      <c r="ED59" s="5" t="e">
        <f t="shared" si="193"/>
        <v>#NUM!</v>
      </c>
      <c r="EE59" s="4" t="e">
        <f t="shared" si="194"/>
        <v>#NUM!</v>
      </c>
      <c r="EF59" s="5" t="e">
        <f t="shared" si="195"/>
        <v>#NUM!</v>
      </c>
      <c r="EG59" s="10" t="e">
        <f t="shared" si="196"/>
        <v>#NUM!</v>
      </c>
      <c r="EH59" s="9" t="e">
        <f t="shared" si="197"/>
        <v>#NUM!</v>
      </c>
      <c r="EI59" s="5" t="e">
        <f t="shared" si="198"/>
        <v>#NUM!</v>
      </c>
      <c r="EJ59" s="6" t="e">
        <f t="shared" si="199"/>
        <v>#NUM!</v>
      </c>
      <c r="EK59" s="236" t="e">
        <f t="shared" si="200"/>
        <v>#NUM!</v>
      </c>
      <c r="EL59" s="238" t="e">
        <f t="shared" si="201"/>
        <v>#NUM!</v>
      </c>
      <c r="EM59" s="4" t="e">
        <f t="shared" si="202"/>
        <v>#NUM!</v>
      </c>
      <c r="EN59" s="5" t="e">
        <f t="shared" si="203"/>
        <v>#NUM!</v>
      </c>
      <c r="EO59" s="10" t="e">
        <f t="shared" si="204"/>
        <v>#NUM!</v>
      </c>
      <c r="EP59" s="9" t="e">
        <f t="shared" si="205"/>
        <v>#NUM!</v>
      </c>
      <c r="EQ59" s="5" t="e">
        <f t="shared" si="206"/>
        <v>#NUM!</v>
      </c>
      <c r="ER59" s="7" t="e">
        <f t="shared" si="207"/>
        <v>#NUM!</v>
      </c>
      <c r="ES59" s="21">
        <f t="shared" si="352"/>
        <v>-0.86943024471117802</v>
      </c>
      <c r="ET59" s="5">
        <f t="shared" si="353"/>
        <v>-0.4937016832397696</v>
      </c>
      <c r="EU59" s="10">
        <f t="shared" si="354"/>
        <v>-1.8700201808521937E-2</v>
      </c>
      <c r="EV59" s="174" t="e">
        <f t="shared" si="486"/>
        <v>#NUM!</v>
      </c>
      <c r="EW59" s="9" t="e">
        <f t="shared" si="487"/>
        <v>#NUM!</v>
      </c>
      <c r="EX59" s="5" t="e">
        <f t="shared" si="488"/>
        <v>#NUM!</v>
      </c>
      <c r="EY59" s="6">
        <f t="shared" si="208"/>
        <v>-1.8700201808521937E-2</v>
      </c>
      <c r="EZ59" s="51" t="e">
        <f t="shared" si="209"/>
        <v>#NUM!</v>
      </c>
      <c r="FA59" s="173" t="e">
        <f t="shared" si="489"/>
        <v>#NUM!</v>
      </c>
      <c r="FB59" s="5" t="e">
        <f t="shared" si="490"/>
        <v>#NUM!</v>
      </c>
      <c r="FC59" s="6" t="e">
        <f t="shared" si="491"/>
        <v>#NUM!</v>
      </c>
      <c r="FD59" s="4" t="e">
        <f t="shared" si="492"/>
        <v>#NUM!</v>
      </c>
      <c r="FE59" s="5" t="e">
        <f t="shared" si="493"/>
        <v>#NUM!</v>
      </c>
      <c r="FF59" s="7" t="e">
        <f t="shared" si="210"/>
        <v>#NUM!</v>
      </c>
      <c r="FG59" s="173" t="e">
        <f t="shared" si="494"/>
        <v>#NUM!</v>
      </c>
      <c r="FH59" s="5" t="e">
        <f t="shared" si="495"/>
        <v>#NUM!</v>
      </c>
      <c r="FI59" s="10" t="e">
        <f t="shared" si="496"/>
        <v>#NUM!</v>
      </c>
      <c r="FJ59" s="279" t="e">
        <f t="shared" si="212"/>
        <v>#NUM!</v>
      </c>
      <c r="FK59" s="4">
        <f t="shared" si="497"/>
        <v>0.99982513593744016</v>
      </c>
      <c r="FL59" s="5" t="e">
        <f t="shared" si="213"/>
        <v>#NUM!</v>
      </c>
      <c r="FM59" s="8" t="e">
        <f t="shared" si="214"/>
        <v>#NUM!</v>
      </c>
      <c r="FN59" s="9" t="e">
        <f t="shared" si="215"/>
        <v>#NUM!</v>
      </c>
      <c r="FO59" s="10" t="e">
        <f t="shared" si="498"/>
        <v>#NUM!</v>
      </c>
      <c r="FP59" s="277" t="e">
        <f t="shared" si="499"/>
        <v>#NUM!</v>
      </c>
      <c r="FQ59" s="173" t="e">
        <f t="shared" si="243"/>
        <v>#NUM!</v>
      </c>
      <c r="FR59" s="10" t="e">
        <f t="shared" si="216"/>
        <v>#NUM!</v>
      </c>
      <c r="FS59" s="9" t="e">
        <f t="shared" si="217"/>
        <v>#NUM!</v>
      </c>
      <c r="FT59" s="6" t="e">
        <f t="shared" si="218"/>
        <v>#NUM!</v>
      </c>
      <c r="FU59" s="4" t="e">
        <f t="shared" si="219"/>
        <v>#NUM!</v>
      </c>
      <c r="FV59" s="5" t="e">
        <f t="shared" si="220"/>
        <v>#NUM!</v>
      </c>
      <c r="FW59" s="8" t="e">
        <f t="shared" si="244"/>
        <v>#NUM!</v>
      </c>
      <c r="FX59" s="9" t="e">
        <f t="shared" si="245"/>
        <v>#NUM!</v>
      </c>
      <c r="FY59" s="10" t="e">
        <f t="shared" si="500"/>
        <v>#NUM!</v>
      </c>
      <c r="FZ59" s="277" t="e">
        <f t="shared" si="246"/>
        <v>#NUM!</v>
      </c>
      <c r="GA59" s="177" t="e">
        <f t="shared" si="221"/>
        <v>#NUM!</v>
      </c>
      <c r="GB59" s="4" t="e">
        <f t="shared" si="222"/>
        <v>#NUM!</v>
      </c>
      <c r="GC59" s="5" t="e">
        <f t="shared" si="223"/>
        <v>#NUM!</v>
      </c>
      <c r="GD59" s="10" t="e">
        <f t="shared" si="224"/>
        <v>#NUM!</v>
      </c>
      <c r="GE59" s="311" t="e">
        <f t="shared" si="225"/>
        <v>#NUM!</v>
      </c>
      <c r="GF59" s="341" t="e">
        <f t="shared" si="247"/>
        <v>#NUM!</v>
      </c>
      <c r="GG59" s="285" t="e">
        <f t="shared" si="501"/>
        <v>#NUM!</v>
      </c>
      <c r="GH59" s="286" t="e">
        <f t="shared" si="502"/>
        <v>#NUM!</v>
      </c>
      <c r="GI59" s="281" t="e">
        <f t="shared" si="503"/>
        <v>#NUM!</v>
      </c>
      <c r="GJ59" s="167">
        <f t="shared" si="226"/>
        <v>4.8963000000000001</v>
      </c>
      <c r="GK59" s="174">
        <f t="shared" si="504"/>
        <v>2.5637813323804886</v>
      </c>
      <c r="GL59" s="174">
        <f t="shared" si="227"/>
        <v>3.5999999999999999E-3</v>
      </c>
      <c r="GM59" s="177">
        <f t="shared" si="248"/>
        <v>0.1107553535588371</v>
      </c>
      <c r="GN59" s="280">
        <f t="shared" si="228"/>
        <v>1.2620836477421999E-2</v>
      </c>
      <c r="GO59" s="4" t="e">
        <f t="shared" si="229"/>
        <v>#NUM!</v>
      </c>
      <c r="GP59" s="8" t="e">
        <f t="shared" si="249"/>
        <v>#NUM!</v>
      </c>
      <c r="GQ59" s="177" t="e">
        <f t="shared" si="230"/>
        <v>#NUM!</v>
      </c>
      <c r="GR59" s="371" t="e">
        <f t="shared" si="250"/>
        <v>#NUM!</v>
      </c>
      <c r="GS59" s="342" t="e">
        <f t="shared" si="505"/>
        <v>#NUM!</v>
      </c>
      <c r="GT59" s="343" t="e">
        <f t="shared" si="506"/>
        <v>#NUM!</v>
      </c>
      <c r="GU59" s="344">
        <f t="shared" si="507"/>
        <v>272.27357749880787</v>
      </c>
      <c r="GV59" s="343">
        <f t="shared" si="252"/>
        <v>106.2</v>
      </c>
      <c r="GW59" s="345">
        <f t="shared" si="508"/>
        <v>29500</v>
      </c>
      <c r="GX59" s="346">
        <f t="shared" si="509"/>
        <v>43.332255000000004</v>
      </c>
      <c r="GY59" s="344" t="e">
        <f t="shared" si="510"/>
        <v>#NUM!</v>
      </c>
      <c r="GZ59" s="345" t="e">
        <f t="shared" si="511"/>
        <v>#NUM!</v>
      </c>
      <c r="HA59" s="342" t="e">
        <f t="shared" si="512"/>
        <v>#NUM!</v>
      </c>
      <c r="HB59" s="5" t="e">
        <f t="shared" si="231"/>
        <v>#NUM!</v>
      </c>
      <c r="HC59" s="343" t="e">
        <f t="shared" si="232"/>
        <v>#NUM!</v>
      </c>
      <c r="HD59" s="363" t="e">
        <f t="shared" si="233"/>
        <v>#NUM!</v>
      </c>
      <c r="HE59" s="344" t="e">
        <f t="shared" si="513"/>
        <v>#NUM!</v>
      </c>
      <c r="HF59" s="5" t="e">
        <f t="shared" si="514"/>
        <v>#NUM!</v>
      </c>
      <c r="HG59" s="343" t="e">
        <f t="shared" si="234"/>
        <v>#NUM!</v>
      </c>
      <c r="HH59" s="349" t="e">
        <f t="shared" si="235"/>
        <v>#NUM!</v>
      </c>
      <c r="HI59" s="317">
        <f t="shared" si="408"/>
        <v>3.1389999999999998</v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3.1389999999999998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1613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</v>
      </c>
      <c r="B60" s="578">
        <f t="shared" si="515"/>
        <v>2.8029803416524137</v>
      </c>
      <c r="C60" s="572">
        <f t="shared" si="516"/>
        <v>-2.5774537049267146</v>
      </c>
      <c r="D60" s="576">
        <f t="shared" si="517"/>
        <v>-0.15610936740211673</v>
      </c>
      <c r="E60" s="580">
        <f t="shared" si="518"/>
        <v>1.798451282135401E-2</v>
      </c>
      <c r="F60" s="572">
        <f t="shared" si="519"/>
        <v>-1.6537486372585172E-2</v>
      </c>
      <c r="G60" s="579">
        <f t="shared" si="520"/>
        <v>0.99970148986737795</v>
      </c>
      <c r="H60" s="580">
        <f t="shared" si="521"/>
        <v>0.255</v>
      </c>
      <c r="I60" s="572">
        <f t="shared" si="522"/>
        <v>0.41499999999999992</v>
      </c>
      <c r="J60" s="483">
        <f t="shared" si="523"/>
        <v>3.2149999999999999</v>
      </c>
      <c r="K60" s="806" t="str">
        <f t="shared" si="524"/>
        <v>CPS-32193r1</v>
      </c>
      <c r="L60" s="309"/>
      <c r="M60" s="164">
        <f t="shared" si="267"/>
        <v>3.2149999999999999</v>
      </c>
      <c r="N60" s="575">
        <f t="shared" si="268"/>
        <v>2.8029803416524137</v>
      </c>
      <c r="O60" s="572">
        <f t="shared" si="269"/>
        <v>-2.5774537049267146</v>
      </c>
      <c r="P60" s="576">
        <f t="shared" si="270"/>
        <v>-0.15610936740211673</v>
      </c>
      <c r="Q60" s="528">
        <f t="shared" si="140"/>
        <v>317.40020873244072</v>
      </c>
      <c r="R60" s="572">
        <f t="shared" si="101"/>
        <v>3.8078821406039247</v>
      </c>
      <c r="S60" s="577">
        <f t="shared" si="102"/>
        <v>-0.15610936740211673</v>
      </c>
      <c r="T60" s="578">
        <f t="shared" si="103"/>
        <v>-2.5774537819766001</v>
      </c>
      <c r="U60" s="572">
        <f t="shared" si="104"/>
        <v>-2.8029802708019278</v>
      </c>
      <c r="V60" s="579">
        <f t="shared" si="141"/>
        <v>-0.15610936740211673</v>
      </c>
      <c r="W60" s="528">
        <f t="shared" si="253"/>
        <v>227.40020715746238</v>
      </c>
      <c r="X60" s="572">
        <f t="shared" si="105"/>
        <v>3.8078821406039247</v>
      </c>
      <c r="Y60" s="573">
        <f t="shared" si="255"/>
        <v>-0.15610936740211673</v>
      </c>
      <c r="Z60" s="575">
        <f t="shared" si="271"/>
        <v>-1.798451282135401E-2</v>
      </c>
      <c r="AA60" s="572">
        <f t="shared" si="272"/>
        <v>1.6537486372585172E-2</v>
      </c>
      <c r="AB60" s="572">
        <f t="shared" si="273"/>
        <v>-0.99970148986737795</v>
      </c>
      <c r="AC60" s="579">
        <f t="shared" si="106"/>
        <v>1</v>
      </c>
      <c r="AD60" s="580">
        <f t="shared" si="142"/>
        <v>-1.798451282135401E-2</v>
      </c>
      <c r="AE60" s="572">
        <f t="shared" si="107"/>
        <v>1.6537486372585172E-2</v>
      </c>
      <c r="AF60" s="576">
        <f t="shared" si="108"/>
        <v>-0.99970148986737795</v>
      </c>
      <c r="AG60" s="545">
        <f t="shared" si="109"/>
        <v>0.94772466157490076</v>
      </c>
      <c r="AH60" s="546">
        <f t="shared" si="110"/>
        <v>91.030492237219647</v>
      </c>
      <c r="AI60" s="528">
        <f t="shared" si="111"/>
        <v>-1.3999997978649763</v>
      </c>
      <c r="AJ60" s="529">
        <f t="shared" si="112"/>
        <v>-132.59979126755931</v>
      </c>
      <c r="AK60" s="578">
        <f t="shared" si="238"/>
        <v>-1.0408340855860843E-17</v>
      </c>
      <c r="AL60" s="572">
        <f t="shared" si="113"/>
        <v>-2.4432174625785709E-2</v>
      </c>
      <c r="AM60" s="577">
        <f t="shared" si="114"/>
        <v>-0.99970148986737795</v>
      </c>
      <c r="AN60" s="524">
        <f t="shared" si="115"/>
        <v>-1.3999997978650411</v>
      </c>
      <c r="AO60" s="525">
        <f t="shared" si="525"/>
        <v>0</v>
      </c>
      <c r="AP60" s="528">
        <f t="shared" si="117"/>
        <v>-90.000000000000028</v>
      </c>
      <c r="AQ60" s="529">
        <f t="shared" si="274"/>
        <v>0.59866445032014937</v>
      </c>
      <c r="AS60" s="932">
        <f t="shared" si="461"/>
        <v>-132.59979284253762</v>
      </c>
      <c r="AT60" s="928">
        <f t="shared" si="275"/>
        <v>-6.4026167426239969E-2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>Nose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3.2149999999999999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3.1150000000000002</v>
      </c>
      <c r="IK60" s="677" cm="1">
        <f t="array" ref="IK60">IFERROR(ROUND(VALUE(IF($IJ60&lt;1,$IJ60+LARGE((IF($M$9:$M$150="",0,$M$9:$M$150)-MOD(IF($M$9:$M$150="",0,$M$9:$M$150),1)),1),$IJ60)),4),"")</f>
        <v>3.1150000000000002</v>
      </c>
      <c r="IL60" s="482">
        <f t="shared" si="426"/>
        <v>1613</v>
      </c>
      <c r="IM60" s="482" t="str">
        <f t="shared" si="237"/>
        <v>CPS-32193r1</v>
      </c>
      <c r="IN60" s="670">
        <f t="shared" si="427"/>
        <v>17.593255894879519</v>
      </c>
      <c r="IO60" s="702">
        <v>4.44692442351435E-2</v>
      </c>
      <c r="IP60" s="5">
        <f t="shared" si="428"/>
        <v>0.9</v>
      </c>
      <c r="IQ60" s="714">
        <v>450</v>
      </c>
      <c r="IR60" s="9">
        <f t="shared" si="429"/>
        <v>-3.8047114750098086</v>
      </c>
      <c r="IS60" s="5">
        <f t="shared" si="430"/>
        <v>-0.1574504748706323</v>
      </c>
      <c r="IT60" s="5">
        <f t="shared" si="431"/>
        <v>0.3125</v>
      </c>
      <c r="IU60" s="5">
        <f t="shared" si="432"/>
        <v>0.30156765766093097</v>
      </c>
      <c r="IV60" s="670">
        <f t="shared" si="433"/>
        <v>11.199998382920322</v>
      </c>
      <c r="IW60" s="9">
        <f t="shared" si="434"/>
        <v>-3.8078821406039247</v>
      </c>
      <c r="IX60" s="5">
        <f t="shared" si="435"/>
        <v>-0.15610936740211673</v>
      </c>
      <c r="IY60" s="5">
        <f t="shared" si="436"/>
        <v>0.255</v>
      </c>
      <c r="IZ60" s="5">
        <f t="shared" si="437"/>
        <v>0.255</v>
      </c>
      <c r="JA60" s="705">
        <f t="shared" si="438"/>
        <v>1.3999997978650411</v>
      </c>
    </row>
    <row r="61" spans="1:261" ht="15" customHeight="1" x14ac:dyDescent="0.25">
      <c r="A61" s="75">
        <f t="shared" si="256"/>
        <v>0</v>
      </c>
      <c r="B61" s="578">
        <f t="shared" si="515"/>
        <v>3.4974065577231381</v>
      </c>
      <c r="C61" s="572">
        <f t="shared" si="516"/>
        <v>-2.9267357790183746</v>
      </c>
      <c r="D61" s="576">
        <f t="shared" si="517"/>
        <v>-0.26263274071443854</v>
      </c>
      <c r="E61" s="580">
        <f t="shared" si="518"/>
        <v>0.19900558957409814</v>
      </c>
      <c r="F61" s="572">
        <f t="shared" si="519"/>
        <v>-0.16653390723048619</v>
      </c>
      <c r="G61" s="579">
        <f t="shared" si="520"/>
        <v>0.96574491096811554</v>
      </c>
      <c r="H61" s="580">
        <f t="shared" si="521"/>
        <v>0.255</v>
      </c>
      <c r="I61" s="572">
        <f t="shared" si="522"/>
        <v>0.41499999999999992</v>
      </c>
      <c r="J61" s="483">
        <f t="shared" si="523"/>
        <v>3.218</v>
      </c>
      <c r="K61" s="806" t="str">
        <f t="shared" si="524"/>
        <v>CPS-32193r1</v>
      </c>
      <c r="L61" s="309"/>
      <c r="M61" s="164">
        <f t="shared" si="267"/>
        <v>3.218</v>
      </c>
      <c r="N61" s="575">
        <f t="shared" si="268"/>
        <v>3.4974065577231381</v>
      </c>
      <c r="O61" s="572">
        <f t="shared" si="269"/>
        <v>-2.9267357790183746</v>
      </c>
      <c r="P61" s="576">
        <f t="shared" si="270"/>
        <v>-0.26263274071443854</v>
      </c>
      <c r="Q61" s="528">
        <f t="shared" si="140"/>
        <v>320.07638599613819</v>
      </c>
      <c r="R61" s="572">
        <f t="shared" si="101"/>
        <v>4.5604424072880363</v>
      </c>
      <c r="S61" s="577">
        <f t="shared" si="102"/>
        <v>-0.26263274071443854</v>
      </c>
      <c r="T61" s="578">
        <f t="shared" si="103"/>
        <v>-2.9267358751570365</v>
      </c>
      <c r="U61" s="572">
        <f t="shared" si="104"/>
        <v>-3.4974064772713902</v>
      </c>
      <c r="V61" s="579">
        <f t="shared" si="141"/>
        <v>-0.26263274071443854</v>
      </c>
      <c r="W61" s="528">
        <f t="shared" si="253"/>
        <v>230.07638442115984</v>
      </c>
      <c r="X61" s="572">
        <f t="shared" si="105"/>
        <v>4.5604424072880363</v>
      </c>
      <c r="Y61" s="573">
        <f t="shared" si="255"/>
        <v>-0.26263274071443854</v>
      </c>
      <c r="Z61" s="575">
        <f t="shared" si="271"/>
        <v>-0.19900558957409814</v>
      </c>
      <c r="AA61" s="572">
        <f t="shared" si="272"/>
        <v>0.16653390723048619</v>
      </c>
      <c r="AB61" s="572">
        <f t="shared" si="273"/>
        <v>-0.96574491096811554</v>
      </c>
      <c r="AC61" s="579">
        <f t="shared" si="106"/>
        <v>1</v>
      </c>
      <c r="AD61" s="580">
        <f t="shared" si="142"/>
        <v>-0.19900558957409814</v>
      </c>
      <c r="AE61" s="572">
        <f t="shared" si="107"/>
        <v>0.16653390723048619</v>
      </c>
      <c r="AF61" s="576">
        <f t="shared" si="108"/>
        <v>-0.96574491096811554</v>
      </c>
      <c r="AG61" s="545">
        <f t="shared" si="109"/>
        <v>9.7839144710477033</v>
      </c>
      <c r="AH61" s="546">
        <f t="shared" si="110"/>
        <v>101.4788146479505</v>
      </c>
      <c r="AI61" s="528">
        <f t="shared" si="111"/>
        <v>-15.039997828492975</v>
      </c>
      <c r="AJ61" s="529">
        <f t="shared" si="112"/>
        <v>-129.92361400386181</v>
      </c>
      <c r="AK61" s="578">
        <f t="shared" si="238"/>
        <v>-2.7755575615628914E-17</v>
      </c>
      <c r="AL61" s="572">
        <f t="shared" si="113"/>
        <v>-0.25949328881338452</v>
      </c>
      <c r="AM61" s="577">
        <f t="shared" si="114"/>
        <v>-0.96574491096811554</v>
      </c>
      <c r="AN61" s="524">
        <f t="shared" si="115"/>
        <v>-15.039997828492986</v>
      </c>
      <c r="AO61" s="525">
        <f t="shared" si="525"/>
        <v>0</v>
      </c>
      <c r="AP61" s="528">
        <f t="shared" si="117"/>
        <v>-90</v>
      </c>
      <c r="AQ61" s="529">
        <f t="shared" si="274"/>
        <v>0.49987886826109884</v>
      </c>
      <c r="AS61" s="932">
        <f t="shared" si="461"/>
        <v>-129.92361557884016</v>
      </c>
      <c r="AT61" s="928">
        <f t="shared" si="275"/>
        <v>-0.17240799717168503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>Nose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3.218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3.1179999999999999</v>
      </c>
      <c r="IK61" s="677" cm="1">
        <f t="array" ref="IK61">IFERROR(ROUND(VALUE(IF($IJ61&lt;1,$IJ61+LARGE((IF($M$9:$M$150="",0,$M$9:$M$150)-MOD(IF($M$9:$M$150="",0,$M$9:$M$150),1)),1),$IJ61)),4),"")</f>
        <v>3.1179999999999999</v>
      </c>
      <c r="IL61" s="482">
        <f t="shared" si="426"/>
        <v>1613</v>
      </c>
      <c r="IM61" s="482" t="str">
        <f t="shared" si="237"/>
        <v>CPS-32193r1</v>
      </c>
      <c r="IN61" s="670">
        <f t="shared" si="427"/>
        <v>14.625678673254981</v>
      </c>
      <c r="IO61" s="702">
        <v>4.16432814860642E-2</v>
      </c>
      <c r="IP61" s="5">
        <f t="shared" si="428"/>
        <v>1.06</v>
      </c>
      <c r="IQ61" s="714">
        <v>530</v>
      </c>
      <c r="IR61" s="9">
        <f t="shared" si="429"/>
        <v>-4.5544137361118278</v>
      </c>
      <c r="IS61" s="5">
        <f t="shared" si="430"/>
        <v>-0.26415079667880281</v>
      </c>
      <c r="IT61" s="5">
        <f t="shared" si="431"/>
        <v>0.3125</v>
      </c>
      <c r="IU61" s="5">
        <f t="shared" si="432"/>
        <v>0.30084117410383537</v>
      </c>
      <c r="IV61" s="670">
        <f t="shared" si="433"/>
        <v>22.999996679211449</v>
      </c>
      <c r="IW61" s="9">
        <f t="shared" si="434"/>
        <v>-4.5604424072880363</v>
      </c>
      <c r="IX61" s="5">
        <f t="shared" si="435"/>
        <v>-0.26263274071443854</v>
      </c>
      <c r="IY61" s="5">
        <f t="shared" si="436"/>
        <v>0.255</v>
      </c>
      <c r="IZ61" s="5">
        <f t="shared" si="437"/>
        <v>0.255</v>
      </c>
      <c r="JA61" s="705">
        <f t="shared" si="438"/>
        <v>15.039997828492986</v>
      </c>
    </row>
    <row r="62" spans="1:261" ht="15" customHeight="1" x14ac:dyDescent="0.25">
      <c r="A62" s="75">
        <f t="shared" si="256"/>
        <v>0</v>
      </c>
      <c r="B62" s="578">
        <f t="shared" si="515"/>
        <v>4.1240959261750918</v>
      </c>
      <c r="C62" s="572">
        <f t="shared" si="516"/>
        <v>-3.2779089946129187</v>
      </c>
      <c r="D62" s="576">
        <f t="shared" si="517"/>
        <v>-0.54814999848436341</v>
      </c>
      <c r="E62" s="580">
        <f t="shared" si="518"/>
        <v>0.37641906822512888</v>
      </c>
      <c r="F62" s="572">
        <f t="shared" si="519"/>
        <v>-0.29918495388232097</v>
      </c>
      <c r="G62" s="579">
        <f t="shared" si="520"/>
        <v>0.87681072555424378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3.2210000000000001</v>
      </c>
      <c r="K62" s="806" t="str">
        <f t="shared" si="524"/>
        <v>CPS-32193r1</v>
      </c>
      <c r="L62" s="309"/>
      <c r="M62" s="164">
        <f t="shared" si="267"/>
        <v>3.2210000000000001</v>
      </c>
      <c r="N62" s="575">
        <f t="shared" si="268"/>
        <v>4.1240959261750918</v>
      </c>
      <c r="O62" s="572">
        <f t="shared" si="269"/>
        <v>-3.2779089946129187</v>
      </c>
      <c r="P62" s="576">
        <f t="shared" si="270"/>
        <v>-0.54814999848436341</v>
      </c>
      <c r="Q62" s="528">
        <f t="shared" si="140"/>
        <v>321.52166236616694</v>
      </c>
      <c r="R62" s="572">
        <f t="shared" si="101"/>
        <v>5.2680978147010773</v>
      </c>
      <c r="S62" s="577">
        <f t="shared" si="102"/>
        <v>-0.54814999848436341</v>
      </c>
      <c r="T62" s="578">
        <f t="shared" si="103"/>
        <v>-3.2779091079783691</v>
      </c>
      <c r="U62" s="572">
        <f t="shared" si="104"/>
        <v>-4.1240958360700972</v>
      </c>
      <c r="V62" s="579">
        <f t="shared" si="141"/>
        <v>-0.54814999848436341</v>
      </c>
      <c r="W62" s="528">
        <f t="shared" si="253"/>
        <v>231.52166079118859</v>
      </c>
      <c r="X62" s="572">
        <f t="shared" si="105"/>
        <v>5.2680978147010773</v>
      </c>
      <c r="Y62" s="573">
        <f t="shared" si="255"/>
        <v>-0.54814999848436341</v>
      </c>
      <c r="Z62" s="575">
        <f t="shared" si="271"/>
        <v>-0.37641906822512888</v>
      </c>
      <c r="AA62" s="572">
        <f t="shared" si="272"/>
        <v>0.29918495388232097</v>
      </c>
      <c r="AB62" s="572">
        <f t="shared" si="273"/>
        <v>-0.87681072555424378</v>
      </c>
      <c r="AC62" s="579">
        <f t="shared" si="106"/>
        <v>1</v>
      </c>
      <c r="AD62" s="580">
        <f t="shared" si="142"/>
        <v>-0.37641906822512888</v>
      </c>
      <c r="AE62" s="572">
        <f t="shared" si="107"/>
        <v>0.29918495388232097</v>
      </c>
      <c r="AF62" s="576">
        <f t="shared" si="108"/>
        <v>-0.87681072555424378</v>
      </c>
      <c r="AG62" s="545">
        <f t="shared" si="109"/>
        <v>18.840644014969204</v>
      </c>
      <c r="AH62" s="546">
        <f t="shared" si="110"/>
        <v>112.11204710296954</v>
      </c>
      <c r="AI62" s="528">
        <f t="shared" si="111"/>
        <v>-28.739995850457994</v>
      </c>
      <c r="AJ62" s="529">
        <f t="shared" si="112"/>
        <v>-128.47833763383304</v>
      </c>
      <c r="AK62" s="578">
        <f t="shared" si="238"/>
        <v>3.6082248300317588E-16</v>
      </c>
      <c r="AL62" s="572">
        <f t="shared" si="113"/>
        <v>-0.48083568040760116</v>
      </c>
      <c r="AM62" s="577">
        <f t="shared" si="114"/>
        <v>-0.87681072555424378</v>
      </c>
      <c r="AN62" s="524">
        <f t="shared" si="115"/>
        <v>-28.739995850458001</v>
      </c>
      <c r="AO62" s="525">
        <f t="shared" si="525"/>
        <v>0</v>
      </c>
      <c r="AP62" s="528">
        <f t="shared" si="117"/>
        <v>-89.999999999999957</v>
      </c>
      <c r="AQ62" s="529">
        <f t="shared" si="274"/>
        <v>0.43273366689740073</v>
      </c>
      <c r="AS62" s="932">
        <f t="shared" si="461"/>
        <v>-128.47833920881141</v>
      </c>
      <c r="AT62" s="928">
        <f t="shared" si="275"/>
        <v>-0.45892891908746319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Nose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3.2210000000000001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3.121</v>
      </c>
      <c r="IK62" s="677" cm="1">
        <f t="array" ref="IK62">IFERROR(ROUND(VALUE(IF($IJ62&lt;1,$IJ62+LARGE((IF($M$9:$M$150="",0,$M$9:$M$150)-MOD(IF($M$9:$M$150="",0,$M$9:$M$150),1)),1),$IJ62)),4),"")</f>
        <v>3.121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12.628402382925174</v>
      </c>
      <c r="IO62" s="702">
        <v>3.9710998201935299E-2</v>
      </c>
      <c r="IP62" s="5">
        <f t="shared" si="428"/>
        <v>1.28</v>
      </c>
      <c r="IQ62" s="714">
        <v>640</v>
      </c>
      <c r="IR62" s="9">
        <f t="shared" si="429"/>
        <v>-5.2601158645094488</v>
      </c>
      <c r="IS62" s="5">
        <f t="shared" si="430"/>
        <v>-0.54765165171738117</v>
      </c>
      <c r="IT62" s="5">
        <f t="shared" si="431"/>
        <v>0.3125</v>
      </c>
      <c r="IU62" s="5">
        <f t="shared" si="432"/>
        <v>0.29963117083665142</v>
      </c>
      <c r="IV62" s="670">
        <f t="shared" si="433"/>
        <v>34.899994961064216</v>
      </c>
      <c r="IW62" s="9">
        <f t="shared" si="434"/>
        <v>-5.2680978147010773</v>
      </c>
      <c r="IX62" s="5">
        <f t="shared" si="435"/>
        <v>-0.54814999848436341</v>
      </c>
      <c r="IY62" s="5">
        <f t="shared" si="436"/>
        <v>0.255</v>
      </c>
      <c r="IZ62" s="5">
        <f t="shared" si="437"/>
        <v>0.255</v>
      </c>
      <c r="JA62" s="705">
        <f t="shared" si="438"/>
        <v>28.739995850458001</v>
      </c>
    </row>
    <row r="63" spans="1:261" ht="15" customHeight="1" x14ac:dyDescent="0.25">
      <c r="A63" s="75">
        <f t="shared" si="256"/>
        <v>0</v>
      </c>
      <c r="B63" s="578">
        <f t="shared" si="515"/>
        <v>4.6531995476221999</v>
      </c>
      <c r="C63" s="572">
        <f t="shared" si="516"/>
        <v>-3.604206847377788</v>
      </c>
      <c r="D63" s="576">
        <f t="shared" si="517"/>
        <v>-0.98959527573808492</v>
      </c>
      <c r="E63" s="580">
        <f t="shared" si="518"/>
        <v>0.53268317509011798</v>
      </c>
      <c r="F63" s="572">
        <f t="shared" si="519"/>
        <v>-0.41259789688663118</v>
      </c>
      <c r="G63" s="579">
        <f t="shared" si="520"/>
        <v>0.73892598442647806</v>
      </c>
      <c r="H63" s="580">
        <f t="shared" si="521"/>
        <v>0.255</v>
      </c>
      <c r="I63" s="572">
        <f t="shared" si="522"/>
        <v>0.41499999999999992</v>
      </c>
      <c r="J63" s="483">
        <f t="shared" si="523"/>
        <v>3.2240000000000002</v>
      </c>
      <c r="K63" s="806" t="str">
        <f t="shared" si="524"/>
        <v>CPS-32193r1</v>
      </c>
      <c r="L63" s="309"/>
      <c r="M63" s="164">
        <f t="shared" si="267"/>
        <v>3.2240000000000002</v>
      </c>
      <c r="N63" s="575">
        <f t="shared" si="268"/>
        <v>4.6531995476221999</v>
      </c>
      <c r="O63" s="572">
        <f t="shared" si="269"/>
        <v>-3.604206847377788</v>
      </c>
      <c r="P63" s="576">
        <f t="shared" si="270"/>
        <v>-0.98959527573808492</v>
      </c>
      <c r="Q63" s="528">
        <f t="shared" si="140"/>
        <v>322.23987987064635</v>
      </c>
      <c r="R63" s="572">
        <f t="shared" si="101"/>
        <v>5.8857941714501347</v>
      </c>
      <c r="S63" s="577">
        <f t="shared" si="102"/>
        <v>-0.98959527573808492</v>
      </c>
      <c r="T63" s="578">
        <f t="shared" si="103"/>
        <v>-3.6042069752875312</v>
      </c>
      <c r="U63" s="572">
        <f t="shared" si="104"/>
        <v>-4.6531994485477499</v>
      </c>
      <c r="V63" s="579">
        <f t="shared" si="141"/>
        <v>-0.98959527573808492</v>
      </c>
      <c r="W63" s="528">
        <f t="shared" si="253"/>
        <v>232.23987829566801</v>
      </c>
      <c r="X63" s="572">
        <f t="shared" si="105"/>
        <v>5.8857941714501347</v>
      </c>
      <c r="Y63" s="573">
        <f t="shared" si="255"/>
        <v>-0.98959527573808492</v>
      </c>
      <c r="Z63" s="575">
        <f t="shared" si="271"/>
        <v>-0.53268317509011798</v>
      </c>
      <c r="AA63" s="572">
        <f t="shared" si="272"/>
        <v>0.41259789688663118</v>
      </c>
      <c r="AB63" s="572">
        <f t="shared" si="273"/>
        <v>-0.73892598442647806</v>
      </c>
      <c r="AC63" s="579">
        <f t="shared" si="106"/>
        <v>1</v>
      </c>
      <c r="AD63" s="580">
        <f t="shared" si="142"/>
        <v>-0.53268317509011798</v>
      </c>
      <c r="AE63" s="572">
        <f t="shared" si="107"/>
        <v>0.41259789688663118</v>
      </c>
      <c r="AF63" s="576">
        <f t="shared" si="108"/>
        <v>-0.73892598442647806</v>
      </c>
      <c r="AG63" s="545">
        <f t="shared" si="109"/>
        <v>29.177904939217619</v>
      </c>
      <c r="AH63" s="546">
        <f t="shared" si="110"/>
        <v>122.18692606263529</v>
      </c>
      <c r="AI63" s="528">
        <f t="shared" si="111"/>
        <v>-42.359993883973587</v>
      </c>
      <c r="AJ63" s="529">
        <f t="shared" si="112"/>
        <v>-127.76012012935362</v>
      </c>
      <c r="AK63" s="578">
        <f t="shared" si="238"/>
        <v>0</v>
      </c>
      <c r="AL63" s="572">
        <f t="shared" si="113"/>
        <v>-0.67378660534278989</v>
      </c>
      <c r="AM63" s="577">
        <f t="shared" si="114"/>
        <v>-0.73892598442647806</v>
      </c>
      <c r="AN63" s="524">
        <f t="shared" si="115"/>
        <v>-42.359993883973594</v>
      </c>
      <c r="AO63" s="525">
        <f t="shared" si="525"/>
        <v>0</v>
      </c>
      <c r="AP63" s="528">
        <f t="shared" si="117"/>
        <v>-90</v>
      </c>
      <c r="AQ63" s="529">
        <f t="shared" si="274"/>
        <v>0.38732103759449743</v>
      </c>
      <c r="AS63" s="932">
        <f t="shared" si="461"/>
        <v>-127.76012170433199</v>
      </c>
      <c r="AT63" s="928">
        <f t="shared" si="275"/>
        <v>-0.90087295849707316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3.2240000000000002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3.1240000000000001</v>
      </c>
      <c r="IK63" s="677" cm="1">
        <f t="array" ref="IK63">IFERROR(ROUND(VALUE(IF($IJ63&lt;1,$IJ63+LARGE((IF($M$9:$M$150="",0,$M$9:$M$150)-MOD(IF($M$9:$M$150="",0,$M$9:$M$150),1)),1),$IJ63)),4),"")</f>
        <v>3.1240000000000001</v>
      </c>
      <c r="IL63" s="482">
        <f t="shared" si="426"/>
        <v>1613</v>
      </c>
      <c r="IM63" s="482" t="str">
        <f t="shared" si="237"/>
        <v>CPS-32193r1</v>
      </c>
      <c r="IN63" s="670">
        <f t="shared" si="427"/>
        <v>11.28258496905994</v>
      </c>
      <c r="IO63" s="702">
        <v>3.82704917522841E-2</v>
      </c>
      <c r="IP63" s="5">
        <f t="shared" si="428"/>
        <v>1.54</v>
      </c>
      <c r="IQ63" s="714">
        <v>770</v>
      </c>
      <c r="IR63" s="9">
        <f t="shared" si="429"/>
        <v>-5.8779177277998667</v>
      </c>
      <c r="IS63" s="5">
        <f t="shared" si="430"/>
        <v>-0.98515297122136114</v>
      </c>
      <c r="IT63" s="5">
        <f t="shared" si="431"/>
        <v>0.3125</v>
      </c>
      <c r="IU63" s="5">
        <f t="shared" si="432"/>
        <v>0.29703617056188669</v>
      </c>
      <c r="IV63" s="670">
        <f t="shared" si="433"/>
        <v>46.699993257355175</v>
      </c>
      <c r="IW63" s="9">
        <f t="shared" si="434"/>
        <v>-5.8857941714501347</v>
      </c>
      <c r="IX63" s="5">
        <f t="shared" si="435"/>
        <v>-0.98959527573808492</v>
      </c>
      <c r="IY63" s="5">
        <f t="shared" si="436"/>
        <v>0.255</v>
      </c>
      <c r="IZ63" s="5">
        <f t="shared" si="437"/>
        <v>0.255</v>
      </c>
      <c r="JA63" s="705">
        <f t="shared" si="438"/>
        <v>42.359993883973594</v>
      </c>
    </row>
    <row r="64" spans="1:261" ht="15" customHeight="1" x14ac:dyDescent="0.25">
      <c r="A64" s="75">
        <f t="shared" si="256"/>
        <v>0</v>
      </c>
      <c r="B64" s="578">
        <f t="shared" si="515"/>
        <v>5.0669078272088486</v>
      </c>
      <c r="C64" s="572">
        <f t="shared" si="516"/>
        <v>-3.8801574188560575</v>
      </c>
      <c r="D64" s="576">
        <f t="shared" si="517"/>
        <v>-1.5644722942962588</v>
      </c>
      <c r="E64" s="580">
        <f t="shared" si="518"/>
        <v>0.65813232918942288</v>
      </c>
      <c r="F64" s="572">
        <f t="shared" si="519"/>
        <v>-0.50398726931254667</v>
      </c>
      <c r="G64" s="579">
        <f t="shared" si="520"/>
        <v>0.55933770626213619</v>
      </c>
      <c r="H64" s="580">
        <f t="shared" si="521"/>
        <v>0.255</v>
      </c>
      <c r="I64" s="572">
        <f t="shared" si="522"/>
        <v>0.41499999999999992</v>
      </c>
      <c r="J64" s="483">
        <f t="shared" si="523"/>
        <v>3.2269999999999999</v>
      </c>
      <c r="K64" s="806" t="str">
        <f t="shared" si="524"/>
        <v>CPS-32193r1</v>
      </c>
      <c r="L64" s="309"/>
      <c r="M64" s="164">
        <f t="shared" si="267"/>
        <v>3.2269999999999999</v>
      </c>
      <c r="N64" s="575">
        <f t="shared" si="268"/>
        <v>5.0669078272088486</v>
      </c>
      <c r="O64" s="572">
        <f t="shared" si="269"/>
        <v>-3.8801574188560575</v>
      </c>
      <c r="P64" s="576">
        <f t="shared" si="270"/>
        <v>-1.5644722942962588</v>
      </c>
      <c r="Q64" s="528">
        <f t="shared" si="140"/>
        <v>322.55568210996205</v>
      </c>
      <c r="R64" s="572">
        <f t="shared" si="101"/>
        <v>6.3819414385070941</v>
      </c>
      <c r="S64" s="577">
        <f t="shared" si="102"/>
        <v>-1.5644722942962588</v>
      </c>
      <c r="T64" s="578">
        <f t="shared" si="103"/>
        <v>-3.8801575581380447</v>
      </c>
      <c r="U64" s="572">
        <f t="shared" si="104"/>
        <v>-5.0669077205489144</v>
      </c>
      <c r="V64" s="579">
        <f t="shared" si="141"/>
        <v>-1.5644722942962588</v>
      </c>
      <c r="W64" s="528">
        <f t="shared" si="253"/>
        <v>232.55568053498371</v>
      </c>
      <c r="X64" s="572">
        <f t="shared" si="105"/>
        <v>6.3819414385070941</v>
      </c>
      <c r="Y64" s="573">
        <f t="shared" si="255"/>
        <v>-1.5644722942962588</v>
      </c>
      <c r="Z64" s="575">
        <f t="shared" si="271"/>
        <v>-0.65813232918942288</v>
      </c>
      <c r="AA64" s="572">
        <f t="shared" si="272"/>
        <v>0.50398726931254667</v>
      </c>
      <c r="AB64" s="572">
        <f t="shared" si="273"/>
        <v>-0.55933770626213619</v>
      </c>
      <c r="AC64" s="579">
        <f t="shared" si="106"/>
        <v>1</v>
      </c>
      <c r="AD64" s="580">
        <f t="shared" si="142"/>
        <v>-0.65813232918942288</v>
      </c>
      <c r="AE64" s="572">
        <f t="shared" si="107"/>
        <v>0.50398726931254667</v>
      </c>
      <c r="AF64" s="576">
        <f t="shared" si="108"/>
        <v>-0.55933770626213619</v>
      </c>
      <c r="AG64" s="545">
        <f t="shared" si="109"/>
        <v>42.020208534835618</v>
      </c>
      <c r="AH64" s="546">
        <f t="shared" si="110"/>
        <v>131.1575886733448</v>
      </c>
      <c r="AI64" s="528">
        <f t="shared" si="111"/>
        <v>-55.989991916045369</v>
      </c>
      <c r="AJ64" s="529">
        <f t="shared" si="112"/>
        <v>-127.44431789003795</v>
      </c>
      <c r="AK64" s="578">
        <f t="shared" si="238"/>
        <v>-2.2204460492503131E-16</v>
      </c>
      <c r="AL64" s="572">
        <f t="shared" si="113"/>
        <v>-0.8289398834375219</v>
      </c>
      <c r="AM64" s="577">
        <f t="shared" si="114"/>
        <v>-0.55933770626213619</v>
      </c>
      <c r="AN64" s="524">
        <f t="shared" si="115"/>
        <v>-55.989991916045376</v>
      </c>
      <c r="AO64" s="525">
        <f t="shared" si="525"/>
        <v>0</v>
      </c>
      <c r="AP64" s="528">
        <f t="shared" si="117"/>
        <v>-90.000000000000014</v>
      </c>
      <c r="AQ64" s="529">
        <f t="shared" si="274"/>
        <v>0.35721059444712822</v>
      </c>
      <c r="AS64" s="932">
        <f t="shared" si="461"/>
        <v>-127.44431946501629</v>
      </c>
      <c r="AT64" s="928">
        <f t="shared" si="275"/>
        <v>-1.4759692841658829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3.2269999999999999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3.1269999999999998</v>
      </c>
      <c r="IK64" s="677" cm="1">
        <f t="array" ref="IK64">IFERROR(ROUND(VALUE(IF($IJ64&lt;1,$IJ64+LARGE((IF($M$9:$M$150="",0,$M$9:$M$150)-MOD(IF($M$9:$M$150="",0,$M$9:$M$150),1)),1),$IJ64)),4),"")</f>
        <v>3.1269999999999998</v>
      </c>
      <c r="IL64" s="482">
        <f t="shared" si="426"/>
        <v>1613</v>
      </c>
      <c r="IM64" s="482" t="str">
        <f t="shared" si="237"/>
        <v>CPS-32193r1</v>
      </c>
      <c r="IN64" s="670">
        <f t="shared" si="427"/>
        <v>10.385682813644678</v>
      </c>
      <c r="IO64" s="702">
        <v>3.7421610185826799E-2</v>
      </c>
      <c r="IP64" s="5">
        <f t="shared" si="428"/>
        <v>1.88</v>
      </c>
      <c r="IQ64" s="714">
        <v>940</v>
      </c>
      <c r="IR64" s="9">
        <f t="shared" si="429"/>
        <v>-6.3792192397252263</v>
      </c>
      <c r="IS64" s="5">
        <f t="shared" si="430"/>
        <v>-1.5540546870289362</v>
      </c>
      <c r="IT64" s="5">
        <f t="shared" si="431"/>
        <v>0.3125</v>
      </c>
      <c r="IU64" s="5">
        <f t="shared" si="432"/>
        <v>0.29055515810173593</v>
      </c>
      <c r="IV64" s="670">
        <f t="shared" si="433"/>
        <v>58.499991553646254</v>
      </c>
      <c r="IW64" s="9">
        <f t="shared" si="434"/>
        <v>-6.3819414385070941</v>
      </c>
      <c r="IX64" s="5">
        <f t="shared" si="435"/>
        <v>-1.5644722942962588</v>
      </c>
      <c r="IY64" s="5">
        <f t="shared" si="436"/>
        <v>0.255</v>
      </c>
      <c r="IZ64" s="5">
        <f t="shared" si="437"/>
        <v>0.255</v>
      </c>
      <c r="JA64" s="705">
        <f t="shared" si="438"/>
        <v>55.989991916045376</v>
      </c>
    </row>
    <row r="65" spans="1:261" ht="15" customHeight="1" x14ac:dyDescent="0.25">
      <c r="A65" s="75">
        <f t="shared" si="256"/>
        <v>0</v>
      </c>
      <c r="B65" s="578">
        <f t="shared" si="515"/>
        <v>5.3475857204430479</v>
      </c>
      <c r="C65" s="572">
        <f t="shared" si="516"/>
        <v>-4.0788342437488296</v>
      </c>
      <c r="D65" s="576">
        <f t="shared" si="517"/>
        <v>-2.2346098769118155</v>
      </c>
      <c r="E65" s="580">
        <f t="shared" si="518"/>
        <v>0.74470901534130995</v>
      </c>
      <c r="F65" s="572">
        <f t="shared" si="519"/>
        <v>-0.56802168159558675</v>
      </c>
      <c r="G65" s="579">
        <f t="shared" si="520"/>
        <v>0.35037102007257764</v>
      </c>
      <c r="H65" s="580">
        <f t="shared" si="521"/>
        <v>0.255</v>
      </c>
      <c r="I65" s="572">
        <f t="shared" si="522"/>
        <v>0.41499999999999992</v>
      </c>
      <c r="J65" s="483">
        <f t="shared" si="523"/>
        <v>3.23</v>
      </c>
      <c r="K65" s="806" t="str">
        <f t="shared" si="524"/>
        <v>CPS-32193r1</v>
      </c>
      <c r="L65" s="309"/>
      <c r="M65" s="164">
        <f t="shared" si="267"/>
        <v>3.23</v>
      </c>
      <c r="N65" s="575">
        <f t="shared" si="268"/>
        <v>5.3475857204430479</v>
      </c>
      <c r="O65" s="572">
        <f t="shared" si="269"/>
        <v>-4.0788342437488296</v>
      </c>
      <c r="P65" s="576">
        <f t="shared" si="270"/>
        <v>-2.2346098769118155</v>
      </c>
      <c r="Q65" s="528">
        <f t="shared" si="140"/>
        <v>322.66567190978645</v>
      </c>
      <c r="R65" s="572">
        <f t="shared" si="101"/>
        <v>6.725590072660129</v>
      </c>
      <c r="S65" s="577">
        <f t="shared" si="102"/>
        <v>-2.2346098769118155</v>
      </c>
      <c r="T65" s="578">
        <f t="shared" si="103"/>
        <v>-4.078834390746251</v>
      </c>
      <c r="U65" s="572">
        <f t="shared" si="104"/>
        <v>-5.347585608321773</v>
      </c>
      <c r="V65" s="579">
        <f t="shared" si="141"/>
        <v>-2.2346098769118155</v>
      </c>
      <c r="W65" s="528">
        <f t="shared" si="253"/>
        <v>232.66567033480811</v>
      </c>
      <c r="X65" s="572">
        <f t="shared" si="105"/>
        <v>6.725590072660129</v>
      </c>
      <c r="Y65" s="573">
        <f t="shared" si="255"/>
        <v>-2.2346098769118155</v>
      </c>
      <c r="Z65" s="575">
        <f t="shared" si="271"/>
        <v>-0.74470901534130995</v>
      </c>
      <c r="AA65" s="572">
        <f t="shared" si="272"/>
        <v>0.56802168159558675</v>
      </c>
      <c r="AB65" s="572">
        <f t="shared" si="273"/>
        <v>-0.35037102007257764</v>
      </c>
      <c r="AC65" s="579">
        <f t="shared" si="106"/>
        <v>1</v>
      </c>
      <c r="AD65" s="580">
        <f t="shared" si="142"/>
        <v>-0.74470901534130995</v>
      </c>
      <c r="AE65" s="572">
        <f t="shared" si="107"/>
        <v>0.56802168159558675</v>
      </c>
      <c r="AF65" s="576">
        <f t="shared" si="108"/>
        <v>-0.35037102007257764</v>
      </c>
      <c r="AG65" s="545">
        <f t="shared" si="109"/>
        <v>58.332600447048449</v>
      </c>
      <c r="AH65" s="546">
        <f t="shared" si="110"/>
        <v>138.13411163721221</v>
      </c>
      <c r="AI65" s="528">
        <f t="shared" si="111"/>
        <v>-69.489989966886796</v>
      </c>
      <c r="AJ65" s="529">
        <f t="shared" si="112"/>
        <v>-127.33432809021355</v>
      </c>
      <c r="AK65" s="578">
        <f t="shared" si="238"/>
        <v>3.8857805861880479E-16</v>
      </c>
      <c r="AL65" s="572">
        <f t="shared" si="113"/>
        <v>-0.93661099090994093</v>
      </c>
      <c r="AM65" s="577">
        <f t="shared" si="114"/>
        <v>-0.35037102007257764</v>
      </c>
      <c r="AN65" s="524">
        <f t="shared" si="115"/>
        <v>-69.489989966886796</v>
      </c>
      <c r="AO65" s="525">
        <f t="shared" si="525"/>
        <v>0</v>
      </c>
      <c r="AP65" s="528">
        <f t="shared" si="117"/>
        <v>-89.999999999999972</v>
      </c>
      <c r="AQ65" s="529">
        <f t="shared" si="274"/>
        <v>0.33895911163113052</v>
      </c>
      <c r="AS65" s="932">
        <f t="shared" si="461"/>
        <v>-127.33432966519189</v>
      </c>
      <c r="AT65" s="928">
        <f t="shared" si="275"/>
        <v>-2.146183248586873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3.23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3.13</v>
      </c>
      <c r="IK65" s="677" cm="1">
        <f t="array" ref="IK65">IFERROR(ROUND(VALUE(IF($IJ65&lt;1,$IJ65+LARGE((IF($M$9:$M$150="",0,$M$9:$M$150)-MOD(IF($M$9:$M$150="",0,$M$9:$M$150),1)),1),$IJ65)),4),"")</f>
        <v>3.13</v>
      </c>
      <c r="IL65" s="482">
        <f t="shared" si="426"/>
        <v>1613</v>
      </c>
      <c r="IM65" s="482" t="str">
        <f t="shared" si="237"/>
        <v>CPS-32193r1</v>
      </c>
      <c r="IN65" s="670">
        <f t="shared" si="427"/>
        <v>9.8387930769008562</v>
      </c>
      <c r="IO65" s="702">
        <v>3.6261283147798598E-2</v>
      </c>
      <c r="IP65" s="5">
        <f t="shared" si="428"/>
        <v>2.2799999999999998</v>
      </c>
      <c r="IQ65" s="714">
        <v>1140</v>
      </c>
      <c r="IR65" s="9">
        <f t="shared" si="429"/>
        <v>-6.730020297741218</v>
      </c>
      <c r="IS65" s="5">
        <f t="shared" si="430"/>
        <v>-2.220656697500599</v>
      </c>
      <c r="IT65" s="5">
        <f t="shared" si="431"/>
        <v>0.3125</v>
      </c>
      <c r="IU65" s="5">
        <f t="shared" si="432"/>
        <v>0.28368047023324833</v>
      </c>
      <c r="IV65" s="670">
        <f t="shared" si="433"/>
        <v>70.19998986437551</v>
      </c>
      <c r="IW65" s="9">
        <f t="shared" si="434"/>
        <v>-6.725590072660129</v>
      </c>
      <c r="IX65" s="5">
        <f t="shared" si="435"/>
        <v>-2.2346098769118155</v>
      </c>
      <c r="IY65" s="5">
        <f t="shared" si="436"/>
        <v>0.255</v>
      </c>
      <c r="IZ65" s="5">
        <f t="shared" si="437"/>
        <v>0.255</v>
      </c>
      <c r="JA65" s="705">
        <f t="shared" si="438"/>
        <v>69.489989966886796</v>
      </c>
    </row>
    <row r="66" spans="1:261" ht="15" customHeight="1" x14ac:dyDescent="0.25">
      <c r="A66" s="75">
        <f t="shared" si="256"/>
        <v>0</v>
      </c>
      <c r="B66" s="578">
        <f t="shared" si="515"/>
        <v>5.5073089671455175</v>
      </c>
      <c r="C66" s="572">
        <f t="shared" si="516"/>
        <v>-4.1963574761006361</v>
      </c>
      <c r="D66" s="576">
        <f t="shared" si="517"/>
        <v>-2.9474236360641544</v>
      </c>
      <c r="E66" s="580">
        <f t="shared" si="518"/>
        <v>0.77616291961228823</v>
      </c>
      <c r="F66" s="572">
        <f t="shared" si="519"/>
        <v>-0.59140627297605275</v>
      </c>
      <c r="G66" s="579">
        <f t="shared" si="520"/>
        <v>0.21865439054247987</v>
      </c>
      <c r="H66" s="580">
        <f t="shared" si="521"/>
        <v>0.255</v>
      </c>
      <c r="I66" s="572">
        <f t="shared" si="522"/>
        <v>0.41499999999999992</v>
      </c>
      <c r="J66" s="483">
        <f t="shared" si="523"/>
        <v>3.2330000000000001</v>
      </c>
      <c r="K66" s="806" t="str">
        <f t="shared" si="524"/>
        <v>CPS-32193r1</v>
      </c>
      <c r="L66" s="309"/>
      <c r="M66" s="164">
        <f t="shared" si="267"/>
        <v>3.2330000000000001</v>
      </c>
      <c r="N66" s="575">
        <f t="shared" si="268"/>
        <v>5.5073089671455175</v>
      </c>
      <c r="O66" s="572">
        <f t="shared" si="269"/>
        <v>-4.1963574761006361</v>
      </c>
      <c r="P66" s="576">
        <f t="shared" si="270"/>
        <v>-2.9474236360641544</v>
      </c>
      <c r="Q66" s="528">
        <f t="shared" si="140"/>
        <v>322.69399443498088</v>
      </c>
      <c r="R66" s="572">
        <f t="shared" si="101"/>
        <v>6.9238622261586871</v>
      </c>
      <c r="S66" s="577">
        <f t="shared" si="102"/>
        <v>-2.9474236360641544</v>
      </c>
      <c r="T66" s="578">
        <f t="shared" si="103"/>
        <v>-4.1963576274886156</v>
      </c>
      <c r="U66" s="572">
        <f t="shared" si="104"/>
        <v>-5.5073088517937006</v>
      </c>
      <c r="V66" s="579">
        <f t="shared" si="141"/>
        <v>-2.9474236360641544</v>
      </c>
      <c r="W66" s="528">
        <f t="shared" si="253"/>
        <v>232.69399286000254</v>
      </c>
      <c r="X66" s="572">
        <f t="shared" si="105"/>
        <v>6.9238622261586871</v>
      </c>
      <c r="Y66" s="573">
        <f t="shared" si="255"/>
        <v>-2.9474236360641544</v>
      </c>
      <c r="Z66" s="575">
        <f t="shared" si="271"/>
        <v>-0.77616291961228823</v>
      </c>
      <c r="AA66" s="572">
        <f t="shared" si="272"/>
        <v>0.59140627297605275</v>
      </c>
      <c r="AB66" s="572">
        <f t="shared" si="273"/>
        <v>-0.21865439054247987</v>
      </c>
      <c r="AC66" s="579">
        <f t="shared" si="106"/>
        <v>1</v>
      </c>
      <c r="AD66" s="580">
        <f t="shared" si="142"/>
        <v>-0.77616291961228823</v>
      </c>
      <c r="AE66" s="572">
        <f t="shared" si="107"/>
        <v>0.59140627297605275</v>
      </c>
      <c r="AF66" s="576">
        <f t="shared" si="108"/>
        <v>-0.21865439054247987</v>
      </c>
      <c r="AG66" s="545">
        <f t="shared" si="109"/>
        <v>69.709667292615919</v>
      </c>
      <c r="AH66" s="546">
        <f t="shared" si="110"/>
        <v>140.91058616176306</v>
      </c>
      <c r="AI66" s="528">
        <f t="shared" si="111"/>
        <v>-77.36998882915573</v>
      </c>
      <c r="AJ66" s="529">
        <f t="shared" si="112"/>
        <v>-127.30600556501915</v>
      </c>
      <c r="AK66" s="578">
        <f t="shared" si="238"/>
        <v>-6.6613381477509392E-16</v>
      </c>
      <c r="AL66" s="572">
        <f t="shared" si="113"/>
        <v>-0.97580236600271508</v>
      </c>
      <c r="AM66" s="577">
        <f t="shared" si="114"/>
        <v>-0.21865439054247987</v>
      </c>
      <c r="AN66" s="524">
        <f t="shared" si="115"/>
        <v>-77.369988829155744</v>
      </c>
      <c r="AO66" s="525">
        <f t="shared" si="525"/>
        <v>0</v>
      </c>
      <c r="AP66" s="528">
        <f t="shared" si="117"/>
        <v>-90.000000000000043</v>
      </c>
      <c r="AQ66" s="529">
        <f t="shared" si="274"/>
        <v>0.32925287406300863</v>
      </c>
      <c r="AS66" s="932">
        <f t="shared" si="461"/>
        <v>-127.30600713999746</v>
      </c>
      <c r="AT66" s="928">
        <f t="shared" si="275"/>
        <v>-2.8590166761594862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3.2330000000000001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3.133</v>
      </c>
      <c r="IK66" s="677" cm="1">
        <f t="array" ref="IK66">IFERROR(ROUND(VALUE(IF($IJ66&lt;1,$IJ66+LARGE((IF($M$9:$M$150="",0,$M$9:$M$150)-MOD(IF($M$9:$M$150="",0,$M$9:$M$150),1)),1),$IJ66)),4),"")</f>
        <v>3.133</v>
      </c>
      <c r="IL66" s="482">
        <f t="shared" si="426"/>
        <v>1613</v>
      </c>
      <c r="IM66" s="482" t="str">
        <f t="shared" si="237"/>
        <v>CPS-32193r1</v>
      </c>
      <c r="IN66" s="670">
        <f t="shared" si="427"/>
        <v>9.5454705899676924</v>
      </c>
      <c r="IO66" s="702">
        <v>3.5469895633931298E-2</v>
      </c>
      <c r="IP66" s="5">
        <f t="shared" si="428"/>
        <v>2.58</v>
      </c>
      <c r="IQ66" s="714">
        <v>1290</v>
      </c>
      <c r="IR66" s="9">
        <f t="shared" si="429"/>
        <v>-6.9348209154198814</v>
      </c>
      <c r="IS66" s="5">
        <f t="shared" si="430"/>
        <v>-2.9325588445974748</v>
      </c>
      <c r="IT66" s="5">
        <f t="shared" si="431"/>
        <v>0.3125</v>
      </c>
      <c r="IU66" s="5">
        <f t="shared" si="432"/>
        <v>0.27794262644434714</v>
      </c>
      <c r="IV66" s="670">
        <f t="shared" si="433"/>
        <v>78.099988723756752</v>
      </c>
      <c r="IW66" s="9">
        <f t="shared" si="434"/>
        <v>-6.9238622261586871</v>
      </c>
      <c r="IX66" s="5">
        <f t="shared" si="435"/>
        <v>-2.9474236360641544</v>
      </c>
      <c r="IY66" s="5">
        <f t="shared" si="436"/>
        <v>0.255</v>
      </c>
      <c r="IZ66" s="5">
        <f t="shared" si="437"/>
        <v>0.255</v>
      </c>
      <c r="JA66" s="705">
        <f t="shared" si="438"/>
        <v>77.369988829155744</v>
      </c>
    </row>
    <row r="67" spans="1:261" ht="15" customHeight="1" x14ac:dyDescent="0.25">
      <c r="A67" s="75">
        <f t="shared" si="256"/>
        <v>0</v>
      </c>
      <c r="B67" s="578">
        <f t="shared" si="515"/>
        <v>5.6086536324299763</v>
      </c>
      <c r="C67" s="572">
        <f t="shared" si="516"/>
        <v>-4.2727276576311697</v>
      </c>
      <c r="D67" s="576">
        <f t="shared" si="517"/>
        <v>-3.6867173014355918</v>
      </c>
      <c r="E67" s="580">
        <f t="shared" si="518"/>
        <v>0.78958944138785636</v>
      </c>
      <c r="F67" s="572">
        <f t="shared" si="519"/>
        <v>-0.60151702449305366</v>
      </c>
      <c r="G67" s="579">
        <f t="shared" si="520"/>
        <v>0.12134983845822031</v>
      </c>
      <c r="H67" s="580">
        <f t="shared" si="521"/>
        <v>0.255</v>
      </c>
      <c r="I67" s="572">
        <f t="shared" si="522"/>
        <v>0.41499999999999992</v>
      </c>
      <c r="J67" s="483">
        <f t="shared" si="523"/>
        <v>3.2360000000000002</v>
      </c>
      <c r="K67" s="806" t="str">
        <f t="shared" si="524"/>
        <v>CPS-32193r1</v>
      </c>
      <c r="L67" s="309"/>
      <c r="M67" s="164">
        <f t="shared" si="267"/>
        <v>3.2360000000000002</v>
      </c>
      <c r="N67" s="575">
        <f t="shared" si="268"/>
        <v>5.6086536324299763</v>
      </c>
      <c r="O67" s="572">
        <f t="shared" si="269"/>
        <v>-4.2727276576311697</v>
      </c>
      <c r="P67" s="576">
        <f t="shared" si="270"/>
        <v>-3.6867173014355918</v>
      </c>
      <c r="Q67" s="528">
        <f t="shared" si="140"/>
        <v>322.6994921117178</v>
      </c>
      <c r="R67" s="572">
        <f>IF(M67="","",SQRT(N67^2+O67^2))</f>
        <v>7.0507586261945114</v>
      </c>
      <c r="S67" s="577">
        <f>IF(M67="","",P67)</f>
        <v>-3.6867173014355918</v>
      </c>
      <c r="T67" s="578">
        <f>IF(M67="","",X67*COS(RADIANS(W67)))</f>
        <v>-4.272727811804967</v>
      </c>
      <c r="U67" s="572">
        <f>IF(M67="","",X67*SIN(RADIANS(W67)))</f>
        <v>-5.6086535149788537</v>
      </c>
      <c r="V67" s="579">
        <f>IF(M67="","",Y67)</f>
        <v>-3.6867173014355918</v>
      </c>
      <c r="W67" s="528">
        <f t="shared" si="253"/>
        <v>232.69949053673946</v>
      </c>
      <c r="X67" s="572">
        <f>IF(M67="","",R67)</f>
        <v>7.0507586261945114</v>
      </c>
      <c r="Y67" s="573">
        <f t="shared" si="255"/>
        <v>-3.6867173014355918</v>
      </c>
      <c r="Z67" s="575">
        <f t="shared" si="271"/>
        <v>-0.78958944138785636</v>
      </c>
      <c r="AA67" s="572">
        <f t="shared" si="272"/>
        <v>0.60151702449305366</v>
      </c>
      <c r="AB67" s="572">
        <f t="shared" si="273"/>
        <v>-0.12134983845822031</v>
      </c>
      <c r="AC67" s="579">
        <f>IF(M67="","",SQRT(Z67^2+AA67^2+AB67^2))</f>
        <v>1</v>
      </c>
      <c r="AD67" s="580">
        <f>IF(M67="","",Z67*(1/SQRT(Z67^2+AA67^2+AB67^2)))</f>
        <v>-0.78958944138785636</v>
      </c>
      <c r="AE67" s="572">
        <f>IF(M67="","",AA67*(1/SQRT(Z67^2+AA67^2+AB67^2)))</f>
        <v>0.60151702449305366</v>
      </c>
      <c r="AF67" s="576">
        <f>IF(M67="","",AB67*(1/SQRT(Z67^2+AA67^2+AB67^2)))</f>
        <v>-0.12134983845822031</v>
      </c>
      <c r="AG67" s="545">
        <f>IF(M67="","",DEGREES(ATAN2(-AF67,AE67)))</f>
        <v>78.594258294768707</v>
      </c>
      <c r="AH67" s="546">
        <f>IF(M67="","",DEGREES(ACOS(AD67)))</f>
        <v>142.14716069409812</v>
      </c>
      <c r="AI67" s="528">
        <f>IF(M67="","",DEGREES(-ACOS(-AF67)))</f>
        <v>-83.029988011952952</v>
      </c>
      <c r="AJ67" s="529">
        <f>IF(M67="","",DEGREES(ATAN2(-AE67,AD67)))</f>
        <v>-127.30050788828217</v>
      </c>
      <c r="AK67" s="578">
        <f>IF(M67="","",(COS(RADIANS((90-$Q$8)-W67))*AD67)+(-SIN(RADIANS((90-$Q$8)-W67))*AE67))</f>
        <v>0</v>
      </c>
      <c r="AL67" s="572">
        <f>IF(M67="","",(SIN(RADIANS((90-$Q$8)-W67))*AD67)+(COS(RADIANS((90-$Q$8)-W67))*AE67))</f>
        <v>-0.99260980083120476</v>
      </c>
      <c r="AM67" s="577">
        <f>IF(M67="","",AF67)</f>
        <v>-0.12134983845822031</v>
      </c>
      <c r="AN67" s="524">
        <f>IF(M67="","",DEGREES(ATAN2(-AM67,AL67)))</f>
        <v>-83.029988011952952</v>
      </c>
      <c r="AO67" s="525">
        <f t="shared" si="525"/>
        <v>0</v>
      </c>
      <c r="AP67" s="528">
        <f>IF(M67="","",DEGREES(ATAN2(AK67,AL67)))</f>
        <v>-90</v>
      </c>
      <c r="AQ67" s="529">
        <f t="shared" si="274"/>
        <v>0.32332725506143423</v>
      </c>
      <c r="AS67" s="932">
        <f t="shared" si="461"/>
        <v>-127.30050946326054</v>
      </c>
      <c r="AT67" s="928">
        <f t="shared" si="275"/>
        <v>-3.5983141593619909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>Taper</v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3.2360000000000002</v>
      </c>
      <c r="IJ67" s="674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3.1360000000000001</v>
      </c>
      <c r="IK67" s="677" cm="1">
        <f t="array" ref="IK67">IFERROR(ROUND(VALUE(IF($IJ67&lt;1,$IJ67+LARGE((IF($M$9:$M$150="",0,$M$9:$M$150)-MOD(IF($M$9:$M$150="",0,$M$9:$M$150),1)),1),$IJ67)),4),"")</f>
        <v>3.1360000000000001</v>
      </c>
      <c r="IL67" s="482">
        <f t="shared" si="426"/>
        <v>1613</v>
      </c>
      <c r="IM67" s="482" t="str">
        <f t="shared" si="237"/>
        <v>CPS-32193r1</v>
      </c>
      <c r="IN67" s="670">
        <f t="shared" si="427"/>
        <v>9.3608729390895746</v>
      </c>
      <c r="IO67" s="702">
        <v>3.5213387663094599E-2</v>
      </c>
      <c r="IP67" s="5">
        <f t="shared" si="428"/>
        <v>2.88</v>
      </c>
      <c r="IQ67" s="714">
        <v>1440</v>
      </c>
      <c r="IR67" s="9">
        <f t="shared" si="429"/>
        <v>-7.0703213240891127</v>
      </c>
      <c r="IS67" s="5">
        <f t="shared" si="430"/>
        <v>-3.6719610746346003</v>
      </c>
      <c r="IT67" s="5">
        <f t="shared" si="431"/>
        <v>0.3125</v>
      </c>
      <c r="IU67" s="5">
        <f t="shared" si="432"/>
        <v>0.27035983081544956</v>
      </c>
      <c r="IV67" s="670">
        <f t="shared" si="433"/>
        <v>83.99998787190232</v>
      </c>
      <c r="IW67" s="9">
        <f t="shared" si="434"/>
        <v>-7.0507586261945114</v>
      </c>
      <c r="IX67" s="5">
        <f t="shared" si="435"/>
        <v>-3.6867173014355918</v>
      </c>
      <c r="IY67" s="5">
        <f t="shared" si="436"/>
        <v>0.255</v>
      </c>
      <c r="IZ67" s="5">
        <f t="shared" si="437"/>
        <v>0.255</v>
      </c>
      <c r="JA67" s="705">
        <f t="shared" si="438"/>
        <v>83.029988011952952</v>
      </c>
    </row>
    <row r="68" spans="1:261" ht="15" customHeight="1" x14ac:dyDescent="0.25">
      <c r="A68" s="75">
        <f t="shared" si="256"/>
        <v>0</v>
      </c>
      <c r="B68" s="578">
        <f t="shared" si="515"/>
        <v>-1.5036093410367983E-6</v>
      </c>
      <c r="C68" s="572">
        <f t="shared" si="516"/>
        <v>-3.3149099977682135</v>
      </c>
      <c r="D68" s="576">
        <f t="shared" si="517"/>
        <v>-0.22135027023441506</v>
      </c>
      <c r="E68" s="580">
        <f t="shared" si="518"/>
        <v>0.96592582870064903</v>
      </c>
      <c r="F68" s="572">
        <f t="shared" si="519"/>
        <v>-1.625181580429113E-2</v>
      </c>
      <c r="G68" s="579">
        <f t="shared" si="520"/>
        <v>0.25830828854689897</v>
      </c>
      <c r="H68" s="580">
        <f t="shared" si="521"/>
        <v>0.3125</v>
      </c>
      <c r="I68" s="572">
        <f t="shared" si="522"/>
        <v>0.52</v>
      </c>
      <c r="J68" s="483">
        <f t="shared" si="523"/>
        <v>4.1130000000000004</v>
      </c>
      <c r="K68" s="806">
        <f t="shared" si="524"/>
        <v>1613</v>
      </c>
      <c r="L68" s="309"/>
      <c r="M68" s="164">
        <f t="shared" si="267"/>
        <v>4.1130000000000004</v>
      </c>
      <c r="N68" s="575">
        <f t="shared" si="268"/>
        <v>-1.5036093410367983E-6</v>
      </c>
      <c r="O68" s="572">
        <f t="shared" si="269"/>
        <v>-3.3149099977682135</v>
      </c>
      <c r="P68" s="576">
        <f t="shared" si="270"/>
        <v>-0.22135027023441506</v>
      </c>
      <c r="Q68" s="528">
        <f t="shared" si="140"/>
        <v>269.99997401121919</v>
      </c>
      <c r="R68" s="572">
        <f>IF(M68="","",SQRT(N68^2+O68^2))</f>
        <v>3.3149099977685546</v>
      </c>
      <c r="S68" s="577">
        <f>IF(M68="","",P68)</f>
        <v>-0.22135027023441506</v>
      </c>
      <c r="T68" s="578">
        <f>IF(M68="","",X68*COS(RADIANS(W68)))</f>
        <v>-3.3149099977681709</v>
      </c>
      <c r="U68" s="572">
        <f>IF(M68="","",X68*SIN(RADIANS(W68)))</f>
        <v>1.5947314370975576E-6</v>
      </c>
      <c r="V68" s="579">
        <f>IF(M68="","",Y68)</f>
        <v>-0.22135027023441506</v>
      </c>
      <c r="W68" s="528">
        <f t="shared" si="253"/>
        <v>179.99997243624085</v>
      </c>
      <c r="X68" s="572">
        <f>IF(M68="","",R68)</f>
        <v>3.3149099977685546</v>
      </c>
      <c r="Y68" s="573">
        <f t="shared" si="255"/>
        <v>-0.22135027023441506</v>
      </c>
      <c r="Z68" s="575">
        <f t="shared" si="271"/>
        <v>-0.96592582870064903</v>
      </c>
      <c r="AA68" s="572">
        <f t="shared" si="272"/>
        <v>1.625181580429113E-2</v>
      </c>
      <c r="AB68" s="572">
        <f t="shared" si="273"/>
        <v>-0.25830828854689897</v>
      </c>
      <c r="AC68" s="579">
        <f>IF(M68="","",SQRT(Z68^2+AA68^2+AB68^2))</f>
        <v>1</v>
      </c>
      <c r="AD68" s="580">
        <f>IF(M68="","",Z68*(1/SQRT(Z68^2+AA68^2+AB68^2)))</f>
        <v>-0.96592582870064903</v>
      </c>
      <c r="AE68" s="572">
        <f>IF(M68="","",AA68*(1/SQRT(Z68^2+AA68^2+AB68^2)))</f>
        <v>1.625181580429113E-2</v>
      </c>
      <c r="AF68" s="576">
        <f>IF(M68="","",AB68*(1/SQRT(Z68^2+AA68^2+AB68^2)))</f>
        <v>-0.25830828854689897</v>
      </c>
      <c r="AG68" s="545">
        <f>IF(M68="","",DEGREES(ATAN2(-AF68,AE68)))</f>
        <v>3.6000962802882879</v>
      </c>
      <c r="AH68" s="546">
        <f>IF(M68="","",DEGREES(ACOS(AD68)))</f>
        <v>165.000000533861</v>
      </c>
      <c r="AI68" s="528">
        <f>IF(M68="","",DEGREES(-ACOS(-AF68)))</f>
        <v>-75.030294379458098</v>
      </c>
      <c r="AJ68" s="529">
        <f>IF(M68="","",DEGREES(ATAN2(-AE68,AD68)))</f>
        <v>-90.963917286960879</v>
      </c>
      <c r="AK68" s="578">
        <f>IF(M68="","",(COS(RADIANS((90-$Q$8)-W68))*AD68)+(-SIN(RADIANS((90-$Q$8)-W68))*AE68))</f>
        <v>0.96592583607220739</v>
      </c>
      <c r="AL68" s="572">
        <f>IF(M68="","",(SIN(RADIANS((90-$Q$8)-W68))*AD68)+(COS(RADIANS((90-$Q$8)-W68))*AE68))</f>
        <v>-1.6251377670191944E-2</v>
      </c>
      <c r="AM68" s="577">
        <f>IF(M68="","",AF68)</f>
        <v>-0.25830828854689897</v>
      </c>
      <c r="AN68" s="524">
        <f>IF(M68="","",DEGREES(ATAN2(-AM68,AL68)))</f>
        <v>-3.5999994802242887</v>
      </c>
      <c r="AO68" s="525">
        <f t="shared" si="525"/>
        <v>14.999997834268255</v>
      </c>
      <c r="AP68" s="528">
        <f>IF(M68="","",DEGREES(ATAN2(AK68,AL68)))</f>
        <v>-0.9638912981800688</v>
      </c>
      <c r="AQ68" s="529">
        <f t="shared" si="274"/>
        <v>0.68768598907990997</v>
      </c>
      <c r="AS68" s="932">
        <f t="shared" si="461"/>
        <v>-180.00002756375915</v>
      </c>
      <c r="AT68" s="928">
        <f t="shared" si="275"/>
        <v>-9.6350240591023345E-2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4.1130000000000004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</v>
      </c>
      <c r="B69" s="578">
        <f t="shared" si="515"/>
        <v>-4.1366630874069138E-3</v>
      </c>
      <c r="C69" s="572">
        <f t="shared" si="516"/>
        <v>-4.0497101011910495</v>
      </c>
      <c r="D69" s="576">
        <f t="shared" si="517"/>
        <v>-0.21085023856631963</v>
      </c>
      <c r="E69" s="580">
        <f t="shared" si="518"/>
        <v>0.96448716370772369</v>
      </c>
      <c r="F69" s="572">
        <f t="shared" si="519"/>
        <v>-6.9280583253792022E-2</v>
      </c>
      <c r="G69" s="579">
        <f t="shared" si="520"/>
        <v>0.25488176048325878</v>
      </c>
      <c r="H69" s="580">
        <f t="shared" si="521"/>
        <v>0.3125</v>
      </c>
      <c r="I69" s="572">
        <f t="shared" si="522"/>
        <v>0.52</v>
      </c>
      <c r="J69" s="483">
        <f t="shared" si="523"/>
        <v>4.1159999999999997</v>
      </c>
      <c r="K69" s="806">
        <f t="shared" si="524"/>
        <v>1613</v>
      </c>
      <c r="L69" s="309"/>
      <c r="M69" s="164">
        <f t="shared" si="267"/>
        <v>4.1159999999999997</v>
      </c>
      <c r="N69" s="575">
        <f t="shared" si="268"/>
        <v>-4.1366630874069138E-3</v>
      </c>
      <c r="O69" s="572">
        <f t="shared" si="269"/>
        <v>-4.0497101011910495</v>
      </c>
      <c r="P69" s="576">
        <f t="shared" si="270"/>
        <v>-0.21085023856631963</v>
      </c>
      <c r="Q69" s="528">
        <f t="shared" si="140"/>
        <v>269.94147401966558</v>
      </c>
      <c r="R69" s="572">
        <f t="shared" si="101"/>
        <v>4.049712213932037</v>
      </c>
      <c r="S69" s="577">
        <f t="shared" si="102"/>
        <v>-0.21085023856631963</v>
      </c>
      <c r="T69" s="578">
        <f t="shared" si="103"/>
        <v>-4.0497101010773378</v>
      </c>
      <c r="U69" s="572">
        <f t="shared" si="104"/>
        <v>4.1367744080958403E-3</v>
      </c>
      <c r="V69" s="579">
        <f t="shared" si="141"/>
        <v>-0.21085023856631963</v>
      </c>
      <c r="W69" s="528">
        <f t="shared" si="253"/>
        <v>179.94147244468724</v>
      </c>
      <c r="X69" s="572">
        <f t="shared" si="105"/>
        <v>4.049712213932037</v>
      </c>
      <c r="Y69" s="573">
        <f t="shared" si="255"/>
        <v>-0.21085023856631963</v>
      </c>
      <c r="Z69" s="575">
        <f t="shared" si="271"/>
        <v>-0.96448716370772369</v>
      </c>
      <c r="AA69" s="572">
        <f t="shared" si="272"/>
        <v>6.9280583253792022E-2</v>
      </c>
      <c r="AB69" s="572">
        <f t="shared" si="273"/>
        <v>-0.25488176048325878</v>
      </c>
      <c r="AC69" s="579">
        <f t="shared" si="106"/>
        <v>1</v>
      </c>
      <c r="AD69" s="580">
        <f t="shared" si="142"/>
        <v>-0.96448716370772369</v>
      </c>
      <c r="AE69" s="572">
        <f t="shared" si="107"/>
        <v>6.9280583253792022E-2</v>
      </c>
      <c r="AF69" s="576">
        <f t="shared" si="108"/>
        <v>-0.25488176048325878</v>
      </c>
      <c r="AG69" s="545">
        <f t="shared" si="109"/>
        <v>15.206435267679463</v>
      </c>
      <c r="AH69" s="546">
        <f t="shared" si="110"/>
        <v>164.68475272916902</v>
      </c>
      <c r="AI69" s="528">
        <f t="shared" si="111"/>
        <v>-75.23342098048613</v>
      </c>
      <c r="AJ69" s="529">
        <f t="shared" si="112"/>
        <v>-94.108586431337528</v>
      </c>
      <c r="AK69" s="578">
        <f t="shared" si="238"/>
        <v>0.96455742863145788</v>
      </c>
      <c r="AL69" s="572">
        <f t="shared" si="113"/>
        <v>-6.8295351560885925E-2</v>
      </c>
      <c r="AM69" s="577">
        <f t="shared" si="114"/>
        <v>-0.25488176048325878</v>
      </c>
      <c r="AN69" s="524">
        <f t="shared" si="115"/>
        <v>-14.999997834268299</v>
      </c>
      <c r="AO69" s="525">
        <f t="shared" si="525"/>
        <v>15.299997790953599</v>
      </c>
      <c r="AP69" s="528">
        <f t="shared" si="117"/>
        <v>-4.0500604510031009</v>
      </c>
      <c r="AQ69" s="529">
        <f t="shared" si="274"/>
        <v>0.56291735317004776</v>
      </c>
      <c r="AS69" s="932">
        <f t="shared" si="461"/>
        <v>-180.05852755531276</v>
      </c>
      <c r="AT69" s="928">
        <f t="shared" si="275"/>
        <v>-8.5809583928793454E-2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4.1159999999999997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</v>
      </c>
      <c r="B70" s="578">
        <f t="shared" si="515"/>
        <v>-3.8977869436756969E-2</v>
      </c>
      <c r="C70" s="572">
        <f t="shared" si="516"/>
        <v>-4.799256195376592</v>
      </c>
      <c r="D70" s="576">
        <f t="shared" si="517"/>
        <v>-0.3786507446526457</v>
      </c>
      <c r="E70" s="580">
        <f t="shared" si="518"/>
        <v>0.96021372288373075</v>
      </c>
      <c r="F70" s="572">
        <f t="shared" si="519"/>
        <v>-0.13293935147569752</v>
      </c>
      <c r="G70" s="579">
        <f t="shared" si="520"/>
        <v>0.24559465632416966</v>
      </c>
      <c r="H70" s="580">
        <f t="shared" si="521"/>
        <v>0.3125</v>
      </c>
      <c r="I70" s="572">
        <f t="shared" si="522"/>
        <v>0.52</v>
      </c>
      <c r="J70" s="483">
        <f t="shared" si="523"/>
        <v>4.1189999999999998</v>
      </c>
      <c r="K70" s="806">
        <f t="shared" si="524"/>
        <v>1613</v>
      </c>
      <c r="L70" s="309"/>
      <c r="M70" s="164">
        <f t="shared" si="267"/>
        <v>4.1189999999999998</v>
      </c>
      <c r="N70" s="575">
        <f t="shared" si="268"/>
        <v>-3.8977869436756969E-2</v>
      </c>
      <c r="O70" s="572">
        <f t="shared" si="269"/>
        <v>-4.799256195376592</v>
      </c>
      <c r="P70" s="576">
        <f t="shared" si="270"/>
        <v>-0.3786507446526457</v>
      </c>
      <c r="Q70" s="528">
        <f t="shared" si="140"/>
        <v>269.5346740784002</v>
      </c>
      <c r="R70" s="572">
        <f t="shared" si="101"/>
        <v>4.7994144750340562</v>
      </c>
      <c r="S70" s="577">
        <f t="shared" si="102"/>
        <v>-0.3786507446526457</v>
      </c>
      <c r="T70" s="578">
        <f t="shared" si="103"/>
        <v>-4.7992561943051442</v>
      </c>
      <c r="U70" s="572">
        <f t="shared" si="104"/>
        <v>3.8978001361388619E-2</v>
      </c>
      <c r="V70" s="579">
        <f t="shared" si="141"/>
        <v>-0.3786507446526457</v>
      </c>
      <c r="W70" s="528">
        <f t="shared" si="253"/>
        <v>179.53467250342186</v>
      </c>
      <c r="X70" s="572">
        <f t="shared" si="105"/>
        <v>4.7994144750340562</v>
      </c>
      <c r="Y70" s="573">
        <f t="shared" si="255"/>
        <v>-0.3786507446526457</v>
      </c>
      <c r="Z70" s="575">
        <f t="shared" si="271"/>
        <v>-0.96021372288373075</v>
      </c>
      <c r="AA70" s="572">
        <f t="shared" si="272"/>
        <v>0.13293935147569752</v>
      </c>
      <c r="AB70" s="572">
        <f t="shared" si="273"/>
        <v>-0.24559465632416966</v>
      </c>
      <c r="AC70" s="579">
        <f t="shared" si="106"/>
        <v>1</v>
      </c>
      <c r="AD70" s="580">
        <f t="shared" si="142"/>
        <v>-0.96021372288373075</v>
      </c>
      <c r="AE70" s="572">
        <f t="shared" si="107"/>
        <v>0.13293935147569752</v>
      </c>
      <c r="AF70" s="576">
        <f t="shared" si="108"/>
        <v>-0.24559465632416966</v>
      </c>
      <c r="AG70" s="545">
        <f t="shared" si="109"/>
        <v>28.426496431416048</v>
      </c>
      <c r="AH70" s="546">
        <f t="shared" si="110"/>
        <v>163.78358631208886</v>
      </c>
      <c r="AI70" s="528">
        <f t="shared" si="111"/>
        <v>-75.783021217788999</v>
      </c>
      <c r="AJ70" s="529">
        <f t="shared" si="112"/>
        <v>-97.882359590326772</v>
      </c>
      <c r="AK70" s="578">
        <f t="shared" si="238"/>
        <v>0.96126170705176617</v>
      </c>
      <c r="AL70" s="572">
        <f t="shared" si="113"/>
        <v>-0.12513670660896201</v>
      </c>
      <c r="AM70" s="577">
        <f t="shared" si="114"/>
        <v>-0.24559465632416966</v>
      </c>
      <c r="AN70" s="524">
        <f t="shared" si="115"/>
        <v>-26.999996101682843</v>
      </c>
      <c r="AO70" s="525">
        <f t="shared" si="525"/>
        <v>15.99999768988615</v>
      </c>
      <c r="AP70" s="528">
        <f t="shared" si="117"/>
        <v>-7.4170336687269725</v>
      </c>
      <c r="AQ70" s="529">
        <f t="shared" si="274"/>
        <v>0.47499010925971369</v>
      </c>
      <c r="AS70" s="932">
        <f t="shared" si="461"/>
        <v>-180.46532749657814</v>
      </c>
      <c r="AT70" s="928">
        <f t="shared" si="275"/>
        <v>-0.25332759005590744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4.1189999999999998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</v>
      </c>
      <c r="B71" s="578">
        <f t="shared" si="515"/>
        <v>-0.10114410665957832</v>
      </c>
      <c r="C71" s="572">
        <f t="shared" si="516"/>
        <v>-5.4766826286766541</v>
      </c>
      <c r="D71" s="576">
        <f t="shared" si="517"/>
        <v>-0.71455175773010204</v>
      </c>
      <c r="E71" s="580">
        <f t="shared" si="518"/>
        <v>0.95381213061908665</v>
      </c>
      <c r="F71" s="572">
        <f t="shared" si="519"/>
        <v>-0.19875439090397284</v>
      </c>
      <c r="G71" s="579">
        <f t="shared" si="520"/>
        <v>0.22525343855370816</v>
      </c>
      <c r="H71" s="580">
        <f t="shared" si="521"/>
        <v>0.3125</v>
      </c>
      <c r="I71" s="572">
        <f t="shared" si="522"/>
        <v>0.52</v>
      </c>
      <c r="J71" s="483">
        <f t="shared" si="523"/>
        <v>4.1219999999999999</v>
      </c>
      <c r="K71" s="806">
        <f t="shared" si="524"/>
        <v>1613</v>
      </c>
      <c r="L71" s="309"/>
      <c r="M71" s="164">
        <f t="shared" si="267"/>
        <v>4.1219999999999999</v>
      </c>
      <c r="N71" s="575">
        <f t="shared" si="268"/>
        <v>-0.10114410665957832</v>
      </c>
      <c r="O71" s="572">
        <f t="shared" si="269"/>
        <v>-5.4766826286766541</v>
      </c>
      <c r="P71" s="576">
        <f t="shared" si="270"/>
        <v>-0.71455175773010204</v>
      </c>
      <c r="Q71" s="528">
        <f t="shared" si="140"/>
        <v>268.94197416397549</v>
      </c>
      <c r="R71" s="572">
        <f t="shared" si="101"/>
        <v>5.4776165204914253</v>
      </c>
      <c r="S71" s="577">
        <f t="shared" si="102"/>
        <v>-0.71455175773010204</v>
      </c>
      <c r="T71" s="578">
        <f t="shared" si="103"/>
        <v>-5.4766826258963466</v>
      </c>
      <c r="U71" s="572">
        <f t="shared" si="104"/>
        <v>0.10114425720568485</v>
      </c>
      <c r="V71" s="579">
        <f t="shared" si="141"/>
        <v>-0.71455175773010204</v>
      </c>
      <c r="W71" s="528">
        <f t="shared" si="253"/>
        <v>178.94197258899715</v>
      </c>
      <c r="X71" s="572">
        <f t="shared" si="105"/>
        <v>5.4776165204914253</v>
      </c>
      <c r="Y71" s="573">
        <f t="shared" si="255"/>
        <v>-0.71455175773010204</v>
      </c>
      <c r="Z71" s="575">
        <f t="shared" si="271"/>
        <v>-0.95381213061908665</v>
      </c>
      <c r="AA71" s="572">
        <f t="shared" si="272"/>
        <v>0.19875439090397284</v>
      </c>
      <c r="AB71" s="572">
        <f t="shared" si="273"/>
        <v>-0.22525343855370816</v>
      </c>
      <c r="AC71" s="579">
        <f t="shared" si="106"/>
        <v>1</v>
      </c>
      <c r="AD71" s="580">
        <f t="shared" si="142"/>
        <v>-0.95381213061908665</v>
      </c>
      <c r="AE71" s="572">
        <f t="shared" si="107"/>
        <v>0.19875439090397284</v>
      </c>
      <c r="AF71" s="576">
        <f t="shared" si="108"/>
        <v>-0.22525343855370816</v>
      </c>
      <c r="AG71" s="545">
        <f t="shared" si="109"/>
        <v>41.423859681410939</v>
      </c>
      <c r="AH71" s="546">
        <f t="shared" si="110"/>
        <v>162.51814446220692</v>
      </c>
      <c r="AI71" s="528">
        <f t="shared" si="111"/>
        <v>-76.982218296086572</v>
      </c>
      <c r="AJ71" s="529">
        <f t="shared" si="112"/>
        <v>-101.77079501869214</v>
      </c>
      <c r="AK71" s="578">
        <f t="shared" si="238"/>
        <v>0.95731950976824121</v>
      </c>
      <c r="AL71" s="572">
        <f t="shared" si="113"/>
        <v>-0.18110837815193737</v>
      </c>
      <c r="AM71" s="577">
        <f t="shared" si="114"/>
        <v>-0.22525343855370816</v>
      </c>
      <c r="AN71" s="524">
        <f t="shared" si="115"/>
        <v>-38.799994397973919</v>
      </c>
      <c r="AO71" s="525">
        <f t="shared" si="525"/>
        <v>16.799997574380452</v>
      </c>
      <c r="AP71" s="528">
        <f t="shared" si="117"/>
        <v>-10.712769182667632</v>
      </c>
      <c r="AQ71" s="529">
        <f t="shared" si="274"/>
        <v>0.41618220788632582</v>
      </c>
      <c r="AS71" s="932">
        <f t="shared" si="461"/>
        <v>-181.05802741100285</v>
      </c>
      <c r="AT71" s="928">
        <f t="shared" si="275"/>
        <v>-0.58881700597056885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4.1219999999999999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</v>
      </c>
      <c r="B72" s="578">
        <f t="shared" si="515"/>
        <v>-0.17776673919613889</v>
      </c>
      <c r="C72" s="572">
        <f t="shared" si="516"/>
        <v>-6.0565099891274388</v>
      </c>
      <c r="D72" s="576">
        <f t="shared" si="517"/>
        <v>-1.1996532207961144</v>
      </c>
      <c r="E72" s="580">
        <f t="shared" si="518"/>
        <v>0.93589086308353497</v>
      </c>
      <c r="F72" s="572">
        <f t="shared" si="519"/>
        <v>-0.28334507156457261</v>
      </c>
      <c r="G72" s="579">
        <f t="shared" si="520"/>
        <v>0.20934149807628555</v>
      </c>
      <c r="H72" s="580">
        <f t="shared" si="521"/>
        <v>0.3125</v>
      </c>
      <c r="I72" s="572">
        <f t="shared" si="522"/>
        <v>0.52</v>
      </c>
      <c r="J72" s="483">
        <f t="shared" si="523"/>
        <v>4.125</v>
      </c>
      <c r="K72" s="806">
        <f t="shared" si="524"/>
        <v>1613</v>
      </c>
      <c r="L72" s="309"/>
      <c r="M72" s="164">
        <f t="shared" si="267"/>
        <v>4.125</v>
      </c>
      <c r="N72" s="575">
        <f t="shared" si="268"/>
        <v>-0.17776673919613889</v>
      </c>
      <c r="O72" s="572">
        <f t="shared" si="269"/>
        <v>-6.0565099891274388</v>
      </c>
      <c r="P72" s="576">
        <f t="shared" si="270"/>
        <v>-1.1996532207961144</v>
      </c>
      <c r="Q72" s="528">
        <f t="shared" si="140"/>
        <v>268.31877425395442</v>
      </c>
      <c r="R72" s="572">
        <f t="shared" si="101"/>
        <v>6.0591182743007153</v>
      </c>
      <c r="S72" s="577">
        <f t="shared" si="102"/>
        <v>-1.1996532207961144</v>
      </c>
      <c r="T72" s="578">
        <f t="shared" si="103"/>
        <v>-6.0565099842408854</v>
      </c>
      <c r="U72" s="572">
        <f t="shared" si="104"/>
        <v>0.17776690568086523</v>
      </c>
      <c r="V72" s="579">
        <f t="shared" si="141"/>
        <v>-1.1996532207961144</v>
      </c>
      <c r="W72" s="528">
        <f t="shared" si="253"/>
        <v>178.31877267897607</v>
      </c>
      <c r="X72" s="572">
        <f t="shared" si="105"/>
        <v>6.0591182743007153</v>
      </c>
      <c r="Y72" s="573">
        <f t="shared" si="255"/>
        <v>-1.1996532207961144</v>
      </c>
      <c r="Z72" s="575">
        <f t="shared" si="271"/>
        <v>-0.93589086308353497</v>
      </c>
      <c r="AA72" s="572">
        <f t="shared" si="272"/>
        <v>0.28334507156457261</v>
      </c>
      <c r="AB72" s="572">
        <f t="shared" si="273"/>
        <v>-0.20934149807628555</v>
      </c>
      <c r="AC72" s="579">
        <f t="shared" si="106"/>
        <v>1</v>
      </c>
      <c r="AD72" s="580">
        <f t="shared" si="142"/>
        <v>-0.93589086308353497</v>
      </c>
      <c r="AE72" s="572">
        <f t="shared" si="107"/>
        <v>0.28334507156457261</v>
      </c>
      <c r="AF72" s="576">
        <f t="shared" si="108"/>
        <v>-0.20934149807628555</v>
      </c>
      <c r="AG72" s="545">
        <f t="shared" si="109"/>
        <v>53.542205502203757</v>
      </c>
      <c r="AH72" s="546">
        <f t="shared" si="110"/>
        <v>159.37254993388777</v>
      </c>
      <c r="AI72" s="528">
        <f t="shared" si="111"/>
        <v>-77.916234849140878</v>
      </c>
      <c r="AJ72" s="529">
        <f t="shared" si="112"/>
        <v>-106.84391881831276</v>
      </c>
      <c r="AK72" s="578">
        <f t="shared" si="238"/>
        <v>0.94380096765776467</v>
      </c>
      <c r="AL72" s="572">
        <f t="shared" si="113"/>
        <v>-0.25576526470856786</v>
      </c>
      <c r="AM72" s="577">
        <f t="shared" si="114"/>
        <v>-0.20934149807628555</v>
      </c>
      <c r="AN72" s="524">
        <f t="shared" si="115"/>
        <v>-50.699992679826764</v>
      </c>
      <c r="AO72" s="525">
        <f t="shared" si="525"/>
        <v>19.299997213425165</v>
      </c>
      <c r="AP72" s="528">
        <f t="shared" si="117"/>
        <v>-15.162693072267185</v>
      </c>
      <c r="AQ72" s="529">
        <f t="shared" si="274"/>
        <v>0.37624184916284142</v>
      </c>
      <c r="AS72" s="932">
        <f t="shared" si="461"/>
        <v>-181.68122732102393</v>
      </c>
      <c r="AT72" s="928">
        <f t="shared" si="275"/>
        <v>-1.0734856913212889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4.125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26"/>
        <v>1613</v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>
        <f t="shared" si="256"/>
        <v>0</v>
      </c>
      <c r="B73" s="578">
        <f t="shared" si="515"/>
        <v>-0.25283801801288541</v>
      </c>
      <c r="C73" s="572">
        <f t="shared" si="516"/>
        <v>-6.5095112166925855</v>
      </c>
      <c r="D73" s="576">
        <f t="shared" si="517"/>
        <v>-1.806655051513635</v>
      </c>
      <c r="E73" s="580">
        <f t="shared" si="518"/>
        <v>0.90855753119789939</v>
      </c>
      <c r="F73" s="572">
        <f t="shared" si="519"/>
        <v>-0.3778504503551276</v>
      </c>
      <c r="G73" s="579">
        <f t="shared" si="520"/>
        <v>0.17819160942649809</v>
      </c>
      <c r="H73" s="580">
        <f t="shared" si="521"/>
        <v>0.3125</v>
      </c>
      <c r="I73" s="572">
        <f t="shared" si="522"/>
        <v>0.52</v>
      </c>
      <c r="J73" s="483">
        <f t="shared" si="523"/>
        <v>4.1280000000000001</v>
      </c>
      <c r="K73" s="806">
        <f t="shared" si="524"/>
        <v>1613</v>
      </c>
      <c r="L73" s="309"/>
      <c r="M73" s="164">
        <f t="shared" ref="M73:M104" si="526">IF(J73="","",VALUE(J73))</f>
        <v>4.1280000000000001</v>
      </c>
      <c r="N73" s="575">
        <f t="shared" ref="N73:N104" si="527">IF(M73="","",B73)</f>
        <v>-0.25283801801288541</v>
      </c>
      <c r="O73" s="572">
        <f t="shared" ref="O73:O104" si="528">IF(M73="","",C73)</f>
        <v>-6.5095112166925855</v>
      </c>
      <c r="P73" s="576">
        <f t="shared" ref="P73:P104" si="529">IF(M73="","",D73)</f>
        <v>-1.806655051513635</v>
      </c>
      <c r="Q73" s="528">
        <f t="shared" si="140"/>
        <v>267.77567433236834</v>
      </c>
      <c r="R73" s="572">
        <f>IF(M73="","",SQRT(N73^2+O73^2))</f>
        <v>6.5144196474896567</v>
      </c>
      <c r="S73" s="577">
        <f>IF(M73="","",P73)</f>
        <v>-1.806655051513635</v>
      </c>
      <c r="T73" s="578">
        <f>IF(M73="","",X73*COS(RADIANS(W73)))</f>
        <v>-6.5095112097424304</v>
      </c>
      <c r="U73" s="572">
        <f>IF(M73="","",X73*SIN(RADIANS(W73)))</f>
        <v>0.25283819694996029</v>
      </c>
      <c r="V73" s="579">
        <f>IF(M73="","",Y73)</f>
        <v>-1.806655051513635</v>
      </c>
      <c r="W73" s="528">
        <f t="shared" si="253"/>
        <v>177.77567275739</v>
      </c>
      <c r="X73" s="572">
        <f>IF(M73="","",R73)</f>
        <v>6.5144196474896567</v>
      </c>
      <c r="Y73" s="573">
        <f t="shared" si="255"/>
        <v>-1.806655051513635</v>
      </c>
      <c r="Z73" s="575">
        <f t="shared" ref="Z73:Z104" si="530">IF(M73="","",-E73)</f>
        <v>-0.90855753119789939</v>
      </c>
      <c r="AA73" s="572">
        <f t="shared" ref="AA73:AA104" si="531">IF(M73="","",-F73)</f>
        <v>0.3778504503551276</v>
      </c>
      <c r="AB73" s="572">
        <f t="shared" ref="AB73:AB104" si="532">IF(M73="","",-G73)</f>
        <v>-0.17819160942649809</v>
      </c>
      <c r="AC73" s="579">
        <f>IF(M73="","",SQRT(Z73^2+AA73^2+AB73^2))</f>
        <v>1</v>
      </c>
      <c r="AD73" s="580">
        <f>IF(M73="","",Z73*(1/SQRT(Z73^2+AA73^2+AB73^2)))</f>
        <v>-0.90855753119789939</v>
      </c>
      <c r="AE73" s="572">
        <f>IF(M73="","",AA73*(1/SQRT(Z73^2+AA73^2+AB73^2)))</f>
        <v>0.3778504503551276</v>
      </c>
      <c r="AF73" s="576">
        <f>IF(M73="","",AB73*(1/SQRT(Z73^2+AA73^2+AB73^2)))</f>
        <v>-0.17819160942649809</v>
      </c>
      <c r="AG73" s="545">
        <f>IF(M73="","",DEGREES(ATAN2(-AF73,AE73)))</f>
        <v>64.751765458321273</v>
      </c>
      <c r="AH73" s="546">
        <f>IF(M73="","",DEGREES(ACOS(AD73)))</f>
        <v>155.30676799011906</v>
      </c>
      <c r="AI73" s="528">
        <f>IF(M73="","",DEGREES(-ACOS(-AF73)))</f>
        <v>-79.735556144492364</v>
      </c>
      <c r="AJ73" s="529">
        <f>IF(M73="","",DEGREES(ATAN2(-AE73,AD73)))</f>
        <v>-112.58142459982098</v>
      </c>
      <c r="AK73" s="578">
        <f>IF(M73="","",(COS(RADIANS((90-$Q$8)-W73))*AD73)+(-SIN(RADIANS((90-$Q$8)-W73))*AE73))</f>
        <v>0.92253811153111753</v>
      </c>
      <c r="AL73" s="572">
        <f>IF(M73="","",(SIN(RADIANS((90-$Q$8)-W73))*AD73)+(COS(RADIANS((90-$Q$8)-W73))*AE73))</f>
        <v>-0.34230276525700759</v>
      </c>
      <c r="AM73" s="577">
        <f>IF(M73="","",AF73)</f>
        <v>-0.17819160942649809</v>
      </c>
      <c r="AN73" s="524">
        <f>IF(M73="","",DEGREES(ATAN2(-AM73,AL73)))</f>
        <v>-62.499990976117786</v>
      </c>
      <c r="AO73" s="525">
        <f t="shared" si="525"/>
        <v>22.699996722525942</v>
      </c>
      <c r="AP73" s="528">
        <f>IF(M73="","",DEGREES(ATAN2(AK73,AL73)))</f>
        <v>-20.357098932189324</v>
      </c>
      <c r="AQ73" s="529">
        <f t="shared" ref="AQ73:AQ104" si="533">IF(M73="","",DEGREES(ATAN(($AS$5*SIN(RADIANS(90)))/(($X73*2*PI())-($AS$5*COS(RADIANS(90)))))))</f>
        <v>0.34994648908582243</v>
      </c>
      <c r="AS73" s="932">
        <f t="shared" si="461"/>
        <v>-182.22432724261</v>
      </c>
      <c r="AT73" s="928">
        <f t="shared" ref="AT73:AT104" si="534">IF(M73="","",Y73+(((AS73-$AS$9)*$AS$6)*-1))</f>
        <v>-1.6801103693154857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4.1280000000000001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596">IF(ISNUMBER($IK73),INDEX($K$9:$K$150,MATCH($IK73,$M$9:$M$150,0)),$K73)</f>
        <v>1613</v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>
        <f t="shared" si="256"/>
        <v>0</v>
      </c>
      <c r="B74" s="578">
        <f t="shared" si="515"/>
        <v>-0.30887908871157976</v>
      </c>
      <c r="C74" s="572">
        <f t="shared" si="516"/>
        <v>-6.8038129130794216</v>
      </c>
      <c r="D74" s="576">
        <f t="shared" si="517"/>
        <v>-2.4961571310519068</v>
      </c>
      <c r="E74" s="580">
        <f t="shared" si="518"/>
        <v>0.88205874820307217</v>
      </c>
      <c r="F74" s="572">
        <f t="shared" si="519"/>
        <v>-0.45602628875969431</v>
      </c>
      <c r="G74" s="579">
        <f t="shared" si="520"/>
        <v>0.11837393580720951</v>
      </c>
      <c r="H74" s="580">
        <f t="shared" si="521"/>
        <v>0.3125</v>
      </c>
      <c r="I74" s="572">
        <f t="shared" si="522"/>
        <v>0.52</v>
      </c>
      <c r="J74" s="483">
        <f t="shared" si="523"/>
        <v>4.1310000000000002</v>
      </c>
      <c r="K74" s="806">
        <f t="shared" si="524"/>
        <v>1613</v>
      </c>
      <c r="L74" s="309"/>
      <c r="M74" s="164">
        <f t="shared" si="526"/>
        <v>4.1310000000000002</v>
      </c>
      <c r="N74" s="575">
        <f t="shared" si="527"/>
        <v>-0.30887908871157976</v>
      </c>
      <c r="O74" s="572">
        <f t="shared" si="528"/>
        <v>-6.8038129130794216</v>
      </c>
      <c r="P74" s="576">
        <f t="shared" si="529"/>
        <v>-2.4961571310519068</v>
      </c>
      <c r="Q74" s="528">
        <f t="shared" ref="Q74:Q129" si="609">IF(M74="","",IF(DEGREES(ATAN2(N74,O74))&lt;0,DEGREES(ATAN2(N74,O74))+360,IF(DEGREES(ATAN2(N74,O74))&gt;360,DEGREES(ATAN2(N74,O74))-360,DEGREES(ATAN2(N74,O74)))))</f>
        <v>267.40067438651164</v>
      </c>
      <c r="R74" s="572">
        <f>IF(M74="","",SQRT(N74^2+O74^2))</f>
        <v>6.8108205414347527</v>
      </c>
      <c r="S74" s="577">
        <f>IF(M74="","",P74)</f>
        <v>-2.4961571310519068</v>
      </c>
      <c r="T74" s="578">
        <f>IF(M74="","",X74*COS(RADIANS(W74)))</f>
        <v>-6.8038129045887787</v>
      </c>
      <c r="U74" s="572">
        <f>IF(M74="","",X74*SIN(RADIANS(W74)))</f>
        <v>0.30887927573858426</v>
      </c>
      <c r="V74" s="579">
        <f>IF(M74="","",Y74)</f>
        <v>-2.4961571310519068</v>
      </c>
      <c r="W74" s="528">
        <f t="shared" si="253"/>
        <v>177.4006728115333</v>
      </c>
      <c r="X74" s="572">
        <f>IF(M74="","",R74)</f>
        <v>6.8108205414347527</v>
      </c>
      <c r="Y74" s="573">
        <f t="shared" si="255"/>
        <v>-2.4961571310519068</v>
      </c>
      <c r="Z74" s="575">
        <f t="shared" si="530"/>
        <v>-0.88205874820307217</v>
      </c>
      <c r="AA74" s="572">
        <f t="shared" si="531"/>
        <v>0.45602628875969431</v>
      </c>
      <c r="AB74" s="572">
        <f t="shared" si="532"/>
        <v>-0.11837393580720951</v>
      </c>
      <c r="AC74" s="579">
        <f>IF(M74="","",SQRT(Z74^2+AA74^2+AB74^2))</f>
        <v>1</v>
      </c>
      <c r="AD74" s="580">
        <f>IF(M74="","",Z74*(1/SQRT(Z74^2+AA74^2+AB74^2)))</f>
        <v>-0.88205874820307217</v>
      </c>
      <c r="AE74" s="572">
        <f>IF(M74="","",AA74*(1/SQRT(Z74^2+AA74^2+AB74^2)))</f>
        <v>0.45602628875969431</v>
      </c>
      <c r="AF74" s="576">
        <f>IF(M74="","",AB74*(1/SQRT(Z74^2+AA74^2+AB74^2)))</f>
        <v>-0.11837393580720951</v>
      </c>
      <c r="AG74" s="545">
        <f>IF(M74="","",DEGREES(ATAN2(-AF74,AE74)))</f>
        <v>75.448487651065619</v>
      </c>
      <c r="AH74" s="546">
        <f>IF(M74="","",DEGREES(ACOS(AD74)))</f>
        <v>151.89171499689496</v>
      </c>
      <c r="AI74" s="528">
        <f>IF(M74="","",DEGREES(-ACOS(-AF74)))</f>
        <v>-83.201732922584839</v>
      </c>
      <c r="AJ74" s="529">
        <f>IF(M74="","",DEGREES(ATAN2(-AE74,AD74)))</f>
        <v>-117.33906198735539</v>
      </c>
      <c r="AK74" s="578">
        <f>IF(M74="","",(COS(RADIANS((90-$Q$8)-W74))*AD74)+(-SIN(RADIANS((90-$Q$8)-W74))*AE74))</f>
        <v>0.90183255427920062</v>
      </c>
      <c r="AL74" s="572">
        <f>IF(M74="","",(SIN(RADIANS((90-$Q$8)-W74))*AD74)+(COS(RADIANS((90-$Q$8)-W74))*AE74))</f>
        <v>-0.41555463583476421</v>
      </c>
      <c r="AM74" s="577">
        <f>IF(M74="","",AF74)</f>
        <v>-0.11837393580720951</v>
      </c>
      <c r="AN74" s="524">
        <f>IF(M74="","",DEGREES(ATAN2(-AM74,AL74)))</f>
        <v>-74.099989301285248</v>
      </c>
      <c r="AO74" s="525">
        <f t="shared" si="525"/>
        <v>25.599996303817825</v>
      </c>
      <c r="AP74" s="528">
        <f>IF(M74="","",DEGREES(ATAN2(AK74,AL74)))</f>
        <v>-24.739736373867039</v>
      </c>
      <c r="AQ74" s="529">
        <f t="shared" si="533"/>
        <v>0.33471748136857671</v>
      </c>
      <c r="AS74" s="932">
        <f t="shared" si="461"/>
        <v>-182.5993271884667</v>
      </c>
      <c r="AT74" s="928">
        <f t="shared" si="534"/>
        <v>-2.3693520322246906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4.1310000000000002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596"/>
        <v>1613</v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>
        <f t="shared" si="256"/>
        <v>0</v>
      </c>
      <c r="B75" s="578">
        <f t="shared" si="515"/>
        <v>-0.34498397369459832</v>
      </c>
      <c r="C75" s="572">
        <f t="shared" si="516"/>
        <v>-6.9789997007141906</v>
      </c>
      <c r="D75" s="576">
        <f t="shared" si="517"/>
        <v>-3.2130592932288291</v>
      </c>
      <c r="E75" s="580">
        <f t="shared" si="518"/>
        <v>0.85992954432524948</v>
      </c>
      <c r="F75" s="572">
        <f t="shared" si="519"/>
        <v>-0.50403258034934673</v>
      </c>
      <c r="G75" s="579">
        <f t="shared" si="520"/>
        <v>8.045083432101946E-2</v>
      </c>
      <c r="H75" s="580">
        <f t="shared" si="521"/>
        <v>0.3125</v>
      </c>
      <c r="I75" s="572">
        <f t="shared" si="522"/>
        <v>0.52</v>
      </c>
      <c r="J75" s="483">
        <f t="shared" si="523"/>
        <v>4.1340000000000003</v>
      </c>
      <c r="K75" s="806">
        <f t="shared" si="524"/>
        <v>1613</v>
      </c>
      <c r="L75" s="309"/>
      <c r="M75" s="164">
        <f t="shared" si="526"/>
        <v>4.1340000000000003</v>
      </c>
      <c r="N75" s="575">
        <f t="shared" si="527"/>
        <v>-0.34498397369459832</v>
      </c>
      <c r="O75" s="572">
        <f t="shared" si="528"/>
        <v>-6.9789997007141906</v>
      </c>
      <c r="P75" s="576">
        <f t="shared" si="529"/>
        <v>-3.2130592932288291</v>
      </c>
      <c r="Q75" s="528">
        <f t="shared" si="609"/>
        <v>267.17007441980616</v>
      </c>
      <c r="R75" s="572">
        <f>IF(M75="","",SQRT(N75^2+O75^2))</f>
        <v>6.9875210743635598</v>
      </c>
      <c r="S75" s="577">
        <f>IF(M75="","",P75)</f>
        <v>-3.2130592932288291</v>
      </c>
      <c r="T75" s="578">
        <f>IF(M75="","",X75*COS(RADIANS(W75)))</f>
        <v>-6.9789996912310759</v>
      </c>
      <c r="U75" s="572">
        <f>IF(M75="","",X75*SIN(RADIANS(W75)))</f>
        <v>0.34498416553723499</v>
      </c>
      <c r="V75" s="579">
        <f>IF(M75="","",Y75)</f>
        <v>-3.2130592932288291</v>
      </c>
      <c r="W75" s="528">
        <f t="shared" si="253"/>
        <v>177.17007284482781</v>
      </c>
      <c r="X75" s="572">
        <f>IF(M75="","",R75)</f>
        <v>6.9875210743635598</v>
      </c>
      <c r="Y75" s="573">
        <f t="shared" si="255"/>
        <v>-3.2130592932288291</v>
      </c>
      <c r="Z75" s="575">
        <f t="shared" si="530"/>
        <v>-0.85992954432524948</v>
      </c>
      <c r="AA75" s="572">
        <f t="shared" si="531"/>
        <v>0.50403258034934673</v>
      </c>
      <c r="AB75" s="572">
        <f t="shared" si="532"/>
        <v>-8.045083432101946E-2</v>
      </c>
      <c r="AC75" s="579">
        <f>IF(M75="","",SQRT(Z75^2+AA75^2+AB75^2))</f>
        <v>1</v>
      </c>
      <c r="AD75" s="580">
        <f>IF(M75="","",Z75*(1/SQRT(Z75^2+AA75^2+AB75^2)))</f>
        <v>-0.85992954432524948</v>
      </c>
      <c r="AE75" s="572">
        <f>IF(M75="","",AA75*(1/SQRT(Z75^2+AA75^2+AB75^2)))</f>
        <v>0.50403258034934673</v>
      </c>
      <c r="AF75" s="576">
        <f>IF(M75="","",AB75*(1/SQRT(Z75^2+AA75^2+AB75^2)))</f>
        <v>-8.045083432101946E-2</v>
      </c>
      <c r="AG75" s="545">
        <f>IF(M75="","",DEGREES(ATAN2(-AF75,AE75)))</f>
        <v>80.931268770004564</v>
      </c>
      <c r="AH75" s="546">
        <f>IF(M75="","",DEGREES(ACOS(AD75)))</f>
        <v>149.30867305275541</v>
      </c>
      <c r="AI75" s="528">
        <f>IF(M75="","",DEGREES(-ACOS(-AF75)))</f>
        <v>-85.385519831350237</v>
      </c>
      <c r="AJ75" s="529">
        <f>IF(M75="","",DEGREES(ATAN2(-AE75,AD75)))</f>
        <v>-120.37594983696798</v>
      </c>
      <c r="AK75" s="578">
        <f>IF(M75="","",(COS(RADIANS((90-$Q$8)-W75))*AD75)+(-SIN(RADIANS((90-$Q$8)-W75))*AE75))</f>
        <v>0.88376566298716042</v>
      </c>
      <c r="AL75" s="572">
        <f>IF(M75="","",(SIN(RADIANS((90-$Q$8)-W75))*AD75)+(COS(RADIANS((90-$Q$8)-W75))*AE75))</f>
        <v>-0.46096194656600098</v>
      </c>
      <c r="AM75" s="577">
        <f>IF(M75="","",AF75)</f>
        <v>-8.045083432101946E-2</v>
      </c>
      <c r="AN75" s="524">
        <f>IF(M75="","",DEGREES(ATAN2(-AM75,AL75)))</f>
        <v>-80.099988434992554</v>
      </c>
      <c r="AO75" s="525">
        <f t="shared" si="525"/>
        <v>27.899995971738971</v>
      </c>
      <c r="AP75" s="528">
        <f>IF(M75="","",DEGREES(ATAN2(AK75,AL75)))</f>
        <v>-27.546024256774139</v>
      </c>
      <c r="AQ75" s="529">
        <f t="shared" si="533"/>
        <v>0.32625332624598946</v>
      </c>
      <c r="AS75" s="932">
        <f t="shared" ref="AS75:AS106" si="632">IF(G75="","",IF(AND(W75&lt;(AS74+180),W75&gt;(AS74-180)),W75,IF(W75&gt;(AS74+180),W75-360,IF(W75&lt;(AS74-180),W75+360,"Error"))))</f>
        <v>-182.82992715517219</v>
      </c>
      <c r="AT75" s="928">
        <f t="shared" si="534"/>
        <v>-3.0860940555358449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4.1340000000000003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596"/>
        <v>1613</v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>
        <f t="shared" si="256"/>
        <v>0</v>
      </c>
      <c r="B76" s="578">
        <f t="shared" si="515"/>
        <v>-0.36885544996704434</v>
      </c>
      <c r="C76" s="572">
        <f t="shared" si="516"/>
        <v>-7.0897327285004081</v>
      </c>
      <c r="D76" s="576">
        <f t="shared" si="517"/>
        <v>-3.9580615401556059</v>
      </c>
      <c r="E76" s="580">
        <f t="shared" si="518"/>
        <v>0.82735973404697927</v>
      </c>
      <c r="F76" s="572">
        <f t="shared" si="519"/>
        <v>-0.56050876103760616</v>
      </c>
      <c r="G76" s="579">
        <f t="shared" si="520"/>
        <v>3.6135844777718251E-2</v>
      </c>
      <c r="H76" s="580">
        <f t="shared" si="521"/>
        <v>0.3125</v>
      </c>
      <c r="I76" s="572">
        <f t="shared" si="522"/>
        <v>0.52</v>
      </c>
      <c r="J76" s="483">
        <f t="shared" si="523"/>
        <v>4.1369999999999996</v>
      </c>
      <c r="K76" s="806">
        <f t="shared" si="524"/>
        <v>1613</v>
      </c>
      <c r="L76" s="309"/>
      <c r="M76" s="164">
        <f t="shared" si="526"/>
        <v>4.1369999999999996</v>
      </c>
      <c r="N76" s="575">
        <f t="shared" si="527"/>
        <v>-0.36885544996704434</v>
      </c>
      <c r="O76" s="572">
        <f t="shared" si="528"/>
        <v>-7.0897327285004081</v>
      </c>
      <c r="P76" s="576">
        <f t="shared" si="529"/>
        <v>-3.9580615401556059</v>
      </c>
      <c r="Q76" s="528">
        <f t="shared" si="609"/>
        <v>267.02177444121804</v>
      </c>
      <c r="R76" s="572">
        <f t="shared" si="101"/>
        <v>7.0993214115533769</v>
      </c>
      <c r="S76" s="577">
        <f t="shared" si="102"/>
        <v>-3.9580615401556059</v>
      </c>
      <c r="T76" s="578">
        <f t="shared" si="103"/>
        <v>-7.089732718361101</v>
      </c>
      <c r="U76" s="572">
        <f t="shared" si="104"/>
        <v>0.36885564485356975</v>
      </c>
      <c r="V76" s="579">
        <f t="shared" si="141"/>
        <v>-3.9580615401556059</v>
      </c>
      <c r="W76" s="528">
        <f t="shared" si="253"/>
        <v>177.0217728662397</v>
      </c>
      <c r="X76" s="572">
        <f t="shared" si="105"/>
        <v>7.0993214115533769</v>
      </c>
      <c r="Y76" s="573">
        <f t="shared" ref="Y76:Y129" si="733">IF(M76="","",S76)</f>
        <v>-3.9580615401556059</v>
      </c>
      <c r="Z76" s="575">
        <f t="shared" si="530"/>
        <v>-0.82735973404697927</v>
      </c>
      <c r="AA76" s="572">
        <f t="shared" si="531"/>
        <v>0.56050876103760616</v>
      </c>
      <c r="AB76" s="572">
        <f t="shared" si="532"/>
        <v>-3.6135844777718251E-2</v>
      </c>
      <c r="AC76" s="579">
        <f t="shared" si="106"/>
        <v>1</v>
      </c>
      <c r="AD76" s="580">
        <f t="shared" si="142"/>
        <v>-0.82735973404697927</v>
      </c>
      <c r="AE76" s="572">
        <f t="shared" si="107"/>
        <v>0.56050876103760616</v>
      </c>
      <c r="AF76" s="576">
        <f t="shared" si="108"/>
        <v>-3.6135844777718251E-2</v>
      </c>
      <c r="AG76" s="545">
        <f t="shared" si="109"/>
        <v>86.3112618481711</v>
      </c>
      <c r="AH76" s="546">
        <f t="shared" si="110"/>
        <v>145.82846646386801</v>
      </c>
      <c r="AI76" s="528">
        <f t="shared" si="111"/>
        <v>-87.92911774548044</v>
      </c>
      <c r="AJ76" s="529">
        <f t="shared" si="112"/>
        <v>-124.11633668893164</v>
      </c>
      <c r="AK76" s="578">
        <f t="shared" si="238"/>
        <v>0.855364300888943</v>
      </c>
      <c r="AL76" s="572">
        <f t="shared" si="113"/>
        <v>-0.51676504669624301</v>
      </c>
      <c r="AM76" s="577">
        <f t="shared" si="114"/>
        <v>-3.6135844777718251E-2</v>
      </c>
      <c r="AN76" s="524">
        <f t="shared" si="115"/>
        <v>-85.999987583138065</v>
      </c>
      <c r="AO76" s="525">
        <f t="shared" si="525"/>
        <v>31.19999549527801</v>
      </c>
      <c r="AP76" s="528">
        <f t="shared" si="117"/>
        <v>-31.138111130149674</v>
      </c>
      <c r="AQ76" s="529">
        <f t="shared" si="533"/>
        <v>0.32111558703747417</v>
      </c>
      <c r="AS76" s="932">
        <f t="shared" si="632"/>
        <v>-182.9782271337603</v>
      </c>
      <c r="AT76" s="928">
        <f t="shared" si="534"/>
        <v>-3.8309933163663801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4.1369999999999996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1613</v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256"/>
        <v>0</v>
      </c>
      <c r="B77" s="578">
        <f t="shared" si="515"/>
        <v>-0.37663693140811461</v>
      </c>
      <c r="C77" s="572">
        <f t="shared" si="516"/>
        <v>-7.1249736633263616</v>
      </c>
      <c r="D77" s="576">
        <f t="shared" si="517"/>
        <v>-4.7181638326241195</v>
      </c>
      <c r="E77" s="580">
        <f t="shared" si="518"/>
        <v>0.8148828736090673</v>
      </c>
      <c r="F77" s="572">
        <f t="shared" si="519"/>
        <v>-0.57932392040286884</v>
      </c>
      <c r="G77" s="579">
        <f t="shared" si="520"/>
        <v>1.8700201808521957E-2</v>
      </c>
      <c r="H77" s="580">
        <f t="shared" si="521"/>
        <v>0.3125</v>
      </c>
      <c r="I77" s="572">
        <f t="shared" si="522"/>
        <v>0.52</v>
      </c>
      <c r="J77" s="483">
        <f t="shared" si="523"/>
        <v>4.1399999999999997</v>
      </c>
      <c r="K77" s="806">
        <f t="shared" si="524"/>
        <v>1613</v>
      </c>
      <c r="L77" s="309"/>
      <c r="M77" s="164">
        <f t="shared" si="526"/>
        <v>4.1399999999999997</v>
      </c>
      <c r="N77" s="575">
        <f t="shared" si="527"/>
        <v>-0.37663693140811461</v>
      </c>
      <c r="O77" s="572">
        <f t="shared" si="528"/>
        <v>-7.1249736633263616</v>
      </c>
      <c r="P77" s="576">
        <f t="shared" si="529"/>
        <v>-4.7181638326241195</v>
      </c>
      <c r="Q77" s="528">
        <f t="shared" si="609"/>
        <v>266.97407444810506</v>
      </c>
      <c r="R77" s="572">
        <f t="shared" si="101"/>
        <v>7.134921518923302</v>
      </c>
      <c r="S77" s="577">
        <f t="shared" si="102"/>
        <v>-4.7181638326241195</v>
      </c>
      <c r="T77" s="578">
        <f t="shared" si="103"/>
        <v>-7.1249736529731527</v>
      </c>
      <c r="U77" s="572">
        <f t="shared" si="104"/>
        <v>0.37663712726336379</v>
      </c>
      <c r="V77" s="579">
        <f t="shared" si="141"/>
        <v>-4.7181638326241195</v>
      </c>
      <c r="W77" s="528">
        <f t="shared" si="253"/>
        <v>176.97407287312672</v>
      </c>
      <c r="X77" s="572">
        <f t="shared" si="105"/>
        <v>7.134921518923302</v>
      </c>
      <c r="Y77" s="573">
        <f t="shared" si="733"/>
        <v>-4.7181638326241195</v>
      </c>
      <c r="Z77" s="575">
        <f t="shared" si="530"/>
        <v>-0.8148828736090673</v>
      </c>
      <c r="AA77" s="572">
        <f t="shared" si="531"/>
        <v>0.57932392040286884</v>
      </c>
      <c r="AB77" s="572">
        <f t="shared" si="532"/>
        <v>-1.8700201808521957E-2</v>
      </c>
      <c r="AC77" s="579">
        <f t="shared" si="106"/>
        <v>1</v>
      </c>
      <c r="AD77" s="580">
        <f t="shared" si="142"/>
        <v>-0.8148828736090673</v>
      </c>
      <c r="AE77" s="572">
        <f t="shared" si="107"/>
        <v>0.57932392040286884</v>
      </c>
      <c r="AF77" s="576">
        <f t="shared" si="108"/>
        <v>-1.8700201808521957E-2</v>
      </c>
      <c r="AG77" s="545">
        <f t="shared" si="109"/>
        <v>88.151171215012809</v>
      </c>
      <c r="AH77" s="546">
        <f t="shared" si="110"/>
        <v>144.57578234385838</v>
      </c>
      <c r="AI77" s="528">
        <f t="shared" si="111"/>
        <v>-88.92849490368927</v>
      </c>
      <c r="AJ77" s="529">
        <f t="shared" si="112"/>
        <v>-125.41012730482609</v>
      </c>
      <c r="AK77" s="578">
        <f t="shared" si="238"/>
        <v>0.84432796925021414</v>
      </c>
      <c r="AL77" s="572">
        <f t="shared" si="113"/>
        <v>-0.53550031073205751</v>
      </c>
      <c r="AM77" s="577">
        <f t="shared" si="114"/>
        <v>-1.8700201808521957E-2</v>
      </c>
      <c r="AN77" s="524">
        <f t="shared" si="115"/>
        <v>-87.999987294373838</v>
      </c>
      <c r="AO77" s="525">
        <f t="shared" si="525"/>
        <v>32.399995322019443</v>
      </c>
      <c r="AP77" s="528">
        <f t="shared" si="117"/>
        <v>-32.384201752931133</v>
      </c>
      <c r="AQ77" s="529">
        <f t="shared" si="533"/>
        <v>0.31951339537350448</v>
      </c>
      <c r="AS77" s="932">
        <f t="shared" si="632"/>
        <v>-183.02592712687328</v>
      </c>
      <c r="AT77" s="928">
        <f t="shared" si="534"/>
        <v>-4.5910624838396767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1"/>
        <v>4.1399999999999997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596"/>
        <v>1613</v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>
        <f t="shared" si="256"/>
        <v>0</v>
      </c>
      <c r="B78" s="578">
        <f t="shared" si="515"/>
        <v>-1.1551599112972641</v>
      </c>
      <c r="C78" s="572">
        <f t="shared" si="516"/>
        <v>-3.8858255640953652</v>
      </c>
      <c r="D78" s="576">
        <f t="shared" si="517"/>
        <v>-0.20909901167198314</v>
      </c>
      <c r="E78" s="580">
        <f t="shared" si="518"/>
        <v>-2.8845555326422904E-2</v>
      </c>
      <c r="F78" s="572">
        <f t="shared" si="519"/>
        <v>-9.7033142512765722E-2</v>
      </c>
      <c r="G78" s="579">
        <f t="shared" si="520"/>
        <v>0.99486305750691528</v>
      </c>
      <c r="H78" s="580">
        <f t="shared" si="521"/>
        <v>0.255</v>
      </c>
      <c r="I78" s="572">
        <f t="shared" si="522"/>
        <v>0.41499999999999992</v>
      </c>
      <c r="J78" s="483">
        <f t="shared" si="523"/>
        <v>4.2160000000000002</v>
      </c>
      <c r="K78" s="806" t="str">
        <f t="shared" si="524"/>
        <v>CPS-32193r1</v>
      </c>
      <c r="L78" s="309"/>
      <c r="M78" s="164">
        <f t="shared" si="526"/>
        <v>4.2160000000000002</v>
      </c>
      <c r="N78" s="575">
        <f t="shared" si="527"/>
        <v>-1.1551599112972641</v>
      </c>
      <c r="O78" s="572">
        <f t="shared" si="528"/>
        <v>-3.8858255640953652</v>
      </c>
      <c r="P78" s="576">
        <f t="shared" si="529"/>
        <v>-0.20909901167198314</v>
      </c>
      <c r="Q78" s="528">
        <f t="shared" si="609"/>
        <v>253.44408729691997</v>
      </c>
      <c r="R78" s="572">
        <f>IF(M78="","",SQRT(N78^2+O78^2))</f>
        <v>4.0538913077739718</v>
      </c>
      <c r="S78" s="577">
        <f>IF(M78="","",P78)</f>
        <v>-0.20909901167198314</v>
      </c>
      <c r="T78" s="578">
        <f>IF(M78="","",X78*COS(RADIANS(W78)))</f>
        <v>-3.8858255323416837</v>
      </c>
      <c r="U78" s="572">
        <f>IF(M78="","",X78*SIN(RADIANS(W78)))</f>
        <v>1.1551600181130024</v>
      </c>
      <c r="V78" s="579">
        <f>IF(M78="","",Y78)</f>
        <v>-0.20909901167198314</v>
      </c>
      <c r="W78" s="528">
        <f t="shared" si="253"/>
        <v>163.44408572194163</v>
      </c>
      <c r="X78" s="572">
        <f>IF(M78="","",R78)</f>
        <v>4.0538913077739718</v>
      </c>
      <c r="Y78" s="573">
        <f t="shared" si="733"/>
        <v>-0.20909901167198314</v>
      </c>
      <c r="Z78" s="575">
        <f t="shared" si="530"/>
        <v>2.8845555326422904E-2</v>
      </c>
      <c r="AA78" s="572">
        <f t="shared" si="531"/>
        <v>9.7033142512765722E-2</v>
      </c>
      <c r="AB78" s="572">
        <f t="shared" si="532"/>
        <v>-0.99486305750691528</v>
      </c>
      <c r="AC78" s="579">
        <f>IF(M78="","",SQRT(Z78^2+AA78^2+AB78^2))</f>
        <v>1</v>
      </c>
      <c r="AD78" s="580">
        <f>IF(M78="","",Z78*(1/SQRT(Z78^2+AA78^2+AB78^2)))</f>
        <v>2.8845555326422904E-2</v>
      </c>
      <c r="AE78" s="572">
        <f>IF(M78="","",AA78*(1/SQRT(Z78^2+AA78^2+AB78^2)))</f>
        <v>9.7033142512765722E-2</v>
      </c>
      <c r="AF78" s="576">
        <f>IF(M78="","",AB78*(1/SQRT(Z78^2+AA78^2+AB78^2)))</f>
        <v>-0.99486305750691528</v>
      </c>
      <c r="AG78" s="545">
        <f>IF(M78="","",DEGREES(ATAN2(-AF78,AE78)))</f>
        <v>5.570676428614898</v>
      </c>
      <c r="AH78" s="546">
        <f>IF(M78="","",DEGREES(ACOS(AD78)))</f>
        <v>88.347042139664396</v>
      </c>
      <c r="AI78" s="528">
        <f>IF(M78="","",DEGREES(-ACOS(-AF78)))</f>
        <v>-5.8099991611398298</v>
      </c>
      <c r="AJ78" s="529">
        <f>IF(M78="","",DEGREES(ATAN2(-AE78,AD78)))</f>
        <v>163.44408729691995</v>
      </c>
      <c r="AK78" s="578">
        <f>IF(M78="","",(COS(RADIANS((90-$Q$8)-W78))*AD78)+(-SIN(RADIANS((90-$Q$8)-W78))*AE78))</f>
        <v>-5.5511151231257827E-17</v>
      </c>
      <c r="AL78" s="572">
        <f>IF(M78="","",(SIN(RADIANS((90-$Q$8)-W78))*AD78)+(COS(RADIANS((90-$Q$8)-W78))*AE78))</f>
        <v>-0.10122992051756449</v>
      </c>
      <c r="AM78" s="577">
        <f>IF(M78="","",AF78)</f>
        <v>-0.99486305750691528</v>
      </c>
      <c r="AN78" s="524">
        <f>IF(M78="","",DEGREES(ATAN2(-AM78,AL78)))</f>
        <v>-5.8099991611399071</v>
      </c>
      <c r="AO78" s="525">
        <f t="shared" si="525"/>
        <v>0</v>
      </c>
      <c r="AP78" s="528">
        <f>IF(M78="","",DEGREES(ATAN2(AK78,AL78)))</f>
        <v>-90.000000000000028</v>
      </c>
      <c r="AQ78" s="529">
        <f t="shared" si="533"/>
        <v>0.56233708766250656</v>
      </c>
      <c r="AS78" s="932">
        <f t="shared" si="632"/>
        <v>-196.55591427805837</v>
      </c>
      <c r="AT78" s="928">
        <f t="shared" si="534"/>
        <v>-7.2601838476994751E-2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>Nose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4.2160000000000002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4.1159999999999997</v>
      </c>
      <c r="IK78" s="677" cm="1">
        <f t="array" ref="IK78">IFERROR(ROUND(VALUE(IF($IJ78&lt;1,$IJ78+LARGE((IF($M$9:$M$150="",0,$M$9:$M$150)-MOD(IF($M$9:$M$150="",0,$M$9:$M$150),1)),1),$IJ78)),4),"")</f>
        <v>4.1159999999999997</v>
      </c>
      <c r="IL78" s="482">
        <f t="shared" si="596"/>
        <v>1613</v>
      </c>
      <c r="IM78" s="482" t="str">
        <f t="shared" si="732"/>
        <v>CPS-32193r1</v>
      </c>
      <c r="IN78" s="670">
        <f t="shared" si="597"/>
        <v>16.497386722745603</v>
      </c>
      <c r="IO78" s="702">
        <v>4.3400351981640099E-2</v>
      </c>
      <c r="IP78" s="5">
        <f t="shared" si="598"/>
        <v>0.94</v>
      </c>
      <c r="IQ78" s="714">
        <v>470</v>
      </c>
      <c r="IR78" s="9">
        <f t="shared" si="599"/>
        <v>-4.049712213932037</v>
      </c>
      <c r="IS78" s="5">
        <f t="shared" si="600"/>
        <v>-0.21085023856631963</v>
      </c>
      <c r="IT78" s="5">
        <f t="shared" si="601"/>
        <v>0.3125</v>
      </c>
      <c r="IU78" s="5">
        <f t="shared" si="602"/>
        <v>0.30142419644733059</v>
      </c>
      <c r="IV78" s="670">
        <f t="shared" si="603"/>
        <v>14.999997834268299</v>
      </c>
      <c r="IW78" s="9">
        <f t="shared" si="604"/>
        <v>-4.0538913077739718</v>
      </c>
      <c r="IX78" s="5">
        <f t="shared" si="605"/>
        <v>-0.20909901167198314</v>
      </c>
      <c r="IY78" s="5">
        <f t="shared" si="606"/>
        <v>0.255</v>
      </c>
      <c r="IZ78" s="5">
        <f t="shared" si="607"/>
        <v>0.255</v>
      </c>
      <c r="JA78" s="705">
        <f t="shared" si="608"/>
        <v>5.8099991611399071</v>
      </c>
    </row>
    <row r="79" spans="1:261" ht="15" customHeight="1" x14ac:dyDescent="0.25">
      <c r="A79" s="75">
        <f t="shared" si="256"/>
        <v>0</v>
      </c>
      <c r="B79" s="578">
        <f t="shared" si="515"/>
        <v>-1.1894798289112185</v>
      </c>
      <c r="C79" s="572">
        <f t="shared" si="516"/>
        <v>-4.6566525826411329</v>
      </c>
      <c r="D79" s="576">
        <f t="shared" si="517"/>
        <v>-0.37771979623144186</v>
      </c>
      <c r="E79" s="580">
        <f t="shared" si="518"/>
        <v>-8.3224374612669086E-2</v>
      </c>
      <c r="F79" s="572">
        <f t="shared" si="519"/>
        <v>-0.32581216558629406</v>
      </c>
      <c r="G79" s="579">
        <f t="shared" si="520"/>
        <v>0.94176437404814772</v>
      </c>
      <c r="H79" s="580">
        <f t="shared" si="521"/>
        <v>0.255</v>
      </c>
      <c r="I79" s="572">
        <f t="shared" si="522"/>
        <v>0.41499999999999992</v>
      </c>
      <c r="J79" s="483">
        <f t="shared" si="523"/>
        <v>4.2190000000000003</v>
      </c>
      <c r="K79" s="806" t="str">
        <f t="shared" si="524"/>
        <v>CPS-32193r1</v>
      </c>
      <c r="L79" s="309"/>
      <c r="M79" s="164">
        <f t="shared" si="526"/>
        <v>4.2190000000000003</v>
      </c>
      <c r="N79" s="575">
        <f t="shared" si="527"/>
        <v>-1.1894798289112185</v>
      </c>
      <c r="O79" s="572">
        <f t="shared" si="528"/>
        <v>-4.6566525826411329</v>
      </c>
      <c r="P79" s="576">
        <f t="shared" si="529"/>
        <v>-0.37771979623144186</v>
      </c>
      <c r="Q79" s="528">
        <f t="shared" si="609"/>
        <v>255.67095881811326</v>
      </c>
      <c r="R79" s="572">
        <f>IF(M79="","",SQRT(N79^2+O79^2))</f>
        <v>4.8061705690502698</v>
      </c>
      <c r="S79" s="577">
        <f>IF(M79="","",P79)</f>
        <v>-0.37771979623144186</v>
      </c>
      <c r="T79" s="578">
        <f>IF(M79="","",X79*COS(RADIANS(W79)))</f>
        <v>-4.6566525499440461</v>
      </c>
      <c r="U79" s="572">
        <f>IF(M79="","",X79*SIN(RADIANS(W79)))</f>
        <v>1.1894799569158803</v>
      </c>
      <c r="V79" s="579">
        <f>IF(M79="","",Y79)</f>
        <v>-0.37771979623144186</v>
      </c>
      <c r="W79" s="528">
        <f t="shared" ref="W79:W129" si="735">IF(M79="","",IF(Q79-$Q$8&lt;0,360+Q79-$Q$8,Q79-$Q$8))</f>
        <v>165.67095724313492</v>
      </c>
      <c r="X79" s="572">
        <f>IF(M79="","",R79)</f>
        <v>4.8061705690502698</v>
      </c>
      <c r="Y79" s="573">
        <f t="shared" si="733"/>
        <v>-0.37771979623144186</v>
      </c>
      <c r="Z79" s="575">
        <f t="shared" si="530"/>
        <v>8.3224374612669086E-2</v>
      </c>
      <c r="AA79" s="572">
        <f t="shared" si="531"/>
        <v>0.32581216558629406</v>
      </c>
      <c r="AB79" s="572">
        <f t="shared" si="532"/>
        <v>-0.94176437404814772</v>
      </c>
      <c r="AC79" s="579">
        <f>IF(M79="","",SQRT(Z79^2+AA79^2+AB79^2))</f>
        <v>1</v>
      </c>
      <c r="AD79" s="580">
        <f>IF(M79="","",Z79*(1/SQRT(Z79^2+AA79^2+AB79^2)))</f>
        <v>8.3224374612669086E-2</v>
      </c>
      <c r="AE79" s="572">
        <f>IF(M79="","",AA79*(1/SQRT(Z79^2+AA79^2+AB79^2)))</f>
        <v>0.32581216558629406</v>
      </c>
      <c r="AF79" s="576">
        <f>IF(M79="","",AB79*(1/SQRT(Z79^2+AA79^2+AB79^2)))</f>
        <v>-0.94176437404814772</v>
      </c>
      <c r="AG79" s="545">
        <f>IF(M79="","",DEGREES(ATAN2(-AF79,AE79)))</f>
        <v>19.083538631261948</v>
      </c>
      <c r="AH79" s="546">
        <f>IF(M79="","",DEGREES(ACOS(AD79)))</f>
        <v>85.226072789213958</v>
      </c>
      <c r="AI79" s="528">
        <f>IF(M79="","",DEGREES(-ACOS(-AF79)))</f>
        <v>-19.649997162891434</v>
      </c>
      <c r="AJ79" s="529">
        <f>IF(M79="","",DEGREES(ATAN2(-AE79,AD79)))</f>
        <v>165.67095881811323</v>
      </c>
      <c r="AK79" s="578">
        <f>IF(M79="","",(COS(RADIANS((90-$Q$8)-W79))*AD79)+(-SIN(RADIANS((90-$Q$8)-W79))*AE79))</f>
        <v>-4.163336342344337E-17</v>
      </c>
      <c r="AL79" s="572">
        <f>IF(M79="","",(SIN(RADIANS((90-$Q$8)-W79))*AD79)+(COS(RADIANS((90-$Q$8)-W79))*AE79))</f>
        <v>-0.33627349549689545</v>
      </c>
      <c r="AM79" s="577">
        <f>IF(M79="","",AF79)</f>
        <v>-0.94176437404814772</v>
      </c>
      <c r="AN79" s="524">
        <f>IF(M79="","",DEGREES(ATAN2(-AM79,AL79)))</f>
        <v>-19.649997162891438</v>
      </c>
      <c r="AO79" s="525">
        <f t="shared" si="525"/>
        <v>0</v>
      </c>
      <c r="AP79" s="528">
        <f>IF(M79="","",DEGREES(ATAN2(AK79,AL79)))</f>
        <v>-90</v>
      </c>
      <c r="AQ79" s="529">
        <f t="shared" si="533"/>
        <v>0.47432244025621634</v>
      </c>
      <c r="AS79" s="932">
        <f t="shared" si="632"/>
        <v>-194.32904275686508</v>
      </c>
      <c r="AT79" s="928">
        <f t="shared" si="534"/>
        <v>-0.2427690615928377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>Nose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4.2190000000000003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4.1189999999999998</v>
      </c>
      <c r="IK79" s="677" cm="1">
        <f t="array" ref="IK79">IFERROR(ROUND(VALUE(IF($IJ79&lt;1,$IJ79+LARGE((IF($M$9:$M$150="",0,$M$9:$M$150)-MOD(IF($M$9:$M$150="",0,$M$9:$M$150),1)),1),$IJ79)),4),"")</f>
        <v>4.1189999999999998</v>
      </c>
      <c r="IL79" s="482">
        <f t="shared" si="596"/>
        <v>1613</v>
      </c>
      <c r="IM79" s="482" t="str">
        <f t="shared" si="732"/>
        <v>CPS-32193r1</v>
      </c>
      <c r="IN79" s="670">
        <f t="shared" si="597"/>
        <v>13.863715260286938</v>
      </c>
      <c r="IO79" s="702">
        <v>4.0952187671585698E-2</v>
      </c>
      <c r="IP79" s="5">
        <f t="shared" si="598"/>
        <v>1.1200000000000001</v>
      </c>
      <c r="IQ79" s="714">
        <v>560</v>
      </c>
      <c r="IR79" s="9">
        <f t="shared" si="599"/>
        <v>-4.7994144750340562</v>
      </c>
      <c r="IS79" s="5">
        <f t="shared" si="600"/>
        <v>-0.3786507446526457</v>
      </c>
      <c r="IT79" s="5">
        <f t="shared" si="601"/>
        <v>0.3125</v>
      </c>
      <c r="IU79" s="5">
        <f t="shared" si="602"/>
        <v>0.30039428345367691</v>
      </c>
      <c r="IV79" s="670">
        <f t="shared" si="603"/>
        <v>26.999996101682843</v>
      </c>
      <c r="IW79" s="9">
        <f t="shared" si="604"/>
        <v>-4.8061705690502698</v>
      </c>
      <c r="IX79" s="5">
        <f t="shared" si="605"/>
        <v>-0.37771979623144186</v>
      </c>
      <c r="IY79" s="5">
        <f t="shared" si="606"/>
        <v>0.255</v>
      </c>
      <c r="IZ79" s="5">
        <f t="shared" si="607"/>
        <v>0.255</v>
      </c>
      <c r="JA79" s="705">
        <f t="shared" si="608"/>
        <v>19.649997162891438</v>
      </c>
    </row>
    <row r="80" spans="1:261" ht="15" customHeight="1" x14ac:dyDescent="0.25">
      <c r="A80" s="75">
        <f t="shared" si="256"/>
        <v>0</v>
      </c>
      <c r="B80" s="578">
        <f t="shared" si="515"/>
        <v>-1.2506086325707058</v>
      </c>
      <c r="C80" s="572">
        <f t="shared" si="516"/>
        <v>-5.3415532676769359</v>
      </c>
      <c r="D80" s="576">
        <f t="shared" si="517"/>
        <v>-0.71598554347302801</v>
      </c>
      <c r="E80" s="580">
        <f t="shared" si="518"/>
        <v>-0.12509068210304364</v>
      </c>
      <c r="F80" s="572">
        <f t="shared" si="519"/>
        <v>-0.53428268791809408</v>
      </c>
      <c r="G80" s="579">
        <f t="shared" si="520"/>
        <v>0.83599900157955442</v>
      </c>
      <c r="H80" s="580">
        <f t="shared" si="521"/>
        <v>0.255</v>
      </c>
      <c r="I80" s="572">
        <f t="shared" si="522"/>
        <v>0.41499999999999992</v>
      </c>
      <c r="J80" s="483">
        <f t="shared" si="523"/>
        <v>4.2220000000000004</v>
      </c>
      <c r="K80" s="806" t="str">
        <f t="shared" si="524"/>
        <v>CPS-32193r1</v>
      </c>
      <c r="L80" s="309"/>
      <c r="M80" s="164">
        <f t="shared" si="526"/>
        <v>4.2220000000000004</v>
      </c>
      <c r="N80" s="575">
        <f t="shared" si="527"/>
        <v>-1.2506086325707058</v>
      </c>
      <c r="O80" s="572">
        <f t="shared" si="528"/>
        <v>-5.3415532676769359</v>
      </c>
      <c r="P80" s="576">
        <f t="shared" si="529"/>
        <v>-0.71598554347302801</v>
      </c>
      <c r="Q80" s="528">
        <f t="shared" si="609"/>
        <v>256.82279042948699</v>
      </c>
      <c r="R80" s="572">
        <f t="shared" si="101"/>
        <v>5.4860015733948275</v>
      </c>
      <c r="S80" s="577">
        <f t="shared" si="102"/>
        <v>-0.71598554347302801</v>
      </c>
      <c r="T80" s="578">
        <f t="shared" si="103"/>
        <v>-5.3415532332995053</v>
      </c>
      <c r="U80" s="572">
        <f t="shared" si="104"/>
        <v>1.2506087794023033</v>
      </c>
      <c r="V80" s="579">
        <f t="shared" si="141"/>
        <v>-0.71598554347302801</v>
      </c>
      <c r="W80" s="528">
        <f t="shared" si="735"/>
        <v>166.82278885450864</v>
      </c>
      <c r="X80" s="572">
        <f t="shared" si="105"/>
        <v>5.4860015733948275</v>
      </c>
      <c r="Y80" s="573">
        <f t="shared" si="733"/>
        <v>-0.71598554347302801</v>
      </c>
      <c r="Z80" s="575">
        <f t="shared" si="530"/>
        <v>0.12509068210304364</v>
      </c>
      <c r="AA80" s="572">
        <f t="shared" si="531"/>
        <v>0.53428268791809408</v>
      </c>
      <c r="AB80" s="572">
        <f t="shared" si="532"/>
        <v>-0.83599900157955442</v>
      </c>
      <c r="AC80" s="579">
        <f t="shared" si="106"/>
        <v>1</v>
      </c>
      <c r="AD80" s="580">
        <f t="shared" si="142"/>
        <v>0.12509068210304364</v>
      </c>
      <c r="AE80" s="572">
        <f t="shared" si="107"/>
        <v>0.53428268791809408</v>
      </c>
      <c r="AF80" s="576">
        <f t="shared" si="108"/>
        <v>-0.83599900157955442</v>
      </c>
      <c r="AG80" s="545">
        <f t="shared" si="109"/>
        <v>32.582437994870645</v>
      </c>
      <c r="AH80" s="546">
        <f t="shared" si="110"/>
        <v>82.814007413220551</v>
      </c>
      <c r="AI80" s="528">
        <f t="shared" si="111"/>
        <v>-33.279995194963178</v>
      </c>
      <c r="AJ80" s="529">
        <f t="shared" si="112"/>
        <v>166.82279042948699</v>
      </c>
      <c r="AK80" s="578">
        <f t="shared" si="238"/>
        <v>1.8041124150158794E-16</v>
      </c>
      <c r="AL80" s="572">
        <f t="shared" si="113"/>
        <v>-0.54873096263832988</v>
      </c>
      <c r="AM80" s="577">
        <f t="shared" si="114"/>
        <v>-0.83599900157955442</v>
      </c>
      <c r="AN80" s="524">
        <f t="shared" si="115"/>
        <v>-33.279995194963185</v>
      </c>
      <c r="AO80" s="525">
        <f t="shared" si="525"/>
        <v>0</v>
      </c>
      <c r="AP80" s="528">
        <f t="shared" si="117"/>
        <v>-89.999999999999986</v>
      </c>
      <c r="AQ80" s="529">
        <f t="shared" si="533"/>
        <v>0.41554611850192913</v>
      </c>
      <c r="AS80" s="932">
        <f t="shared" si="632"/>
        <v>-193.17721114549136</v>
      </c>
      <c r="AT80" s="928">
        <f t="shared" si="534"/>
        <v>-0.58183469189787784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>Nose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4.2220000000000004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4.1219999999999999</v>
      </c>
      <c r="IK80" s="677" cm="1">
        <f t="array" ref="IK80">IFERROR(ROUND(VALUE(IF($IJ80&lt;1,$IJ80+LARGE((IF($M$9:$M$150="",0,$M$9:$M$150)-MOD(IF($M$9:$M$150="",0,$M$9:$M$150),1)),1),$IJ80)),4),"")</f>
        <v>4.1219999999999999</v>
      </c>
      <c r="IL80" s="482">
        <f t="shared" si="596"/>
        <v>1613</v>
      </c>
      <c r="IM80" s="482" t="str">
        <f t="shared" si="732"/>
        <v>CPS-32193r1</v>
      </c>
      <c r="IN80" s="670">
        <f t="shared" si="597"/>
        <v>12.119183734488502</v>
      </c>
      <c r="IO80" s="702">
        <v>3.9147728481689598E-2</v>
      </c>
      <c r="IP80" s="5">
        <f t="shared" si="598"/>
        <v>1.36</v>
      </c>
      <c r="IQ80" s="714">
        <v>680</v>
      </c>
      <c r="IR80" s="9">
        <f t="shared" si="599"/>
        <v>-5.4776165204914253</v>
      </c>
      <c r="IS80" s="5">
        <f t="shared" si="600"/>
        <v>-0.71455175773010204</v>
      </c>
      <c r="IT80" s="5">
        <f t="shared" si="601"/>
        <v>0.3125</v>
      </c>
      <c r="IU80" s="5">
        <f t="shared" si="602"/>
        <v>0.29916234680257542</v>
      </c>
      <c r="IV80" s="670">
        <f t="shared" si="603"/>
        <v>38.799994397973919</v>
      </c>
      <c r="IW80" s="9">
        <f t="shared" si="604"/>
        <v>-5.4860015733948275</v>
      </c>
      <c r="IX80" s="5">
        <f t="shared" si="605"/>
        <v>-0.71598554347302801</v>
      </c>
      <c r="IY80" s="5">
        <f t="shared" si="606"/>
        <v>0.255</v>
      </c>
      <c r="IZ80" s="5">
        <f t="shared" si="607"/>
        <v>0.255</v>
      </c>
      <c r="JA80" s="705">
        <f t="shared" si="608"/>
        <v>33.279995194963185</v>
      </c>
    </row>
    <row r="81" spans="1:261" ht="15" customHeight="1" x14ac:dyDescent="0.25">
      <c r="A81" s="75">
        <f t="shared" si="256"/>
        <v>0</v>
      </c>
      <c r="B81" s="578">
        <f t="shared" si="515"/>
        <v>-1.32545197866183</v>
      </c>
      <c r="C81" s="572">
        <f t="shared" si="516"/>
        <v>-5.918971612113606</v>
      </c>
      <c r="D81" s="576">
        <f t="shared" si="517"/>
        <v>-1.206298210767641</v>
      </c>
      <c r="E81" s="580">
        <f t="shared" si="518"/>
        <v>-0.15955567756054928</v>
      </c>
      <c r="F81" s="572">
        <f t="shared" si="519"/>
        <v>-0.71251583703991273</v>
      </c>
      <c r="G81" s="579">
        <f t="shared" si="520"/>
        <v>0.68327385997527124</v>
      </c>
      <c r="H81" s="580">
        <f t="shared" si="521"/>
        <v>0.255</v>
      </c>
      <c r="I81" s="572">
        <f t="shared" si="522"/>
        <v>0.41499999999999992</v>
      </c>
      <c r="J81" s="483">
        <f t="shared" si="523"/>
        <v>4.2249999999999996</v>
      </c>
      <c r="K81" s="806" t="str">
        <f t="shared" si="524"/>
        <v>CPS-32193r1</v>
      </c>
      <c r="L81" s="309"/>
      <c r="M81" s="164">
        <f t="shared" si="526"/>
        <v>4.2249999999999996</v>
      </c>
      <c r="N81" s="575">
        <f t="shared" si="527"/>
        <v>-1.32545197866183</v>
      </c>
      <c r="O81" s="572">
        <f t="shared" si="528"/>
        <v>-5.918971612113606</v>
      </c>
      <c r="P81" s="576">
        <f t="shared" si="529"/>
        <v>-1.206298210767641</v>
      </c>
      <c r="Q81" s="528">
        <f t="shared" si="609"/>
        <v>257.37782863688551</v>
      </c>
      <c r="R81" s="572">
        <f t="shared" si="101"/>
        <v>6.0655624547724596</v>
      </c>
      <c r="S81" s="577">
        <f t="shared" si="102"/>
        <v>-1.206298210767641</v>
      </c>
      <c r="T81" s="578">
        <f t="shared" si="103"/>
        <v>-5.9189715756788406</v>
      </c>
      <c r="U81" s="572">
        <f t="shared" si="104"/>
        <v>1.3254521413658245</v>
      </c>
      <c r="V81" s="579">
        <f t="shared" si="141"/>
        <v>-1.206298210767641</v>
      </c>
      <c r="W81" s="528">
        <f t="shared" si="735"/>
        <v>167.37782706190717</v>
      </c>
      <c r="X81" s="572">
        <f t="shared" si="105"/>
        <v>6.0655624547724596</v>
      </c>
      <c r="Y81" s="573">
        <f t="shared" si="733"/>
        <v>-1.206298210767641</v>
      </c>
      <c r="Z81" s="575">
        <f t="shared" si="530"/>
        <v>0.15955567756054928</v>
      </c>
      <c r="AA81" s="572">
        <f t="shared" si="531"/>
        <v>0.71251583703991273</v>
      </c>
      <c r="AB81" s="572">
        <f t="shared" si="532"/>
        <v>-0.68327385997527124</v>
      </c>
      <c r="AC81" s="579">
        <f t="shared" si="106"/>
        <v>1</v>
      </c>
      <c r="AD81" s="580">
        <f t="shared" si="142"/>
        <v>0.15955567756054928</v>
      </c>
      <c r="AE81" s="572">
        <f t="shared" si="107"/>
        <v>0.71251583703991273</v>
      </c>
      <c r="AF81" s="576">
        <f t="shared" si="108"/>
        <v>-0.68327385997527124</v>
      </c>
      <c r="AG81" s="545">
        <f t="shared" si="109"/>
        <v>46.200178520394239</v>
      </c>
      <c r="AH81" s="546">
        <f t="shared" si="110"/>
        <v>80.818892892192466</v>
      </c>
      <c r="AI81" s="528">
        <f t="shared" si="111"/>
        <v>-46.89999322847882</v>
      </c>
      <c r="AJ81" s="529">
        <f t="shared" si="112"/>
        <v>167.37782863688551</v>
      </c>
      <c r="AK81" s="578">
        <f t="shared" si="238"/>
        <v>-1.6653345369377348E-16</v>
      </c>
      <c r="AL81" s="572">
        <f t="shared" si="113"/>
        <v>-0.73016219586780395</v>
      </c>
      <c r="AM81" s="577">
        <f t="shared" si="114"/>
        <v>-0.68327385997527124</v>
      </c>
      <c r="AN81" s="524">
        <f t="shared" si="115"/>
        <v>-46.89999322847882</v>
      </c>
      <c r="AO81" s="525">
        <f t="shared" si="525"/>
        <v>0</v>
      </c>
      <c r="AP81" s="528">
        <f t="shared" si="117"/>
        <v>-90.000000000000014</v>
      </c>
      <c r="AQ81" s="529">
        <f t="shared" si="533"/>
        <v>0.37584213342225037</v>
      </c>
      <c r="AS81" s="932">
        <f t="shared" si="632"/>
        <v>-192.62217293809283</v>
      </c>
      <c r="AT81" s="928">
        <f t="shared" si="534"/>
        <v>-1.072532802392073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4.2249999999999996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4.125</v>
      </c>
      <c r="IK81" s="677" cm="1">
        <f t="array" ref="IK81">IFERROR(ROUND(VALUE(IF($IJ81&lt;1,$IJ81+LARGE((IF($M$9:$M$150="",0,$M$9:$M$150)-MOD(IF($M$9:$M$150="",0,$M$9:$M$150),1)),1),$IJ81)),4),"")</f>
        <v>4.125</v>
      </c>
      <c r="IL81" s="482">
        <f t="shared" si="596"/>
        <v>1613</v>
      </c>
      <c r="IM81" s="482" t="str">
        <f t="shared" si="732"/>
        <v>CPS-32193r1</v>
      </c>
      <c r="IN81" s="670">
        <f t="shared" si="597"/>
        <v>10.940945617068905</v>
      </c>
      <c r="IO81" s="702">
        <v>3.8006973413914097E-2</v>
      </c>
      <c r="IP81" s="5">
        <f t="shared" si="598"/>
        <v>1.64</v>
      </c>
      <c r="IQ81" s="714">
        <v>820</v>
      </c>
      <c r="IR81" s="9">
        <f t="shared" si="599"/>
        <v>-6.0591182743007153</v>
      </c>
      <c r="IS81" s="5">
        <f t="shared" si="600"/>
        <v>-1.1996532207961144</v>
      </c>
      <c r="IT81" s="5">
        <f t="shared" si="601"/>
        <v>0.3125</v>
      </c>
      <c r="IU81" s="5">
        <f t="shared" si="602"/>
        <v>0.29493780239305145</v>
      </c>
      <c r="IV81" s="670">
        <f t="shared" si="603"/>
        <v>50.699992679826764</v>
      </c>
      <c r="IW81" s="9">
        <f t="shared" si="604"/>
        <v>-6.0655624547724596</v>
      </c>
      <c r="IX81" s="5">
        <f t="shared" si="605"/>
        <v>-1.206298210767641</v>
      </c>
      <c r="IY81" s="5">
        <f t="shared" si="606"/>
        <v>0.255</v>
      </c>
      <c r="IZ81" s="5">
        <f t="shared" si="607"/>
        <v>0.255</v>
      </c>
      <c r="JA81" s="705">
        <f t="shared" si="608"/>
        <v>46.89999322847882</v>
      </c>
    </row>
    <row r="82" spans="1:261" ht="15" customHeight="1" x14ac:dyDescent="0.25">
      <c r="A82" s="75">
        <f t="shared" si="256"/>
        <v>0</v>
      </c>
      <c r="B82" s="578">
        <f t="shared" si="515"/>
        <v>-1.398113442646052</v>
      </c>
      <c r="C82" s="572">
        <f t="shared" si="516"/>
        <v>-6.3631429271030227</v>
      </c>
      <c r="D82" s="576">
        <f t="shared" si="517"/>
        <v>-1.8185699194528375</v>
      </c>
      <c r="E82" s="580">
        <f t="shared" si="518"/>
        <v>-0.18683489461491753</v>
      </c>
      <c r="F82" s="572">
        <f t="shared" si="519"/>
        <v>-0.85032952401554418</v>
      </c>
      <c r="G82" s="579">
        <f t="shared" si="520"/>
        <v>0.49196790824375014</v>
      </c>
      <c r="H82" s="580">
        <f t="shared" si="521"/>
        <v>0.255</v>
      </c>
      <c r="I82" s="572">
        <f t="shared" si="522"/>
        <v>0.41499999999999992</v>
      </c>
      <c r="J82" s="483">
        <f t="shared" si="523"/>
        <v>4.2279999999999998</v>
      </c>
      <c r="K82" s="806" t="str">
        <f t="shared" si="524"/>
        <v>CPS-32193r1</v>
      </c>
      <c r="L82" s="309"/>
      <c r="M82" s="164">
        <f t="shared" si="526"/>
        <v>4.2279999999999998</v>
      </c>
      <c r="N82" s="575">
        <f t="shared" si="527"/>
        <v>-1.398113442646052</v>
      </c>
      <c r="O82" s="572">
        <f t="shared" si="528"/>
        <v>-6.3631429271030227</v>
      </c>
      <c r="P82" s="576">
        <f t="shared" si="529"/>
        <v>-1.8185699194528375</v>
      </c>
      <c r="Q82" s="528">
        <f t="shared" si="609"/>
        <v>257.60785296482055</v>
      </c>
      <c r="R82" s="572">
        <f t="shared" si="101"/>
        <v>6.5149297086959281</v>
      </c>
      <c r="S82" s="577">
        <f t="shared" si="102"/>
        <v>-1.8185699194528375</v>
      </c>
      <c r="T82" s="578">
        <f t="shared" si="103"/>
        <v>-6.3631428886708985</v>
      </c>
      <c r="U82" s="572">
        <f t="shared" si="104"/>
        <v>1.3981136175596707</v>
      </c>
      <c r="V82" s="579">
        <f t="shared" si="141"/>
        <v>-1.8185699194528375</v>
      </c>
      <c r="W82" s="528">
        <f t="shared" si="735"/>
        <v>167.60785138984221</v>
      </c>
      <c r="X82" s="572">
        <f t="shared" si="105"/>
        <v>6.5149297086959281</v>
      </c>
      <c r="Y82" s="573">
        <f t="shared" si="733"/>
        <v>-1.8185699194528375</v>
      </c>
      <c r="Z82" s="575">
        <f t="shared" si="530"/>
        <v>0.18683489461491753</v>
      </c>
      <c r="AA82" s="572">
        <f t="shared" si="531"/>
        <v>0.85032952401554418</v>
      </c>
      <c r="AB82" s="572">
        <f t="shared" si="532"/>
        <v>-0.49196790824375014</v>
      </c>
      <c r="AC82" s="579">
        <f t="shared" si="106"/>
        <v>1</v>
      </c>
      <c r="AD82" s="580">
        <f t="shared" si="142"/>
        <v>0.18683489461491753</v>
      </c>
      <c r="AE82" s="572">
        <f t="shared" si="107"/>
        <v>0.85032952401554418</v>
      </c>
      <c r="AF82" s="576">
        <f t="shared" si="108"/>
        <v>-0.49196790824375014</v>
      </c>
      <c r="AG82" s="545">
        <f t="shared" si="109"/>
        <v>59.94797932965907</v>
      </c>
      <c r="AH82" s="546">
        <f t="shared" si="110"/>
        <v>79.231870411469799</v>
      </c>
      <c r="AI82" s="528">
        <f t="shared" si="111"/>
        <v>-60.529991260550524</v>
      </c>
      <c r="AJ82" s="529">
        <f t="shared" si="112"/>
        <v>167.60785296482052</v>
      </c>
      <c r="AK82" s="578">
        <f t="shared" si="238"/>
        <v>-2.4980018054066022E-16</v>
      </c>
      <c r="AL82" s="572">
        <f t="shared" si="113"/>
        <v>-0.87061333395386797</v>
      </c>
      <c r="AM82" s="577">
        <f t="shared" si="114"/>
        <v>-0.49196790824375014</v>
      </c>
      <c r="AN82" s="524">
        <f t="shared" si="115"/>
        <v>-60.529991260550531</v>
      </c>
      <c r="AO82" s="525">
        <f t="shared" si="525"/>
        <v>0</v>
      </c>
      <c r="AP82" s="528">
        <f t="shared" si="117"/>
        <v>-90.000000000000014</v>
      </c>
      <c r="AQ82" s="529">
        <f t="shared" si="533"/>
        <v>0.34991909206116784</v>
      </c>
      <c r="AS82" s="932">
        <f t="shared" si="632"/>
        <v>-192.39214861015779</v>
      </c>
      <c r="AT82" s="928">
        <f t="shared" si="534"/>
        <v>-1.6849642501938913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4.2279999999999998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4.1280000000000001</v>
      </c>
      <c r="IK82" s="677" cm="1">
        <f t="array" ref="IK82">IFERROR(ROUND(VALUE(IF($IJ82&lt;1,$IJ82+LARGE((IF($M$9:$M$150="",0,$M$9:$M$150)-MOD(IF($M$9:$M$150="",0,$M$9:$M$150),1)),1),$IJ82)),4),"")</f>
        <v>4.1280000000000001</v>
      </c>
      <c r="IL82" s="482">
        <f t="shared" si="596"/>
        <v>1613</v>
      </c>
      <c r="IM82" s="482" t="str">
        <f t="shared" si="732"/>
        <v>CPS-32193r1</v>
      </c>
      <c r="IN82" s="670">
        <f t="shared" si="597"/>
        <v>10.167821367547788</v>
      </c>
      <c r="IO82" s="702">
        <v>3.7056552429222803E-2</v>
      </c>
      <c r="IP82" s="5">
        <f t="shared" si="598"/>
        <v>2</v>
      </c>
      <c r="IQ82" s="714">
        <v>1000</v>
      </c>
      <c r="IR82" s="9">
        <f t="shared" si="599"/>
        <v>-6.5144196474896567</v>
      </c>
      <c r="IS82" s="5">
        <f t="shared" si="600"/>
        <v>-1.806655051513635</v>
      </c>
      <c r="IT82" s="5">
        <f t="shared" si="601"/>
        <v>0.3125</v>
      </c>
      <c r="IU82" s="5">
        <f t="shared" si="602"/>
        <v>0.28829315985347426</v>
      </c>
      <c r="IV82" s="670">
        <f t="shared" si="603"/>
        <v>62.499990976117786</v>
      </c>
      <c r="IW82" s="9">
        <f t="shared" si="604"/>
        <v>-6.5149297086959281</v>
      </c>
      <c r="IX82" s="5">
        <f t="shared" si="605"/>
        <v>-1.8185699194528375</v>
      </c>
      <c r="IY82" s="5">
        <f t="shared" si="606"/>
        <v>0.255</v>
      </c>
      <c r="IZ82" s="5">
        <f t="shared" si="607"/>
        <v>0.255</v>
      </c>
      <c r="JA82" s="705">
        <f t="shared" si="608"/>
        <v>60.529991260550531</v>
      </c>
    </row>
    <row r="83" spans="1:261" ht="15" customHeight="1" x14ac:dyDescent="0.25">
      <c r="A83" s="75">
        <f t="shared" si="256"/>
        <v>0</v>
      </c>
      <c r="B83" s="578">
        <f t="shared" si="515"/>
        <v>-1.451864869973067</v>
      </c>
      <c r="C83" s="572">
        <f t="shared" si="516"/>
        <v>-6.6475615571313913</v>
      </c>
      <c r="D83" s="576">
        <f t="shared" si="517"/>
        <v>-2.5104582603232037</v>
      </c>
      <c r="E83" s="580">
        <f t="shared" si="518"/>
        <v>-0.20508942214575307</v>
      </c>
      <c r="F83" s="572">
        <f t="shared" si="519"/>
        <v>-0.93902992394580853</v>
      </c>
      <c r="G83" s="579">
        <f t="shared" si="520"/>
        <v>0.27597306183439418</v>
      </c>
      <c r="H83" s="580">
        <f t="shared" si="521"/>
        <v>0.255</v>
      </c>
      <c r="I83" s="572">
        <f t="shared" si="522"/>
        <v>0.41499999999999992</v>
      </c>
      <c r="J83" s="483">
        <f t="shared" si="523"/>
        <v>4.2309999999999999</v>
      </c>
      <c r="K83" s="806" t="str">
        <f t="shared" si="524"/>
        <v>CPS-32193r1</v>
      </c>
      <c r="L83" s="309"/>
      <c r="M83" s="164">
        <f t="shared" si="526"/>
        <v>4.2309999999999999</v>
      </c>
      <c r="N83" s="575">
        <f t="shared" si="527"/>
        <v>-1.451864869973067</v>
      </c>
      <c r="O83" s="572">
        <f t="shared" si="528"/>
        <v>-6.6475615571313913</v>
      </c>
      <c r="P83" s="576">
        <f t="shared" si="529"/>
        <v>-2.5104582603232037</v>
      </c>
      <c r="Q83" s="528">
        <f t="shared" si="609"/>
        <v>257.67974398088472</v>
      </c>
      <c r="R83" s="572">
        <f t="shared" si="101"/>
        <v>6.8042623594709397</v>
      </c>
      <c r="S83" s="577">
        <f t="shared" si="102"/>
        <v>-2.5104582603232037</v>
      </c>
      <c r="T83" s="578">
        <f t="shared" si="103"/>
        <v>-6.6475615172217175</v>
      </c>
      <c r="U83" s="572">
        <f t="shared" si="104"/>
        <v>1.451865052704945</v>
      </c>
      <c r="V83" s="579">
        <f t="shared" si="141"/>
        <v>-2.5104582603232037</v>
      </c>
      <c r="W83" s="528">
        <f t="shared" si="735"/>
        <v>167.67974240590638</v>
      </c>
      <c r="X83" s="572">
        <f t="shared" si="105"/>
        <v>6.8042623594709397</v>
      </c>
      <c r="Y83" s="573">
        <f t="shared" si="733"/>
        <v>-2.5104582603232037</v>
      </c>
      <c r="Z83" s="575">
        <f t="shared" si="530"/>
        <v>0.20508942214575307</v>
      </c>
      <c r="AA83" s="572">
        <f t="shared" si="531"/>
        <v>0.93902992394580853</v>
      </c>
      <c r="AB83" s="572">
        <f t="shared" si="532"/>
        <v>-0.27597306183439418</v>
      </c>
      <c r="AC83" s="579">
        <f t="shared" si="106"/>
        <v>1</v>
      </c>
      <c r="AD83" s="580">
        <f t="shared" si="142"/>
        <v>0.20508942214575307</v>
      </c>
      <c r="AE83" s="572">
        <f t="shared" si="107"/>
        <v>0.93902992394580853</v>
      </c>
      <c r="AF83" s="576">
        <f t="shared" si="108"/>
        <v>-0.27597306183439418</v>
      </c>
      <c r="AG83" s="545">
        <f t="shared" si="109"/>
        <v>73.622377672733691</v>
      </c>
      <c r="AH83" s="546">
        <f t="shared" si="110"/>
        <v>78.165266215280042</v>
      </c>
      <c r="AI83" s="528">
        <f t="shared" si="111"/>
        <v>-73.979989318611089</v>
      </c>
      <c r="AJ83" s="529">
        <f t="shared" si="112"/>
        <v>167.67974398088472</v>
      </c>
      <c r="AK83" s="578">
        <f t="shared" si="238"/>
        <v>5.5511151231257827E-17</v>
      </c>
      <c r="AL83" s="572">
        <f t="shared" si="113"/>
        <v>-0.96116537034047889</v>
      </c>
      <c r="AM83" s="577">
        <f t="shared" si="114"/>
        <v>-0.27597306183439418</v>
      </c>
      <c r="AN83" s="524">
        <f t="shared" si="115"/>
        <v>-73.979989318611103</v>
      </c>
      <c r="AO83" s="525">
        <f t="shared" si="525"/>
        <v>0</v>
      </c>
      <c r="AP83" s="528">
        <f t="shared" si="117"/>
        <v>-90</v>
      </c>
      <c r="AQ83" s="529">
        <f t="shared" si="533"/>
        <v>0.33504008623264109</v>
      </c>
      <c r="AS83" s="932">
        <f t="shared" si="632"/>
        <v>-192.32025759409362</v>
      </c>
      <c r="AT83" s="928">
        <f t="shared" si="534"/>
        <v>-2.3769025153809684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4.2309999999999999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4.1310000000000002</v>
      </c>
      <c r="IK83" s="677" cm="1">
        <f t="array" ref="IK83">IFERROR(ROUND(VALUE(IF($IJ83&lt;1,$IJ83+LARGE((IF($M$9:$M$150="",0,$M$9:$M$150)-MOD(IF($M$9:$M$150="",0,$M$9:$M$150),1)),1),$IJ83)),4),"")</f>
        <v>4.1310000000000002</v>
      </c>
      <c r="IL83" s="482">
        <f t="shared" si="596"/>
        <v>1613</v>
      </c>
      <c r="IM83" s="482" t="str">
        <f t="shared" si="732"/>
        <v>CPS-32193r1</v>
      </c>
      <c r="IN83" s="670">
        <f t="shared" si="597"/>
        <v>9.7209304056269161</v>
      </c>
      <c r="IO83" s="702">
        <v>3.5741407167823501E-2</v>
      </c>
      <c r="IP83" s="5">
        <f t="shared" si="598"/>
        <v>2.4</v>
      </c>
      <c r="IQ83" s="714">
        <v>1200</v>
      </c>
      <c r="IR83" s="9">
        <f t="shared" si="599"/>
        <v>-6.8108205414347527</v>
      </c>
      <c r="IS83" s="5">
        <f t="shared" si="600"/>
        <v>-2.4961571310519068</v>
      </c>
      <c r="IT83" s="5">
        <f t="shared" si="601"/>
        <v>0.3125</v>
      </c>
      <c r="IU83" s="5">
        <f t="shared" si="602"/>
        <v>0.28182267321225019</v>
      </c>
      <c r="IV83" s="670">
        <f t="shared" si="603"/>
        <v>74.099989301285248</v>
      </c>
      <c r="IW83" s="9">
        <f t="shared" si="604"/>
        <v>-6.8042623594709397</v>
      </c>
      <c r="IX83" s="5">
        <f t="shared" si="605"/>
        <v>-2.5104582603232037</v>
      </c>
      <c r="IY83" s="5">
        <f t="shared" si="606"/>
        <v>0.255</v>
      </c>
      <c r="IZ83" s="5">
        <f t="shared" si="607"/>
        <v>0.255</v>
      </c>
      <c r="JA83" s="705">
        <f t="shared" si="608"/>
        <v>73.979989318611103</v>
      </c>
    </row>
    <row r="84" spans="1:261" ht="15" customHeight="1" x14ac:dyDescent="0.25">
      <c r="A84" s="75">
        <f t="shared" si="256"/>
        <v>0</v>
      </c>
      <c r="B84" s="578">
        <f t="shared" si="515"/>
        <v>-1.4861136342313597</v>
      </c>
      <c r="C84" s="572">
        <f t="shared" si="516"/>
        <v>-6.8143680191616323</v>
      </c>
      <c r="D84" s="576">
        <f t="shared" si="517"/>
        <v>-3.2279361935988367</v>
      </c>
      <c r="E84" s="580">
        <f t="shared" si="518"/>
        <v>-0.20933071122227848</v>
      </c>
      <c r="F84" s="572">
        <f t="shared" si="519"/>
        <v>-0.95985695247270864</v>
      </c>
      <c r="G84" s="579">
        <f t="shared" si="520"/>
        <v>0.18669569927820875</v>
      </c>
      <c r="H84" s="580">
        <f t="shared" si="521"/>
        <v>0.255</v>
      </c>
      <c r="I84" s="572">
        <f t="shared" si="522"/>
        <v>0.41499999999999992</v>
      </c>
      <c r="J84" s="483">
        <f t="shared" si="523"/>
        <v>4.234</v>
      </c>
      <c r="K84" s="806" t="str">
        <f t="shared" si="524"/>
        <v>CPS-32193r1</v>
      </c>
      <c r="L84" s="309"/>
      <c r="M84" s="164">
        <f t="shared" si="526"/>
        <v>4.234</v>
      </c>
      <c r="N84" s="575">
        <f t="shared" si="527"/>
        <v>-1.4861136342313597</v>
      </c>
      <c r="O84" s="572">
        <f t="shared" si="528"/>
        <v>-6.8143680191616323</v>
      </c>
      <c r="P84" s="576">
        <f t="shared" si="529"/>
        <v>-3.2279361935988367</v>
      </c>
      <c r="Q84" s="528">
        <f t="shared" si="609"/>
        <v>257.69726195758443</v>
      </c>
      <c r="R84" s="572">
        <f t="shared" si="101"/>
        <v>6.9745354852076824</v>
      </c>
      <c r="S84" s="577">
        <f t="shared" si="102"/>
        <v>-3.2279361935988367</v>
      </c>
      <c r="T84" s="578">
        <f t="shared" si="103"/>
        <v>-6.8143679783105098</v>
      </c>
      <c r="U84" s="572">
        <f t="shared" si="104"/>
        <v>1.4861138215485039</v>
      </c>
      <c r="V84" s="579">
        <f t="shared" si="141"/>
        <v>-3.2279361935988367</v>
      </c>
      <c r="W84" s="528">
        <f t="shared" si="735"/>
        <v>167.69726038260609</v>
      </c>
      <c r="X84" s="572">
        <f t="shared" si="105"/>
        <v>6.9745354852076824</v>
      </c>
      <c r="Y84" s="573">
        <f t="shared" si="733"/>
        <v>-3.2279361935988367</v>
      </c>
      <c r="Z84" s="575">
        <f t="shared" si="530"/>
        <v>0.20933071122227848</v>
      </c>
      <c r="AA84" s="572">
        <f t="shared" si="531"/>
        <v>0.95985695247270864</v>
      </c>
      <c r="AB84" s="572">
        <f t="shared" si="532"/>
        <v>-0.18669569927820875</v>
      </c>
      <c r="AC84" s="579">
        <f t="shared" si="106"/>
        <v>1</v>
      </c>
      <c r="AD84" s="580">
        <f t="shared" si="142"/>
        <v>0.20933071122227848</v>
      </c>
      <c r="AE84" s="572">
        <f t="shared" si="107"/>
        <v>0.95985695247270864</v>
      </c>
      <c r="AF84" s="576">
        <f t="shared" si="108"/>
        <v>-0.18669569927820875</v>
      </c>
      <c r="AG84" s="545">
        <f t="shared" si="109"/>
        <v>78.993189472498699</v>
      </c>
      <c r="AH84" s="546">
        <f t="shared" si="110"/>
        <v>77.916866894097097</v>
      </c>
      <c r="AI84" s="528">
        <f t="shared" si="111"/>
        <v>-79.239988559161148</v>
      </c>
      <c r="AJ84" s="529">
        <f t="shared" si="112"/>
        <v>167.69726195758443</v>
      </c>
      <c r="AK84" s="578">
        <f t="shared" si="238"/>
        <v>-3.3306690738754696E-16</v>
      </c>
      <c r="AL84" s="572">
        <f t="shared" si="113"/>
        <v>-0.98241779089704018</v>
      </c>
      <c r="AM84" s="577">
        <f t="shared" si="114"/>
        <v>-0.18669569927820875</v>
      </c>
      <c r="AN84" s="524">
        <f t="shared" si="115"/>
        <v>-79.239988559161148</v>
      </c>
      <c r="AO84" s="525">
        <f t="shared" si="525"/>
        <v>0</v>
      </c>
      <c r="AP84" s="528">
        <f t="shared" si="117"/>
        <v>-90.000000000000014</v>
      </c>
      <c r="AQ84" s="529">
        <f t="shared" si="533"/>
        <v>0.32686075018573252</v>
      </c>
      <c r="AS84" s="932">
        <f t="shared" si="632"/>
        <v>-192.30273961739391</v>
      </c>
      <c r="AT84" s="928">
        <f t="shared" si="534"/>
        <v>-3.0943926139181985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>Taper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4.234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4.1340000000000003</v>
      </c>
      <c r="IK84" s="677" cm="1">
        <f t="array" ref="IK84">IFERROR(ROUND(VALUE(IF($IJ84&lt;1,$IJ84+LARGE((IF($M$9:$M$150="",0,$M$9:$M$150)-MOD(IF($M$9:$M$150="",0,$M$9:$M$150),1)),1),$IJ84)),4),"")</f>
        <v>4.1340000000000003</v>
      </c>
      <c r="IL84" s="482">
        <f t="shared" si="596"/>
        <v>1613</v>
      </c>
      <c r="IM84" s="482" t="str">
        <f t="shared" si="732"/>
        <v>CPS-32193r1</v>
      </c>
      <c r="IN84" s="670">
        <f t="shared" si="597"/>
        <v>9.4728124622217251</v>
      </c>
      <c r="IO84" s="702">
        <v>3.5280374326091803E-2</v>
      </c>
      <c r="IP84" s="5">
        <f t="shared" si="598"/>
        <v>2.66</v>
      </c>
      <c r="IQ84" s="714">
        <v>1330</v>
      </c>
      <c r="IR84" s="9">
        <f t="shared" si="599"/>
        <v>-6.9875210743635598</v>
      </c>
      <c r="IS84" s="5">
        <f t="shared" si="600"/>
        <v>-3.2130592932288291</v>
      </c>
      <c r="IT84" s="5">
        <f t="shared" si="601"/>
        <v>0.3125</v>
      </c>
      <c r="IU84" s="5">
        <f t="shared" si="602"/>
        <v>0.27617676968348764</v>
      </c>
      <c r="IV84" s="670">
        <f t="shared" si="603"/>
        <v>80.099988434992554</v>
      </c>
      <c r="IW84" s="9">
        <f t="shared" si="604"/>
        <v>-6.9745354852076824</v>
      </c>
      <c r="IX84" s="5">
        <f t="shared" si="605"/>
        <v>-3.2279361935988367</v>
      </c>
      <c r="IY84" s="5">
        <f t="shared" si="606"/>
        <v>0.255</v>
      </c>
      <c r="IZ84" s="5">
        <f t="shared" si="607"/>
        <v>0.255</v>
      </c>
      <c r="JA84" s="705">
        <f t="shared" si="608"/>
        <v>79.239988559161148</v>
      </c>
    </row>
    <row r="85" spans="1:261" ht="15" customHeight="1" x14ac:dyDescent="0.25">
      <c r="A85" s="75">
        <f t="shared" si="256"/>
        <v>0</v>
      </c>
      <c r="B85" s="578">
        <f t="shared" si="515"/>
        <v>-1.5075333793728607</v>
      </c>
      <c r="C85" s="572">
        <f t="shared" si="516"/>
        <v>-6.9138718428726573</v>
      </c>
      <c r="D85" s="576">
        <f t="shared" si="517"/>
        <v>-3.9724023626632281</v>
      </c>
      <c r="E85" s="580">
        <f t="shared" si="518"/>
        <v>-0.2121991163395672</v>
      </c>
      <c r="F85" s="572">
        <f t="shared" si="519"/>
        <v>-0.97319072042896815</v>
      </c>
      <c r="G85" s="579">
        <f t="shared" si="520"/>
        <v>8.8720666677234272E-2</v>
      </c>
      <c r="H85" s="580">
        <f t="shared" si="521"/>
        <v>0.255</v>
      </c>
      <c r="I85" s="572">
        <f t="shared" si="522"/>
        <v>0.41499999999999992</v>
      </c>
      <c r="J85" s="483">
        <f t="shared" si="523"/>
        <v>4.2370000000000001</v>
      </c>
      <c r="K85" s="806" t="str">
        <f t="shared" si="524"/>
        <v>CPS-32193r1</v>
      </c>
      <c r="L85" s="309"/>
      <c r="M85" s="164">
        <f t="shared" si="526"/>
        <v>4.2370000000000001</v>
      </c>
      <c r="N85" s="575">
        <f t="shared" si="527"/>
        <v>-1.5075333793728607</v>
      </c>
      <c r="O85" s="572">
        <f t="shared" si="528"/>
        <v>-6.9138718428726573</v>
      </c>
      <c r="P85" s="576">
        <f t="shared" si="529"/>
        <v>-3.9724023626632281</v>
      </c>
      <c r="Q85" s="528">
        <f t="shared" si="609"/>
        <v>257.69948158164289</v>
      </c>
      <c r="R85" s="572">
        <f t="shared" si="101"/>
        <v>7.0763183047111946</v>
      </c>
      <c r="S85" s="577">
        <f t="shared" si="102"/>
        <v>-3.9724023626632281</v>
      </c>
      <c r="T85" s="578">
        <f t="shared" si="103"/>
        <v>-6.9138718014327356</v>
      </c>
      <c r="U85" s="572">
        <f t="shared" si="104"/>
        <v>1.507533569425227</v>
      </c>
      <c r="V85" s="579">
        <f t="shared" si="141"/>
        <v>-3.9724023626632281</v>
      </c>
      <c r="W85" s="528">
        <f t="shared" si="735"/>
        <v>167.69948000666454</v>
      </c>
      <c r="X85" s="572">
        <f t="shared" si="105"/>
        <v>7.0763183047111946</v>
      </c>
      <c r="Y85" s="573">
        <f t="shared" si="733"/>
        <v>-3.9724023626632281</v>
      </c>
      <c r="Z85" s="575">
        <f t="shared" si="530"/>
        <v>0.2121991163395672</v>
      </c>
      <c r="AA85" s="572">
        <f t="shared" si="531"/>
        <v>0.97319072042896815</v>
      </c>
      <c r="AB85" s="572">
        <f t="shared" si="532"/>
        <v>-8.8720666677234272E-2</v>
      </c>
      <c r="AC85" s="579">
        <f t="shared" si="106"/>
        <v>1</v>
      </c>
      <c r="AD85" s="580">
        <f t="shared" si="142"/>
        <v>0.2121991163395672</v>
      </c>
      <c r="AE85" s="572">
        <f t="shared" si="107"/>
        <v>0.97319072042896815</v>
      </c>
      <c r="AF85" s="576">
        <f t="shared" si="108"/>
        <v>-8.8720666677234272E-2</v>
      </c>
      <c r="AG85" s="545">
        <f t="shared" si="109"/>
        <v>84.791044595311945</v>
      </c>
      <c r="AH85" s="546">
        <f t="shared" si="110"/>
        <v>77.748742708754477</v>
      </c>
      <c r="AI85" s="528">
        <f t="shared" si="111"/>
        <v>-84.909987740514595</v>
      </c>
      <c r="AJ85" s="529">
        <f t="shared" si="112"/>
        <v>167.69948158164289</v>
      </c>
      <c r="AK85" s="578">
        <f t="shared" si="238"/>
        <v>8.3266726846886741E-17</v>
      </c>
      <c r="AL85" s="572">
        <f t="shared" si="113"/>
        <v>-0.99605654623838857</v>
      </c>
      <c r="AM85" s="577">
        <f t="shared" si="114"/>
        <v>-8.8720666677234272E-2</v>
      </c>
      <c r="AN85" s="524">
        <f t="shared" si="115"/>
        <v>-84.909987740514595</v>
      </c>
      <c r="AO85" s="525">
        <f t="shared" si="525"/>
        <v>0</v>
      </c>
      <c r="AP85" s="528">
        <f t="shared" si="117"/>
        <v>-90</v>
      </c>
      <c r="AQ85" s="529">
        <f t="shared" si="533"/>
        <v>0.32215942090774446</v>
      </c>
      <c r="AS85" s="932">
        <f t="shared" si="632"/>
        <v>-192.30051999333546</v>
      </c>
      <c r="AT85" s="928">
        <f t="shared" si="534"/>
        <v>-3.838860324388186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4.2370000000000001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4.1369999999999996</v>
      </c>
      <c r="IK85" s="677" cm="1">
        <f t="array" ref="IK85">IFERROR(ROUND(VALUE(IF($IJ85&lt;1,$IJ85+LARGE((IF($M$9:$M$150="",0,$M$9:$M$150)-MOD(IF($M$9:$M$150="",0,$M$9:$M$150),1)),1),$IJ85)),4),"")</f>
        <v>4.1369999999999996</v>
      </c>
      <c r="IL85" s="482">
        <f t="shared" si="596"/>
        <v>1613</v>
      </c>
      <c r="IM85" s="482" t="str">
        <f t="shared" si="732"/>
        <v>CPS-32193r1</v>
      </c>
      <c r="IN85" s="670">
        <f t="shared" si="597"/>
        <v>9.3222928595751569</v>
      </c>
      <c r="IO85" s="702">
        <v>3.51550617892636E-2</v>
      </c>
      <c r="IP85" s="5">
        <f t="shared" si="598"/>
        <v>2.98</v>
      </c>
      <c r="IQ85" s="714">
        <v>1490</v>
      </c>
      <c r="IR85" s="9">
        <f t="shared" si="599"/>
        <v>-7.0993214115533769</v>
      </c>
      <c r="IS85" s="5">
        <f t="shared" si="600"/>
        <v>-3.9580615401556059</v>
      </c>
      <c r="IT85" s="5">
        <f t="shared" si="601"/>
        <v>0.3125</v>
      </c>
      <c r="IU85" s="5">
        <f t="shared" si="602"/>
        <v>0.26730134402779471</v>
      </c>
      <c r="IV85" s="670">
        <f t="shared" si="603"/>
        <v>85.999987583138065</v>
      </c>
      <c r="IW85" s="9">
        <f t="shared" si="604"/>
        <v>-7.0763183047111946</v>
      </c>
      <c r="IX85" s="5">
        <f t="shared" si="605"/>
        <v>-3.9724023626632281</v>
      </c>
      <c r="IY85" s="5">
        <f t="shared" si="606"/>
        <v>0.255</v>
      </c>
      <c r="IZ85" s="5">
        <f t="shared" si="607"/>
        <v>0.255</v>
      </c>
      <c r="JA85" s="705">
        <f t="shared" si="608"/>
        <v>84.909987740514595</v>
      </c>
    </row>
    <row r="86" spans="1:261" ht="15" customHeight="1" x14ac:dyDescent="0.25">
      <c r="A86" s="75">
        <f t="shared" si="256"/>
        <v>0</v>
      </c>
      <c r="B86" s="578">
        <f t="shared" si="515"/>
        <v>-0.48125338362506481</v>
      </c>
      <c r="C86" s="572">
        <f t="shared" si="516"/>
        <v>-0.33697702108800437</v>
      </c>
      <c r="D86" s="576">
        <f t="shared" si="517"/>
        <v>-0.87695264488917701</v>
      </c>
      <c r="E86" s="580">
        <f t="shared" si="518"/>
        <v>0.56827068396935076</v>
      </c>
      <c r="F86" s="572">
        <f t="shared" si="519"/>
        <v>-0.74924549083357761</v>
      </c>
      <c r="G86" s="579">
        <f t="shared" si="520"/>
        <v>0.34014647463491016</v>
      </c>
      <c r="H86" s="580">
        <f t="shared" si="521"/>
        <v>0.3125</v>
      </c>
      <c r="I86" s="572">
        <f t="shared" si="522"/>
        <v>0.52</v>
      </c>
      <c r="J86" s="483">
        <f t="shared" si="523"/>
        <v>5.1020000000000003</v>
      </c>
      <c r="K86" s="806">
        <f t="shared" si="524"/>
        <v>1613</v>
      </c>
      <c r="L86" s="309"/>
      <c r="M86" s="164">
        <f t="shared" si="526"/>
        <v>5.1020000000000003</v>
      </c>
      <c r="N86" s="575">
        <f t="shared" si="527"/>
        <v>-0.48125338362506481</v>
      </c>
      <c r="O86" s="572">
        <f t="shared" si="528"/>
        <v>-0.33697702108800437</v>
      </c>
      <c r="P86" s="576">
        <f t="shared" si="529"/>
        <v>-0.87695264488917701</v>
      </c>
      <c r="Q86" s="528">
        <f t="shared" si="609"/>
        <v>214.99998195223554</v>
      </c>
      <c r="R86" s="572">
        <f t="shared" si="101"/>
        <v>0.58750177190534425</v>
      </c>
      <c r="S86" s="577">
        <f t="shared" si="102"/>
        <v>-0.87695264488917701</v>
      </c>
      <c r="T86" s="578">
        <f t="shared" si="103"/>
        <v>-0.33697700785904272</v>
      </c>
      <c r="U86" s="572">
        <f t="shared" si="104"/>
        <v>0.48125339288807695</v>
      </c>
      <c r="V86" s="579">
        <f t="shared" si="141"/>
        <v>-0.87695264488917701</v>
      </c>
      <c r="W86" s="528">
        <f t="shared" si="735"/>
        <v>124.9999803772572</v>
      </c>
      <c r="X86" s="572">
        <f t="shared" si="105"/>
        <v>0.58750177190534425</v>
      </c>
      <c r="Y86" s="573">
        <f t="shared" si="733"/>
        <v>-0.87695264488917701</v>
      </c>
      <c r="Z86" s="575">
        <f t="shared" si="530"/>
        <v>-0.56827068396935076</v>
      </c>
      <c r="AA86" s="572">
        <f t="shared" si="531"/>
        <v>0.74924549083357761</v>
      </c>
      <c r="AB86" s="572">
        <f t="shared" si="532"/>
        <v>-0.34014647463491016</v>
      </c>
      <c r="AC86" s="579">
        <f t="shared" si="106"/>
        <v>1</v>
      </c>
      <c r="AD86" s="580">
        <f t="shared" si="142"/>
        <v>-0.56827068396935076</v>
      </c>
      <c r="AE86" s="572">
        <f t="shared" si="107"/>
        <v>0.74924549083357761</v>
      </c>
      <c r="AF86" s="576">
        <f t="shared" si="108"/>
        <v>-0.34014647463491016</v>
      </c>
      <c r="AG86" s="545">
        <f t="shared" si="109"/>
        <v>65.582647427084893</v>
      </c>
      <c r="AH86" s="546">
        <f t="shared" si="110"/>
        <v>124.62972311506782</v>
      </c>
      <c r="AI86" s="528">
        <f t="shared" si="111"/>
        <v>-70.114201655431643</v>
      </c>
      <c r="AJ86" s="529">
        <f t="shared" si="112"/>
        <v>-142.8212373026507</v>
      </c>
      <c r="AK86" s="578">
        <f t="shared" si="238"/>
        <v>0.93969263802333447</v>
      </c>
      <c r="AL86" s="572">
        <f t="shared" si="113"/>
        <v>3.5750829895106195E-2</v>
      </c>
      <c r="AM86" s="577">
        <f t="shared" si="114"/>
        <v>-0.34014647463491016</v>
      </c>
      <c r="AN86" s="524">
        <f t="shared" si="115"/>
        <v>5.9999991337073411</v>
      </c>
      <c r="AO86" s="525">
        <f t="shared" si="525"/>
        <v>19.999997112357704</v>
      </c>
      <c r="AP86" s="528">
        <f t="shared" si="117"/>
        <v>2.1787807451137757</v>
      </c>
      <c r="AQ86" s="529">
        <f t="shared" si="533"/>
        <v>3.8744576014852732</v>
      </c>
      <c r="AS86" s="932">
        <f t="shared" si="632"/>
        <v>-235.0000196227428</v>
      </c>
      <c r="AT86" s="928">
        <f t="shared" si="534"/>
        <v>-0.71375817631593552</v>
      </c>
      <c r="AU86" s="418"/>
      <c r="AV86" s="164">
        <f t="shared" si="535"/>
        <v>5.1020000000000003</v>
      </c>
      <c r="AW86" s="797">
        <f>IFERROR(INDEX(MassProp!C$9:C$150,MATCH($M86,MassProp!$B$9:$B$150,0)),"")</f>
        <v>0.46260000000000001</v>
      </c>
      <c r="AX86" s="744">
        <f>IFERROR(INDEX(MassProp!D$9:D$150,MATCH($M86,MassProp!$B$9:$B$150,0)),"")</f>
        <v>7.2700000000000001E-2</v>
      </c>
      <c r="AY86" s="731">
        <f>IFERROR(INDEX(MassProp!E$9:E$150,MATCH($M86,MassProp!$B$9:$B$150,0)),"")</f>
        <v>5.7200000000000001E-2</v>
      </c>
      <c r="AZ86" s="297">
        <f t="shared" si="633"/>
        <v>0.16687145329783487</v>
      </c>
      <c r="BA86" s="296">
        <f t="shared" si="536"/>
        <v>1.9015399772101534E-2</v>
      </c>
      <c r="BB86" s="177">
        <f t="shared" si="610"/>
        <v>0.53645817631593551</v>
      </c>
      <c r="BC86" s="9"/>
      <c r="BD86" s="5">
        <f t="shared" si="611"/>
        <v>0.46260000000000001</v>
      </c>
      <c r="BE86" s="6">
        <f t="shared" si="537"/>
        <v>-0.3404944685732415</v>
      </c>
      <c r="BF86" s="4">
        <f t="shared" si="538"/>
        <v>-0.48125338362506481</v>
      </c>
      <c r="BG86" s="5">
        <f t="shared" si="539"/>
        <v>-0.33697702108800437</v>
      </c>
      <c r="BH86" s="10">
        <f t="shared" si="540"/>
        <v>-0.87695264488917701</v>
      </c>
      <c r="BI86" s="9">
        <f t="shared" si="634"/>
        <v>-0.48125338362506481</v>
      </c>
      <c r="BJ86" s="5">
        <f t="shared" si="541"/>
        <v>7.640319901300402E-2</v>
      </c>
      <c r="BK86" s="8">
        <f t="shared" si="542"/>
        <v>3.3605861539290682E-2</v>
      </c>
      <c r="BL86" s="173">
        <f t="shared" si="543"/>
        <v>0.34158829600778312</v>
      </c>
      <c r="BM86" s="5">
        <f t="shared" si="544"/>
        <v>0.18046668415421135</v>
      </c>
      <c r="BN86" s="6">
        <f t="shared" si="545"/>
        <v>-1.1118645053053777</v>
      </c>
      <c r="BO86" s="4">
        <f t="shared" si="635"/>
        <v>-0.56827068396935065</v>
      </c>
      <c r="BP86" s="5">
        <f t="shared" si="734"/>
        <v>0.74924549083357761</v>
      </c>
      <c r="BQ86" s="5">
        <f t="shared" si="636"/>
        <v>-0.3401464746349101</v>
      </c>
      <c r="BR86" s="6">
        <f t="shared" si="637"/>
        <v>-0.31929602649127498</v>
      </c>
      <c r="BS86" s="4">
        <f t="shared" si="612"/>
        <v>0</v>
      </c>
      <c r="BT86" s="5">
        <f t="shared" si="612"/>
        <v>0</v>
      </c>
      <c r="BU86" s="10">
        <f t="shared" si="613"/>
        <v>-0.3404944685732415</v>
      </c>
      <c r="BV86" s="9">
        <f t="shared" si="614"/>
        <v>0</v>
      </c>
      <c r="BW86" s="5">
        <f t="shared" si="615"/>
        <v>1</v>
      </c>
      <c r="BX86" s="8">
        <f t="shared" si="616"/>
        <v>-0.3404944685732415</v>
      </c>
      <c r="BY86" s="173">
        <f t="shared" si="617"/>
        <v>1</v>
      </c>
      <c r="BZ86" s="5">
        <f t="shared" si="618"/>
        <v>0</v>
      </c>
      <c r="CA86" s="6">
        <f t="shared" si="619"/>
        <v>-0.3404944685732415</v>
      </c>
      <c r="CB86" s="4">
        <f t="shared" si="638"/>
        <v>0</v>
      </c>
      <c r="CC86" s="5">
        <f t="shared" si="639"/>
        <v>0</v>
      </c>
      <c r="CD86" s="5">
        <f t="shared" si="640"/>
        <v>-1</v>
      </c>
      <c r="CE86" s="6">
        <f t="shared" si="641"/>
        <v>-0.3404944685732415</v>
      </c>
      <c r="CF86" s="4">
        <f t="shared" si="642"/>
        <v>-0.74924549083357761</v>
      </c>
      <c r="CG86" s="5">
        <f t="shared" si="643"/>
        <v>-0.56827068396935065</v>
      </c>
      <c r="CH86" s="5">
        <f t="shared" si="644"/>
        <v>0</v>
      </c>
      <c r="CI86" s="4">
        <f t="shared" si="620"/>
        <v>0</v>
      </c>
      <c r="CJ86" s="5">
        <f t="shared" si="621"/>
        <v>0.27157725453511772</v>
      </c>
      <c r="CK86" s="8">
        <f t="shared" si="622"/>
        <v>-0.3404944685732415</v>
      </c>
      <c r="CL86" s="173">
        <f t="shared" si="623"/>
        <v>-0.74924549083357761</v>
      </c>
      <c r="CM86" s="5">
        <f t="shared" si="624"/>
        <v>-0.29669342943423294</v>
      </c>
      <c r="CN86" s="6">
        <f t="shared" si="625"/>
        <v>-0.3404944685732415</v>
      </c>
      <c r="CO86" s="167">
        <f t="shared" si="546"/>
        <v>0.3125</v>
      </c>
      <c r="CP86" s="4">
        <f t="shared" si="645"/>
        <v>0.88430037579344223</v>
      </c>
      <c r="CQ86" s="5">
        <f t="shared" si="646"/>
        <v>-1.4128009641406121</v>
      </c>
      <c r="CR86" s="5">
        <f t="shared" si="647"/>
        <v>0.79207425056597613</v>
      </c>
      <c r="CS86" s="8">
        <f t="shared" si="648"/>
        <v>-0.80571966545056428</v>
      </c>
      <c r="CT86" s="9" t="e">
        <f t="shared" si="649"/>
        <v>#NUM!</v>
      </c>
      <c r="CU86" s="6" t="e">
        <f t="shared" si="650"/>
        <v>#NUM!</v>
      </c>
      <c r="CV86" s="4" t="e">
        <f t="shared" si="651"/>
        <v>#NUM!</v>
      </c>
      <c r="CW86" s="5" t="e">
        <f t="shared" si="652"/>
        <v>#NUM!</v>
      </c>
      <c r="CX86" s="8" t="e">
        <f t="shared" si="653"/>
        <v>#NUM!</v>
      </c>
      <c r="CY86" s="9" t="e">
        <f t="shared" si="654"/>
        <v>#NUM!</v>
      </c>
      <c r="CZ86" s="5" t="e">
        <f t="shared" si="655"/>
        <v>#NUM!</v>
      </c>
      <c r="DA86" s="6" t="e">
        <f t="shared" si="656"/>
        <v>#NUM!</v>
      </c>
      <c r="DB86" s="4">
        <f t="shared" si="657"/>
        <v>0</v>
      </c>
      <c r="DC86" s="5">
        <f t="shared" si="657"/>
        <v>0</v>
      </c>
      <c r="DD86" s="10">
        <f t="shared" si="658"/>
        <v>-10</v>
      </c>
      <c r="DE86" s="9">
        <f t="shared" si="659"/>
        <v>0</v>
      </c>
      <c r="DF86" s="5">
        <f t="shared" si="659"/>
        <v>0</v>
      </c>
      <c r="DG86" s="10">
        <f t="shared" si="660"/>
        <v>10</v>
      </c>
      <c r="DH86" s="70">
        <f t="shared" si="661"/>
        <v>0.46260000000000001</v>
      </c>
      <c r="DI86" s="4">
        <f t="shared" si="662"/>
        <v>0</v>
      </c>
      <c r="DJ86" s="5">
        <f t="shared" si="663"/>
        <v>0</v>
      </c>
      <c r="DK86" s="10">
        <f t="shared" si="664"/>
        <v>20</v>
      </c>
      <c r="DL86" s="9" t="e">
        <f t="shared" si="665"/>
        <v>#NUM!</v>
      </c>
      <c r="DM86" s="173" t="e">
        <f t="shared" si="666"/>
        <v>#NUM!</v>
      </c>
      <c r="DN86" s="178" t="e">
        <f t="shared" si="667"/>
        <v>#NUM!</v>
      </c>
      <c r="DO86" s="9" t="e">
        <f t="shared" si="668"/>
        <v>#NUM!</v>
      </c>
      <c r="DP86" s="173" t="e">
        <f t="shared" si="669"/>
        <v>#NUM!</v>
      </c>
      <c r="DQ86" s="11" t="e">
        <f t="shared" si="670"/>
        <v>#NUM!</v>
      </c>
      <c r="DR86" s="173" t="e">
        <f t="shared" si="671"/>
        <v>#NUM!</v>
      </c>
      <c r="DS86" s="5" t="e">
        <f t="shared" si="672"/>
        <v>#NUM!</v>
      </c>
      <c r="DT86" s="5">
        <f t="shared" si="673"/>
        <v>400</v>
      </c>
      <c r="DU86" s="5" t="e">
        <f t="shared" si="674"/>
        <v>#NUM!</v>
      </c>
      <c r="DV86" s="5" t="e">
        <f t="shared" si="675"/>
        <v>#NUM!</v>
      </c>
      <c r="DW86" s="5" t="e">
        <f t="shared" si="676"/>
        <v>#NUM!</v>
      </c>
      <c r="DX86" s="167" t="e">
        <f t="shared" si="677"/>
        <v>#NUM!</v>
      </c>
      <c r="DY86" s="9" t="e">
        <f t="shared" si="678"/>
        <v>#NUM!</v>
      </c>
      <c r="DZ86" s="5" t="e">
        <f t="shared" si="679"/>
        <v>#NUM!</v>
      </c>
      <c r="EA86" s="10" t="e">
        <f t="shared" si="680"/>
        <v>#NUM!</v>
      </c>
      <c r="EB86" s="6" t="e">
        <f t="shared" si="681"/>
        <v>#NUM!</v>
      </c>
      <c r="EC86" s="173" t="e">
        <f t="shared" si="682"/>
        <v>#NUM!</v>
      </c>
      <c r="ED86" s="5" t="e">
        <f t="shared" si="683"/>
        <v>#NUM!</v>
      </c>
      <c r="EE86" s="4" t="e">
        <f t="shared" si="684"/>
        <v>#NUM!</v>
      </c>
      <c r="EF86" s="5" t="e">
        <f t="shared" si="685"/>
        <v>#NUM!</v>
      </c>
      <c r="EG86" s="10" t="e">
        <f t="shared" si="686"/>
        <v>#NUM!</v>
      </c>
      <c r="EH86" s="9" t="e">
        <f t="shared" si="687"/>
        <v>#NUM!</v>
      </c>
      <c r="EI86" s="5" t="e">
        <f t="shared" si="688"/>
        <v>#NUM!</v>
      </c>
      <c r="EJ86" s="6" t="e">
        <f t="shared" si="689"/>
        <v>#NUM!</v>
      </c>
      <c r="EK86" s="236" t="e">
        <f t="shared" si="690"/>
        <v>#NUM!</v>
      </c>
      <c r="EL86" s="238" t="e">
        <f t="shared" si="691"/>
        <v>#NUM!</v>
      </c>
      <c r="EM86" s="4" t="e">
        <f t="shared" si="692"/>
        <v>#NUM!</v>
      </c>
      <c r="EN86" s="5" t="e">
        <f t="shared" si="693"/>
        <v>#NUM!</v>
      </c>
      <c r="EO86" s="10" t="e">
        <f t="shared" si="694"/>
        <v>#NUM!</v>
      </c>
      <c r="EP86" s="9" t="e">
        <f t="shared" si="695"/>
        <v>#NUM!</v>
      </c>
      <c r="EQ86" s="5" t="e">
        <f t="shared" si="696"/>
        <v>#NUM!</v>
      </c>
      <c r="ER86" s="7" t="e">
        <f t="shared" si="697"/>
        <v>#NUM!</v>
      </c>
      <c r="ES86" s="21">
        <f t="shared" si="547"/>
        <v>-0.56827068396935076</v>
      </c>
      <c r="ET86" s="5">
        <f t="shared" si="548"/>
        <v>0.74924549083357761</v>
      </c>
      <c r="EU86" s="10">
        <f t="shared" si="549"/>
        <v>-0.34014647463491016</v>
      </c>
      <c r="EV86" s="174" t="e">
        <f t="shared" si="550"/>
        <v>#NUM!</v>
      </c>
      <c r="EW86" s="9" t="e">
        <f t="shared" si="551"/>
        <v>#NUM!</v>
      </c>
      <c r="EX86" s="5" t="e">
        <f t="shared" si="552"/>
        <v>#NUM!</v>
      </c>
      <c r="EY86" s="6">
        <f t="shared" si="698"/>
        <v>-0.34014647463491016</v>
      </c>
      <c r="EZ86" s="51" t="e">
        <f t="shared" si="699"/>
        <v>#NUM!</v>
      </c>
      <c r="FA86" s="173" t="e">
        <f t="shared" si="553"/>
        <v>#NUM!</v>
      </c>
      <c r="FB86" s="5" t="e">
        <f t="shared" si="554"/>
        <v>#NUM!</v>
      </c>
      <c r="FC86" s="6" t="e">
        <f t="shared" si="555"/>
        <v>#NUM!</v>
      </c>
      <c r="FD86" s="4" t="e">
        <f t="shared" si="556"/>
        <v>#NUM!</v>
      </c>
      <c r="FE86" s="5" t="e">
        <f t="shared" si="557"/>
        <v>#NUM!</v>
      </c>
      <c r="FF86" s="7" t="e">
        <f t="shared" si="700"/>
        <v>#NUM!</v>
      </c>
      <c r="FG86" s="173" t="e">
        <f t="shared" si="558"/>
        <v>#NUM!</v>
      </c>
      <c r="FH86" s="5" t="e">
        <f t="shared" si="559"/>
        <v>#NUM!</v>
      </c>
      <c r="FI86" s="10" t="e">
        <f t="shared" si="560"/>
        <v>#NUM!</v>
      </c>
      <c r="FJ86" s="279" t="e">
        <f t="shared" si="701"/>
        <v>#NUM!</v>
      </c>
      <c r="FK86" s="4">
        <f t="shared" si="561"/>
        <v>0.94037246652241069</v>
      </c>
      <c r="FL86" s="5" t="e">
        <f t="shared" si="626"/>
        <v>#NUM!</v>
      </c>
      <c r="FM86" s="8" t="e">
        <f t="shared" si="627"/>
        <v>#NUM!</v>
      </c>
      <c r="FN86" s="9" t="e">
        <f t="shared" si="628"/>
        <v>#NUM!</v>
      </c>
      <c r="FO86" s="10" t="e">
        <f t="shared" si="562"/>
        <v>#NUM!</v>
      </c>
      <c r="FP86" s="277" t="e">
        <f t="shared" si="629"/>
        <v>#NUM!</v>
      </c>
      <c r="FQ86" s="173" t="e">
        <f t="shared" si="702"/>
        <v>#NUM!</v>
      </c>
      <c r="FR86" s="10" t="e">
        <f t="shared" si="703"/>
        <v>#NUM!</v>
      </c>
      <c r="FS86" s="9" t="e">
        <f t="shared" si="704"/>
        <v>#NUM!</v>
      </c>
      <c r="FT86" s="6" t="e">
        <f t="shared" si="705"/>
        <v>#NUM!</v>
      </c>
      <c r="FU86" s="4" t="e">
        <f t="shared" si="706"/>
        <v>#NUM!</v>
      </c>
      <c r="FV86" s="5" t="e">
        <f t="shared" si="707"/>
        <v>#NUM!</v>
      </c>
      <c r="FW86" s="8" t="e">
        <f t="shared" si="708"/>
        <v>#NUM!</v>
      </c>
      <c r="FX86" s="9" t="e">
        <f t="shared" si="709"/>
        <v>#NUM!</v>
      </c>
      <c r="FY86" s="10" t="e">
        <f t="shared" si="563"/>
        <v>#NUM!</v>
      </c>
      <c r="FZ86" s="277" t="e">
        <f t="shared" si="710"/>
        <v>#NUM!</v>
      </c>
      <c r="GA86" s="177" t="e">
        <f t="shared" si="711"/>
        <v>#NUM!</v>
      </c>
      <c r="GB86" s="4" t="e">
        <f t="shared" si="712"/>
        <v>#NUM!</v>
      </c>
      <c r="GC86" s="5" t="e">
        <f t="shared" si="713"/>
        <v>#NUM!</v>
      </c>
      <c r="GD86" s="10" t="e">
        <f t="shared" si="714"/>
        <v>#NUM!</v>
      </c>
      <c r="GE86" s="311" t="e">
        <f t="shared" si="715"/>
        <v>#NUM!</v>
      </c>
      <c r="GF86" s="341" t="e">
        <f t="shared" si="716"/>
        <v>#NUM!</v>
      </c>
      <c r="GG86" s="285" t="e">
        <f t="shared" si="564"/>
        <v>#NUM!</v>
      </c>
      <c r="GH86" s="286" t="e">
        <f t="shared" si="565"/>
        <v>#NUM!</v>
      </c>
      <c r="GI86" s="281" t="e">
        <f t="shared" si="566"/>
        <v>#NUM!</v>
      </c>
      <c r="GJ86" s="167">
        <f t="shared" si="717"/>
        <v>0.46260000000000001</v>
      </c>
      <c r="GK86" s="174">
        <f t="shared" si="567"/>
        <v>0.2431110916343748</v>
      </c>
      <c r="GL86" s="174">
        <f t="shared" si="718"/>
        <v>5.7200000000000001E-2</v>
      </c>
      <c r="GM86" s="177">
        <f t="shared" si="719"/>
        <v>0.16687145329783487</v>
      </c>
      <c r="GN86" s="280">
        <f t="shared" si="720"/>
        <v>1.9015399772101534E-2</v>
      </c>
      <c r="GO86" s="4" t="e">
        <f t="shared" si="721"/>
        <v>#NUM!</v>
      </c>
      <c r="GP86" s="8" t="e">
        <f t="shared" si="722"/>
        <v>#NUM!</v>
      </c>
      <c r="GQ86" s="177" t="e">
        <f t="shared" si="723"/>
        <v>#NUM!</v>
      </c>
      <c r="GR86" s="371" t="e">
        <f t="shared" si="724"/>
        <v>#NUM!</v>
      </c>
      <c r="GS86" s="342" t="e">
        <f t="shared" si="568"/>
        <v>#NUM!</v>
      </c>
      <c r="GT86" s="343" t="e">
        <f t="shared" si="569"/>
        <v>#NUM!</v>
      </c>
      <c r="GU86" s="344">
        <f t="shared" si="570"/>
        <v>410.22565602384407</v>
      </c>
      <c r="GV86" s="343">
        <f t="shared" si="725"/>
        <v>1687.4</v>
      </c>
      <c r="GW86" s="345">
        <f t="shared" si="571"/>
        <v>29500</v>
      </c>
      <c r="GX86" s="346">
        <f t="shared" si="572"/>
        <v>65.049270000000007</v>
      </c>
      <c r="GY86" s="344" t="e">
        <f t="shared" si="573"/>
        <v>#NUM!</v>
      </c>
      <c r="GZ86" s="345" t="e">
        <f t="shared" si="574"/>
        <v>#NUM!</v>
      </c>
      <c r="HA86" s="342" t="e">
        <f t="shared" si="575"/>
        <v>#NUM!</v>
      </c>
      <c r="HB86" s="5" t="e">
        <f t="shared" si="726"/>
        <v>#NUM!</v>
      </c>
      <c r="HC86" s="343" t="e">
        <f t="shared" si="727"/>
        <v>#NUM!</v>
      </c>
      <c r="HD86" s="363" t="e">
        <f t="shared" si="728"/>
        <v>#NUM!</v>
      </c>
      <c r="HE86" s="344" t="e">
        <f t="shared" si="576"/>
        <v>#NUM!</v>
      </c>
      <c r="HF86" s="5" t="e">
        <f t="shared" si="577"/>
        <v>#NUM!</v>
      </c>
      <c r="HG86" s="343" t="e">
        <f t="shared" si="729"/>
        <v>#NUM!</v>
      </c>
      <c r="HH86" s="349" t="e">
        <f t="shared" si="730"/>
        <v>#NUM!</v>
      </c>
      <c r="HI86" s="317">
        <f t="shared" si="578"/>
        <v>5.1020000000000003</v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5.1020000000000003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596"/>
        <v>1613</v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>
        <f t="shared" si="256"/>
        <v>0</v>
      </c>
      <c r="B87" s="578">
        <f t="shared" si="515"/>
        <v>-1.0907044771008914</v>
      </c>
      <c r="C87" s="572">
        <f t="shared" si="516"/>
        <v>-0.76371898481477096</v>
      </c>
      <c r="D87" s="576">
        <f t="shared" si="517"/>
        <v>-0.68605206913304062</v>
      </c>
      <c r="E87" s="580">
        <f t="shared" si="518"/>
        <v>0.56512790748005948</v>
      </c>
      <c r="F87" s="572">
        <f t="shared" si="519"/>
        <v>-0.78347089964357719</v>
      </c>
      <c r="G87" s="579">
        <f t="shared" si="520"/>
        <v>0.25846430623761779</v>
      </c>
      <c r="H87" s="580">
        <f t="shared" si="521"/>
        <v>0.3125</v>
      </c>
      <c r="I87" s="572">
        <f t="shared" si="522"/>
        <v>0.52</v>
      </c>
      <c r="J87" s="483">
        <f t="shared" si="523"/>
        <v>5.1050000000000004</v>
      </c>
      <c r="K87" s="806">
        <f t="shared" si="524"/>
        <v>1613</v>
      </c>
      <c r="L87" s="309"/>
      <c r="M87" s="164">
        <f t="shared" si="526"/>
        <v>5.1050000000000004</v>
      </c>
      <c r="N87" s="575">
        <f t="shared" si="527"/>
        <v>-1.0907044771008914</v>
      </c>
      <c r="O87" s="572">
        <f t="shared" si="528"/>
        <v>-0.76371898481477096</v>
      </c>
      <c r="P87" s="576">
        <f t="shared" si="529"/>
        <v>-0.68605206913304062</v>
      </c>
      <c r="Q87" s="528">
        <f t="shared" si="609"/>
        <v>214.99998195223557</v>
      </c>
      <c r="R87" s="572">
        <f t="shared" si="101"/>
        <v>1.331504015816112</v>
      </c>
      <c r="S87" s="577">
        <f t="shared" si="102"/>
        <v>-0.68605206913304062</v>
      </c>
      <c r="T87" s="578">
        <f t="shared" si="103"/>
        <v>-0.76371895483287766</v>
      </c>
      <c r="U87" s="572">
        <f t="shared" si="104"/>
        <v>1.0907044980944243</v>
      </c>
      <c r="V87" s="579">
        <f t="shared" si="141"/>
        <v>-0.68605206913304062</v>
      </c>
      <c r="W87" s="528">
        <f t="shared" si="735"/>
        <v>124.99998037725723</v>
      </c>
      <c r="X87" s="572">
        <f t="shared" si="105"/>
        <v>1.331504015816112</v>
      </c>
      <c r="Y87" s="573">
        <f t="shared" si="733"/>
        <v>-0.68605206913304062</v>
      </c>
      <c r="Z87" s="575">
        <f t="shared" si="530"/>
        <v>-0.56512790748005948</v>
      </c>
      <c r="AA87" s="572">
        <f t="shared" si="531"/>
        <v>0.78347089964357719</v>
      </c>
      <c r="AB87" s="572">
        <f t="shared" si="532"/>
        <v>-0.25846430623761779</v>
      </c>
      <c r="AC87" s="579">
        <f t="shared" si="106"/>
        <v>1</v>
      </c>
      <c r="AD87" s="580">
        <f t="shared" si="142"/>
        <v>-0.56512790748005948</v>
      </c>
      <c r="AE87" s="572">
        <f t="shared" si="107"/>
        <v>0.78347089964357719</v>
      </c>
      <c r="AF87" s="576">
        <f t="shared" si="108"/>
        <v>-0.25846430623761779</v>
      </c>
      <c r="AG87" s="545">
        <f t="shared" si="109"/>
        <v>71.742458059154785</v>
      </c>
      <c r="AH87" s="546">
        <f t="shared" si="110"/>
        <v>124.41117390385294</v>
      </c>
      <c r="AI87" s="528">
        <f t="shared" si="111"/>
        <v>-75.021040994812239</v>
      </c>
      <c r="AJ87" s="529">
        <f t="shared" si="112"/>
        <v>-144.19659061971709</v>
      </c>
      <c r="AK87" s="578">
        <f t="shared" si="238"/>
        <v>0.96592583607220739</v>
      </c>
      <c r="AL87" s="572">
        <f t="shared" si="113"/>
        <v>1.3545538354532427E-2</v>
      </c>
      <c r="AM87" s="577">
        <f t="shared" si="114"/>
        <v>-0.25846430623761779</v>
      </c>
      <c r="AN87" s="524">
        <f t="shared" si="115"/>
        <v>2.9999995668536164</v>
      </c>
      <c r="AO87" s="525">
        <f t="shared" si="525"/>
        <v>14.999997834268255</v>
      </c>
      <c r="AP87" s="528">
        <f t="shared" si="117"/>
        <v>0.80342742804737532</v>
      </c>
      <c r="AQ87" s="529">
        <f t="shared" si="533"/>
        <v>1.7116346588565312</v>
      </c>
      <c r="AS87" s="932">
        <f t="shared" si="632"/>
        <v>-235.00001962274277</v>
      </c>
      <c r="AT87" s="928">
        <f t="shared" si="534"/>
        <v>-0.52285760055979913</v>
      </c>
      <c r="AU87" s="418"/>
      <c r="AV87" s="164">
        <f t="shared" si="535"/>
        <v>5.1050000000000004</v>
      </c>
      <c r="AW87" s="797">
        <f>IFERROR(INDEX(MassProp!C$9:C$150,MATCH($M87,MassProp!$B$9:$B$150,0)),"")</f>
        <v>1.161</v>
      </c>
      <c r="AX87" s="744">
        <f>IFERROR(INDEX(MassProp!D$9:D$150,MATCH($M87,MassProp!$B$9:$B$150,0)),"")</f>
        <v>0.2661</v>
      </c>
      <c r="AY87" s="731">
        <f>IFERROR(INDEX(MassProp!E$9:E$150,MATCH($M87,MassProp!$B$9:$B$150,0)),"")</f>
        <v>5.6800000000000003E-2</v>
      </c>
      <c r="AZ87" s="297">
        <f t="shared" si="633"/>
        <v>0.41458665178086257</v>
      </c>
      <c r="BA87" s="296">
        <f t="shared" si="536"/>
        <v>4.7243136965550957E-2</v>
      </c>
      <c r="BB87" s="177">
        <f t="shared" si="610"/>
        <v>0.53895760055979913</v>
      </c>
      <c r="BC87" s="9"/>
      <c r="BD87" s="5">
        <f t="shared" si="611"/>
        <v>1.161</v>
      </c>
      <c r="BE87" s="6">
        <f t="shared" si="537"/>
        <v>-0.14709446857324149</v>
      </c>
      <c r="BF87" s="4">
        <f t="shared" si="538"/>
        <v>-1.0907044771008914</v>
      </c>
      <c r="BG87" s="5">
        <f t="shared" si="539"/>
        <v>-0.76371898481477096</v>
      </c>
      <c r="BH87" s="10">
        <f t="shared" si="540"/>
        <v>-0.68605206913304062</v>
      </c>
      <c r="BI87" s="9">
        <f t="shared" si="634"/>
        <v>-1.0907044771008914</v>
      </c>
      <c r="BJ87" s="5">
        <f t="shared" si="541"/>
        <v>-0.45043017053423878</v>
      </c>
      <c r="BK87" s="8">
        <f t="shared" si="542"/>
        <v>0.26360582655713805</v>
      </c>
      <c r="BL87" s="173">
        <f t="shared" si="543"/>
        <v>-0.26570117517585712</v>
      </c>
      <c r="BM87" s="5">
        <f t="shared" si="544"/>
        <v>-0.22704080540146365</v>
      </c>
      <c r="BN87" s="6">
        <f t="shared" si="545"/>
        <v>-0.86310032118430668</v>
      </c>
      <c r="BO87" s="4">
        <f t="shared" si="635"/>
        <v>-0.56512790748005948</v>
      </c>
      <c r="BP87" s="5">
        <f t="shared" si="734"/>
        <v>0.7834708996435773</v>
      </c>
      <c r="BQ87" s="5">
        <f t="shared" si="636"/>
        <v>-0.25846430623761785</v>
      </c>
      <c r="BR87" s="6">
        <f t="shared" si="637"/>
        <v>-0.19535591080680473</v>
      </c>
      <c r="BS87" s="4">
        <f t="shared" si="612"/>
        <v>0</v>
      </c>
      <c r="BT87" s="5">
        <f t="shared" si="612"/>
        <v>0</v>
      </c>
      <c r="BU87" s="10">
        <f t="shared" si="613"/>
        <v>-0.14709446857324149</v>
      </c>
      <c r="BV87" s="9">
        <f t="shared" si="614"/>
        <v>0</v>
      </c>
      <c r="BW87" s="5">
        <f t="shared" si="615"/>
        <v>1</v>
      </c>
      <c r="BX87" s="8">
        <f t="shared" si="616"/>
        <v>-0.14709446857324149</v>
      </c>
      <c r="BY87" s="173">
        <f t="shared" si="617"/>
        <v>1</v>
      </c>
      <c r="BZ87" s="5">
        <f t="shared" si="618"/>
        <v>0</v>
      </c>
      <c r="CA87" s="6">
        <f t="shared" si="619"/>
        <v>-0.14709446857324149</v>
      </c>
      <c r="CB87" s="4">
        <f t="shared" si="638"/>
        <v>0</v>
      </c>
      <c r="CC87" s="5">
        <f t="shared" si="639"/>
        <v>0</v>
      </c>
      <c r="CD87" s="5">
        <f t="shared" si="640"/>
        <v>-1</v>
      </c>
      <c r="CE87" s="6">
        <f t="shared" si="641"/>
        <v>-0.14709446857324149</v>
      </c>
      <c r="CF87" s="4">
        <f t="shared" si="642"/>
        <v>-0.7834708996435773</v>
      </c>
      <c r="CG87" s="5">
        <f t="shared" si="643"/>
        <v>-0.56512790748005948</v>
      </c>
      <c r="CH87" s="5">
        <f t="shared" si="644"/>
        <v>0</v>
      </c>
      <c r="CI87" s="4">
        <f t="shared" si="620"/>
        <v>0</v>
      </c>
      <c r="CJ87" s="5">
        <f t="shared" si="621"/>
        <v>0.20082078492922695</v>
      </c>
      <c r="CK87" s="8">
        <f t="shared" si="622"/>
        <v>-0.14709446857324149</v>
      </c>
      <c r="CL87" s="173">
        <f t="shared" si="623"/>
        <v>-0.7834708996435773</v>
      </c>
      <c r="CM87" s="5">
        <f t="shared" si="624"/>
        <v>-0.36430712255083253</v>
      </c>
      <c r="CN87" s="6">
        <f t="shared" si="625"/>
        <v>-0.14709446857324149</v>
      </c>
      <c r="CO87" s="167">
        <f t="shared" si="546"/>
        <v>0.3125</v>
      </c>
      <c r="CP87" s="4">
        <f t="shared" si="645"/>
        <v>0.93319620240110712</v>
      </c>
      <c r="CQ87" s="5">
        <f t="shared" si="646"/>
        <v>-2.7992471193524739</v>
      </c>
      <c r="CR87" s="5">
        <f t="shared" si="647"/>
        <v>2.3127922689869091</v>
      </c>
      <c r="CS87" s="8">
        <f t="shared" si="648"/>
        <v>-0.79737141424176983</v>
      </c>
      <c r="CT87" s="9" t="e">
        <f t="shared" si="649"/>
        <v>#NUM!</v>
      </c>
      <c r="CU87" s="6" t="e">
        <f t="shared" si="650"/>
        <v>#NUM!</v>
      </c>
      <c r="CV87" s="4" t="e">
        <f t="shared" si="651"/>
        <v>#NUM!</v>
      </c>
      <c r="CW87" s="5" t="e">
        <f t="shared" si="652"/>
        <v>#NUM!</v>
      </c>
      <c r="CX87" s="8" t="e">
        <f t="shared" si="653"/>
        <v>#NUM!</v>
      </c>
      <c r="CY87" s="9" t="e">
        <f t="shared" si="654"/>
        <v>#NUM!</v>
      </c>
      <c r="CZ87" s="5" t="e">
        <f t="shared" si="655"/>
        <v>#NUM!</v>
      </c>
      <c r="DA87" s="6" t="e">
        <f t="shared" si="656"/>
        <v>#NUM!</v>
      </c>
      <c r="DB87" s="4">
        <f t="shared" si="657"/>
        <v>0</v>
      </c>
      <c r="DC87" s="5">
        <f t="shared" si="657"/>
        <v>0</v>
      </c>
      <c r="DD87" s="10">
        <f t="shared" si="658"/>
        <v>-10</v>
      </c>
      <c r="DE87" s="9">
        <f t="shared" si="659"/>
        <v>0</v>
      </c>
      <c r="DF87" s="5">
        <f t="shared" si="659"/>
        <v>0</v>
      </c>
      <c r="DG87" s="10">
        <f t="shared" si="660"/>
        <v>10</v>
      </c>
      <c r="DH87" s="70">
        <f t="shared" si="661"/>
        <v>1.161</v>
      </c>
      <c r="DI87" s="4">
        <f t="shared" si="662"/>
        <v>0</v>
      </c>
      <c r="DJ87" s="5">
        <f t="shared" si="663"/>
        <v>0</v>
      </c>
      <c r="DK87" s="10">
        <f t="shared" si="664"/>
        <v>20</v>
      </c>
      <c r="DL87" s="9" t="e">
        <f t="shared" si="665"/>
        <v>#NUM!</v>
      </c>
      <c r="DM87" s="173" t="e">
        <f t="shared" si="666"/>
        <v>#NUM!</v>
      </c>
      <c r="DN87" s="178" t="e">
        <f t="shared" si="667"/>
        <v>#NUM!</v>
      </c>
      <c r="DO87" s="9" t="e">
        <f t="shared" si="668"/>
        <v>#NUM!</v>
      </c>
      <c r="DP87" s="173" t="e">
        <f t="shared" si="669"/>
        <v>#NUM!</v>
      </c>
      <c r="DQ87" s="11" t="e">
        <f t="shared" si="670"/>
        <v>#NUM!</v>
      </c>
      <c r="DR87" s="173" t="e">
        <f t="shared" si="671"/>
        <v>#NUM!</v>
      </c>
      <c r="DS87" s="5" t="e">
        <f t="shared" si="672"/>
        <v>#NUM!</v>
      </c>
      <c r="DT87" s="5">
        <f t="shared" si="673"/>
        <v>400</v>
      </c>
      <c r="DU87" s="5" t="e">
        <f t="shared" si="674"/>
        <v>#NUM!</v>
      </c>
      <c r="DV87" s="5" t="e">
        <f t="shared" si="675"/>
        <v>#NUM!</v>
      </c>
      <c r="DW87" s="5" t="e">
        <f t="shared" si="676"/>
        <v>#NUM!</v>
      </c>
      <c r="DX87" s="167" t="e">
        <f t="shared" si="677"/>
        <v>#NUM!</v>
      </c>
      <c r="DY87" s="9" t="e">
        <f t="shared" si="678"/>
        <v>#NUM!</v>
      </c>
      <c r="DZ87" s="5" t="e">
        <f t="shared" si="679"/>
        <v>#NUM!</v>
      </c>
      <c r="EA87" s="10" t="e">
        <f t="shared" si="680"/>
        <v>#NUM!</v>
      </c>
      <c r="EB87" s="6" t="e">
        <f t="shared" si="681"/>
        <v>#NUM!</v>
      </c>
      <c r="EC87" s="173" t="e">
        <f t="shared" si="682"/>
        <v>#NUM!</v>
      </c>
      <c r="ED87" s="5" t="e">
        <f t="shared" si="683"/>
        <v>#NUM!</v>
      </c>
      <c r="EE87" s="4" t="e">
        <f t="shared" si="684"/>
        <v>#NUM!</v>
      </c>
      <c r="EF87" s="5" t="e">
        <f t="shared" si="685"/>
        <v>#NUM!</v>
      </c>
      <c r="EG87" s="10" t="e">
        <f t="shared" si="686"/>
        <v>#NUM!</v>
      </c>
      <c r="EH87" s="9" t="e">
        <f t="shared" si="687"/>
        <v>#NUM!</v>
      </c>
      <c r="EI87" s="5" t="e">
        <f t="shared" si="688"/>
        <v>#NUM!</v>
      </c>
      <c r="EJ87" s="6" t="e">
        <f t="shared" si="689"/>
        <v>#NUM!</v>
      </c>
      <c r="EK87" s="236" t="e">
        <f t="shared" si="690"/>
        <v>#NUM!</v>
      </c>
      <c r="EL87" s="238" t="e">
        <f t="shared" si="691"/>
        <v>#NUM!</v>
      </c>
      <c r="EM87" s="4" t="e">
        <f t="shared" si="692"/>
        <v>#NUM!</v>
      </c>
      <c r="EN87" s="5" t="e">
        <f t="shared" si="693"/>
        <v>#NUM!</v>
      </c>
      <c r="EO87" s="10" t="e">
        <f t="shared" si="694"/>
        <v>#NUM!</v>
      </c>
      <c r="EP87" s="9" t="e">
        <f t="shared" si="695"/>
        <v>#NUM!</v>
      </c>
      <c r="EQ87" s="5" t="e">
        <f t="shared" si="696"/>
        <v>#NUM!</v>
      </c>
      <c r="ER87" s="7" t="e">
        <f t="shared" si="697"/>
        <v>#NUM!</v>
      </c>
      <c r="ES87" s="21">
        <f t="shared" si="547"/>
        <v>-0.56512790748005948</v>
      </c>
      <c r="ET87" s="5">
        <f t="shared" si="548"/>
        <v>0.78347089964357719</v>
      </c>
      <c r="EU87" s="10">
        <f t="shared" si="549"/>
        <v>-0.25846430623761779</v>
      </c>
      <c r="EV87" s="174" t="e">
        <f t="shared" si="550"/>
        <v>#NUM!</v>
      </c>
      <c r="EW87" s="9" t="e">
        <f t="shared" si="551"/>
        <v>#NUM!</v>
      </c>
      <c r="EX87" s="5" t="e">
        <f t="shared" si="552"/>
        <v>#NUM!</v>
      </c>
      <c r="EY87" s="6">
        <f t="shared" si="698"/>
        <v>-0.25846430623761779</v>
      </c>
      <c r="EZ87" s="51" t="e">
        <f t="shared" si="699"/>
        <v>#NUM!</v>
      </c>
      <c r="FA87" s="173" t="e">
        <f t="shared" si="553"/>
        <v>#NUM!</v>
      </c>
      <c r="FB87" s="5" t="e">
        <f t="shared" si="554"/>
        <v>#NUM!</v>
      </c>
      <c r="FC87" s="6" t="e">
        <f t="shared" si="555"/>
        <v>#NUM!</v>
      </c>
      <c r="FD87" s="4" t="e">
        <f t="shared" si="556"/>
        <v>#NUM!</v>
      </c>
      <c r="FE87" s="5" t="e">
        <f t="shared" si="557"/>
        <v>#NUM!</v>
      </c>
      <c r="FF87" s="7" t="e">
        <f t="shared" si="700"/>
        <v>#NUM!</v>
      </c>
      <c r="FG87" s="173" t="e">
        <f t="shared" si="558"/>
        <v>#NUM!</v>
      </c>
      <c r="FH87" s="5" t="e">
        <f t="shared" si="559"/>
        <v>#NUM!</v>
      </c>
      <c r="FI87" s="10" t="e">
        <f t="shared" si="560"/>
        <v>#NUM!</v>
      </c>
      <c r="FJ87" s="279" t="e">
        <f t="shared" si="701"/>
        <v>#NUM!</v>
      </c>
      <c r="FK87" s="4">
        <f t="shared" si="561"/>
        <v>0.96602080847210892</v>
      </c>
      <c r="FL87" s="5" t="e">
        <f t="shared" si="626"/>
        <v>#NUM!</v>
      </c>
      <c r="FM87" s="8" t="e">
        <f t="shared" si="627"/>
        <v>#NUM!</v>
      </c>
      <c r="FN87" s="9" t="e">
        <f t="shared" si="628"/>
        <v>#NUM!</v>
      </c>
      <c r="FO87" s="10" t="e">
        <f t="shared" si="562"/>
        <v>#NUM!</v>
      </c>
      <c r="FP87" s="277" t="e">
        <f t="shared" si="629"/>
        <v>#NUM!</v>
      </c>
      <c r="FQ87" s="173" t="e">
        <f t="shared" si="702"/>
        <v>#NUM!</v>
      </c>
      <c r="FR87" s="10" t="e">
        <f t="shared" si="703"/>
        <v>#NUM!</v>
      </c>
      <c r="FS87" s="9" t="e">
        <f t="shared" si="704"/>
        <v>#NUM!</v>
      </c>
      <c r="FT87" s="6" t="e">
        <f t="shared" si="705"/>
        <v>#NUM!</v>
      </c>
      <c r="FU87" s="4" t="e">
        <f t="shared" si="706"/>
        <v>#NUM!</v>
      </c>
      <c r="FV87" s="5" t="e">
        <f t="shared" si="707"/>
        <v>#NUM!</v>
      </c>
      <c r="FW87" s="8" t="e">
        <f t="shared" si="708"/>
        <v>#NUM!</v>
      </c>
      <c r="FX87" s="9" t="e">
        <f t="shared" si="709"/>
        <v>#NUM!</v>
      </c>
      <c r="FY87" s="10" t="e">
        <f t="shared" si="563"/>
        <v>#NUM!</v>
      </c>
      <c r="FZ87" s="277" t="e">
        <f t="shared" si="710"/>
        <v>#NUM!</v>
      </c>
      <c r="GA87" s="177" t="e">
        <f t="shared" si="711"/>
        <v>#NUM!</v>
      </c>
      <c r="GB87" s="4" t="e">
        <f t="shared" si="712"/>
        <v>#NUM!</v>
      </c>
      <c r="GC87" s="5" t="e">
        <f t="shared" si="713"/>
        <v>#NUM!</v>
      </c>
      <c r="GD87" s="10" t="e">
        <f t="shared" si="714"/>
        <v>#NUM!</v>
      </c>
      <c r="GE87" s="311" t="e">
        <f t="shared" si="715"/>
        <v>#NUM!</v>
      </c>
      <c r="GF87" s="341" t="e">
        <f t="shared" si="716"/>
        <v>#NUM!</v>
      </c>
      <c r="GG87" s="285" t="e">
        <f t="shared" si="564"/>
        <v>#NUM!</v>
      </c>
      <c r="GH87" s="286" t="e">
        <f t="shared" si="565"/>
        <v>#NUM!</v>
      </c>
      <c r="GI87" s="281" t="e">
        <f t="shared" si="566"/>
        <v>#NUM!</v>
      </c>
      <c r="GJ87" s="167">
        <f t="shared" si="717"/>
        <v>1.161</v>
      </c>
      <c r="GK87" s="174">
        <f t="shared" si="567"/>
        <v>0.6082550642324861</v>
      </c>
      <c r="GL87" s="174">
        <f t="shared" si="718"/>
        <v>5.6800000000000003E-2</v>
      </c>
      <c r="GM87" s="177">
        <f t="shared" si="719"/>
        <v>0.41458665178086257</v>
      </c>
      <c r="GN87" s="280">
        <f t="shared" si="720"/>
        <v>4.7243136965550957E-2</v>
      </c>
      <c r="GO87" s="4" t="e">
        <f t="shared" si="721"/>
        <v>#NUM!</v>
      </c>
      <c r="GP87" s="8" t="e">
        <f t="shared" si="722"/>
        <v>#NUM!</v>
      </c>
      <c r="GQ87" s="177" t="e">
        <f t="shared" si="723"/>
        <v>#NUM!</v>
      </c>
      <c r="GR87" s="371" t="e">
        <f t="shared" si="724"/>
        <v>#NUM!</v>
      </c>
      <c r="GS87" s="342" t="e">
        <f t="shared" si="568"/>
        <v>#NUM!</v>
      </c>
      <c r="GT87" s="343" t="e">
        <f t="shared" si="569"/>
        <v>#NUM!</v>
      </c>
      <c r="GU87" s="344">
        <f t="shared" si="570"/>
        <v>1019.1921856279538</v>
      </c>
      <c r="GV87" s="343">
        <f t="shared" si="725"/>
        <v>1675.6000000000001</v>
      </c>
      <c r="GW87" s="345">
        <f t="shared" si="571"/>
        <v>29500</v>
      </c>
      <c r="GX87" s="346">
        <f t="shared" si="572"/>
        <v>162.11430000000001</v>
      </c>
      <c r="GY87" s="344" t="e">
        <f t="shared" si="573"/>
        <v>#NUM!</v>
      </c>
      <c r="GZ87" s="345" t="e">
        <f t="shared" si="574"/>
        <v>#NUM!</v>
      </c>
      <c r="HA87" s="342" t="e">
        <f t="shared" si="575"/>
        <v>#NUM!</v>
      </c>
      <c r="HB87" s="5" t="e">
        <f t="shared" si="726"/>
        <v>#NUM!</v>
      </c>
      <c r="HC87" s="343" t="e">
        <f t="shared" si="727"/>
        <v>#NUM!</v>
      </c>
      <c r="HD87" s="363" t="e">
        <f t="shared" si="728"/>
        <v>#NUM!</v>
      </c>
      <c r="HE87" s="344" t="e">
        <f t="shared" si="576"/>
        <v>#NUM!</v>
      </c>
      <c r="HF87" s="5" t="e">
        <f t="shared" si="577"/>
        <v>#NUM!</v>
      </c>
      <c r="HG87" s="343" t="e">
        <f t="shared" si="729"/>
        <v>#NUM!</v>
      </c>
      <c r="HH87" s="349" t="e">
        <f t="shared" si="730"/>
        <v>#NUM!</v>
      </c>
      <c r="HI87" s="317">
        <f t="shared" si="578"/>
        <v>5.1050000000000004</v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5.1050000000000004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596"/>
        <v>1613</v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>
        <f t="shared" si="256"/>
        <v>0</v>
      </c>
      <c r="B88" s="578">
        <f t="shared" si="515"/>
        <v>-1.6984353457161006</v>
      </c>
      <c r="C88" s="572">
        <f t="shared" si="516"/>
        <v>-1.189256434934244</v>
      </c>
      <c r="D88" s="576">
        <f t="shared" si="517"/>
        <v>-0.4872514695504323</v>
      </c>
      <c r="E88" s="580">
        <f t="shared" si="518"/>
        <v>0.56512790748005948</v>
      </c>
      <c r="F88" s="572">
        <f t="shared" si="519"/>
        <v>-0.78347089964357741</v>
      </c>
      <c r="G88" s="579">
        <f t="shared" si="520"/>
        <v>0.25846430623761785</v>
      </c>
      <c r="H88" s="580">
        <f t="shared" si="521"/>
        <v>0.3125</v>
      </c>
      <c r="I88" s="572">
        <f t="shared" si="522"/>
        <v>0.52</v>
      </c>
      <c r="J88" s="483">
        <f t="shared" si="523"/>
        <v>5.1079999999999997</v>
      </c>
      <c r="K88" s="806">
        <f t="shared" si="524"/>
        <v>1613</v>
      </c>
      <c r="L88" s="309"/>
      <c r="M88" s="164">
        <f t="shared" si="526"/>
        <v>5.1079999999999997</v>
      </c>
      <c r="N88" s="575">
        <f t="shared" si="527"/>
        <v>-1.6984353457161006</v>
      </c>
      <c r="O88" s="572">
        <f t="shared" si="528"/>
        <v>-1.189256434934244</v>
      </c>
      <c r="P88" s="576">
        <f t="shared" si="529"/>
        <v>-0.4872514695504323</v>
      </c>
      <c r="Q88" s="528">
        <f t="shared" si="609"/>
        <v>214.99998195223557</v>
      </c>
      <c r="R88" s="572">
        <f t="shared" si="101"/>
        <v>2.0734062533932605</v>
      </c>
      <c r="S88" s="577">
        <f t="shared" si="102"/>
        <v>-0.4872514695504323</v>
      </c>
      <c r="T88" s="578">
        <f t="shared" si="103"/>
        <v>-1.1892563882467055</v>
      </c>
      <c r="U88" s="572">
        <f t="shared" si="104"/>
        <v>1.6984353784070438</v>
      </c>
      <c r="V88" s="579">
        <f t="shared" si="141"/>
        <v>-0.4872514695504323</v>
      </c>
      <c r="W88" s="528">
        <f t="shared" si="735"/>
        <v>124.99998037725723</v>
      </c>
      <c r="X88" s="572">
        <f t="shared" si="105"/>
        <v>2.0734062533932605</v>
      </c>
      <c r="Y88" s="573">
        <f t="shared" si="733"/>
        <v>-0.4872514695504323</v>
      </c>
      <c r="Z88" s="575">
        <f t="shared" si="530"/>
        <v>-0.56512790748005948</v>
      </c>
      <c r="AA88" s="572">
        <f t="shared" si="531"/>
        <v>0.78347089964357741</v>
      </c>
      <c r="AB88" s="572">
        <f t="shared" si="532"/>
        <v>-0.25846430623761785</v>
      </c>
      <c r="AC88" s="579">
        <f t="shared" si="106"/>
        <v>1</v>
      </c>
      <c r="AD88" s="580">
        <f t="shared" si="142"/>
        <v>-0.56512790748005948</v>
      </c>
      <c r="AE88" s="572">
        <f t="shared" si="107"/>
        <v>0.78347089964357741</v>
      </c>
      <c r="AF88" s="576">
        <f t="shared" si="108"/>
        <v>-0.25846430623761785</v>
      </c>
      <c r="AG88" s="545">
        <f t="shared" si="109"/>
        <v>71.742458059154785</v>
      </c>
      <c r="AH88" s="546">
        <f t="shared" si="110"/>
        <v>124.41117390385294</v>
      </c>
      <c r="AI88" s="528">
        <f t="shared" si="111"/>
        <v>-75.021040994812239</v>
      </c>
      <c r="AJ88" s="529">
        <f t="shared" si="112"/>
        <v>-144.19659061971709</v>
      </c>
      <c r="AK88" s="578">
        <f t="shared" si="238"/>
        <v>0.96592583607220761</v>
      </c>
      <c r="AL88" s="572">
        <f t="shared" si="113"/>
        <v>1.3545538354532316E-2</v>
      </c>
      <c r="AM88" s="577">
        <f t="shared" si="114"/>
        <v>-0.25846430623761785</v>
      </c>
      <c r="AN88" s="524">
        <f t="shared" si="115"/>
        <v>2.999999566853591</v>
      </c>
      <c r="AO88" s="525">
        <f t="shared" si="525"/>
        <v>14.999997834268203</v>
      </c>
      <c r="AP88" s="528">
        <f t="shared" si="117"/>
        <v>0.80342742804736855</v>
      </c>
      <c r="AQ88" s="529">
        <f t="shared" si="533"/>
        <v>1.0993729993711039</v>
      </c>
      <c r="AS88" s="932">
        <f t="shared" si="632"/>
        <v>-235.00001962274277</v>
      </c>
      <c r="AT88" s="928">
        <f t="shared" si="534"/>
        <v>-0.32405700097719087</v>
      </c>
      <c r="AU88" s="418"/>
      <c r="AV88" s="164">
        <f t="shared" si="535"/>
        <v>5.1079999999999997</v>
      </c>
      <c r="AW88" s="797">
        <f>IFERROR(INDEX(MassProp!C$9:C$150,MATCH($M88,MassProp!$B$9:$B$150,0)),"")</f>
        <v>1.8936999999999999</v>
      </c>
      <c r="AX88" s="744">
        <f>IFERROR(INDEX(MassProp!D$9:D$150,MATCH($M88,MassProp!$B$9:$B$150,0)),"")</f>
        <v>0.43959999999999999</v>
      </c>
      <c r="AY88" s="731">
        <f>IFERROR(INDEX(MassProp!E$9:E$150,MATCH($M88,MassProp!$B$9:$B$150,0)),"")</f>
        <v>6.4399999999999999E-2</v>
      </c>
      <c r="AZ88" s="297">
        <f t="shared" si="633"/>
        <v>0.76643046100218259</v>
      </c>
      <c r="BA88" s="296">
        <f t="shared" si="536"/>
        <v>8.7336577499931636E-2</v>
      </c>
      <c r="BB88" s="177">
        <f t="shared" si="610"/>
        <v>0.5136570009771908</v>
      </c>
      <c r="BC88" s="9"/>
      <c r="BD88" s="5">
        <f t="shared" si="611"/>
        <v>1.8936999999999999</v>
      </c>
      <c r="BE88" s="6">
        <f t="shared" si="537"/>
        <v>2.64055314267585E-2</v>
      </c>
      <c r="BF88" s="4">
        <f t="shared" si="538"/>
        <v>-1.6984353457161006</v>
      </c>
      <c r="BG88" s="5">
        <f t="shared" si="539"/>
        <v>-1.189256434934244</v>
      </c>
      <c r="BH88" s="10">
        <f t="shared" si="540"/>
        <v>-0.4872514695504323</v>
      </c>
      <c r="BI88" s="9">
        <f t="shared" si="634"/>
        <v>-1.6984353457161006</v>
      </c>
      <c r="BJ88" s="5">
        <f t="shared" si="541"/>
        <v>-0.87596762065371192</v>
      </c>
      <c r="BK88" s="8">
        <f t="shared" si="542"/>
        <v>0.46240642613974636</v>
      </c>
      <c r="BL88" s="173">
        <f t="shared" si="543"/>
        <v>-0.87343204379106631</v>
      </c>
      <c r="BM88" s="5">
        <f t="shared" si="544"/>
        <v>-0.65257825552093673</v>
      </c>
      <c r="BN88" s="6">
        <f t="shared" si="545"/>
        <v>-0.66429972160169837</v>
      </c>
      <c r="BO88" s="4">
        <f t="shared" si="635"/>
        <v>-0.56512790748005948</v>
      </c>
      <c r="BP88" s="5">
        <f t="shared" si="734"/>
        <v>0.78347089964357741</v>
      </c>
      <c r="BQ88" s="5">
        <f t="shared" si="636"/>
        <v>-0.25846430623761774</v>
      </c>
      <c r="BR88" s="6">
        <f t="shared" si="637"/>
        <v>-0.15402251697047778</v>
      </c>
      <c r="BS88" s="4">
        <f t="shared" si="612"/>
        <v>0</v>
      </c>
      <c r="BT88" s="5">
        <f t="shared" si="612"/>
        <v>0</v>
      </c>
      <c r="BU88" s="10">
        <f t="shared" si="613"/>
        <v>2.64055314267585E-2</v>
      </c>
      <c r="BV88" s="9">
        <f t="shared" si="614"/>
        <v>0</v>
      </c>
      <c r="BW88" s="5">
        <f t="shared" si="615"/>
        <v>1</v>
      </c>
      <c r="BX88" s="8">
        <f t="shared" si="616"/>
        <v>2.64055314267585E-2</v>
      </c>
      <c r="BY88" s="173">
        <f t="shared" si="617"/>
        <v>1</v>
      </c>
      <c r="BZ88" s="5">
        <f t="shared" si="618"/>
        <v>0</v>
      </c>
      <c r="CA88" s="6">
        <f t="shared" si="619"/>
        <v>2.64055314267585E-2</v>
      </c>
      <c r="CB88" s="4">
        <f t="shared" si="638"/>
        <v>0</v>
      </c>
      <c r="CC88" s="5">
        <f t="shared" si="639"/>
        <v>0</v>
      </c>
      <c r="CD88" s="5">
        <f t="shared" si="640"/>
        <v>-1</v>
      </c>
      <c r="CE88" s="6">
        <f t="shared" si="641"/>
        <v>2.64055314267585E-2</v>
      </c>
      <c r="CF88" s="4">
        <f t="shared" si="642"/>
        <v>-0.78347089964357741</v>
      </c>
      <c r="CG88" s="5">
        <f t="shared" si="643"/>
        <v>-0.56512790748005948</v>
      </c>
      <c r="CH88" s="5">
        <f t="shared" si="644"/>
        <v>0</v>
      </c>
      <c r="CI88" s="4">
        <f t="shared" si="620"/>
        <v>0</v>
      </c>
      <c r="CJ88" s="5">
        <f t="shared" si="621"/>
        <v>0.20530105764579701</v>
      </c>
      <c r="CK88" s="8">
        <f t="shared" si="622"/>
        <v>2.64055314267585E-2</v>
      </c>
      <c r="CL88" s="173">
        <f t="shared" si="623"/>
        <v>-0.78347089964357741</v>
      </c>
      <c r="CM88" s="5">
        <f t="shared" si="624"/>
        <v>-0.3598268498342625</v>
      </c>
      <c r="CN88" s="6">
        <f t="shared" si="625"/>
        <v>2.64055314267585E-2</v>
      </c>
      <c r="CO88" s="167">
        <f t="shared" si="546"/>
        <v>0.3125</v>
      </c>
      <c r="CP88" s="4">
        <f t="shared" si="645"/>
        <v>0.93319620240110712</v>
      </c>
      <c r="CQ88" s="5">
        <f t="shared" si="646"/>
        <v>-4.2375560518740816</v>
      </c>
      <c r="CR88" s="5">
        <f t="shared" si="647"/>
        <v>4.995660488341783</v>
      </c>
      <c r="CS88" s="8">
        <f t="shared" si="648"/>
        <v>-0.69084429204859532</v>
      </c>
      <c r="CT88" s="9" t="e">
        <f t="shared" si="649"/>
        <v>#NUM!</v>
      </c>
      <c r="CU88" s="6" t="e">
        <f t="shared" si="650"/>
        <v>#NUM!</v>
      </c>
      <c r="CV88" s="4" t="e">
        <f t="shared" si="651"/>
        <v>#NUM!</v>
      </c>
      <c r="CW88" s="5" t="e">
        <f t="shared" si="652"/>
        <v>#NUM!</v>
      </c>
      <c r="CX88" s="8" t="e">
        <f t="shared" si="653"/>
        <v>#NUM!</v>
      </c>
      <c r="CY88" s="9" t="e">
        <f t="shared" si="654"/>
        <v>#NUM!</v>
      </c>
      <c r="CZ88" s="5" t="e">
        <f t="shared" si="655"/>
        <v>#NUM!</v>
      </c>
      <c r="DA88" s="6" t="e">
        <f t="shared" si="656"/>
        <v>#NUM!</v>
      </c>
      <c r="DB88" s="4">
        <f t="shared" si="657"/>
        <v>0</v>
      </c>
      <c r="DC88" s="5">
        <f t="shared" si="657"/>
        <v>0</v>
      </c>
      <c r="DD88" s="10">
        <f t="shared" si="658"/>
        <v>-10</v>
      </c>
      <c r="DE88" s="9">
        <f t="shared" si="659"/>
        <v>0</v>
      </c>
      <c r="DF88" s="5">
        <f t="shared" si="659"/>
        <v>0</v>
      </c>
      <c r="DG88" s="10">
        <f t="shared" si="660"/>
        <v>10</v>
      </c>
      <c r="DH88" s="70">
        <f t="shared" si="661"/>
        <v>1.8936999999999999</v>
      </c>
      <c r="DI88" s="4">
        <f t="shared" si="662"/>
        <v>0</v>
      </c>
      <c r="DJ88" s="5">
        <f t="shared" si="663"/>
        <v>0</v>
      </c>
      <c r="DK88" s="10">
        <f t="shared" si="664"/>
        <v>20</v>
      </c>
      <c r="DL88" s="9" t="e">
        <f t="shared" si="665"/>
        <v>#NUM!</v>
      </c>
      <c r="DM88" s="173" t="e">
        <f t="shared" si="666"/>
        <v>#NUM!</v>
      </c>
      <c r="DN88" s="178" t="e">
        <f t="shared" si="667"/>
        <v>#NUM!</v>
      </c>
      <c r="DO88" s="9" t="e">
        <f t="shared" si="668"/>
        <v>#NUM!</v>
      </c>
      <c r="DP88" s="173" t="e">
        <f t="shared" si="669"/>
        <v>#NUM!</v>
      </c>
      <c r="DQ88" s="11" t="e">
        <f t="shared" si="670"/>
        <v>#NUM!</v>
      </c>
      <c r="DR88" s="173" t="e">
        <f t="shared" si="671"/>
        <v>#NUM!</v>
      </c>
      <c r="DS88" s="5" t="e">
        <f t="shared" si="672"/>
        <v>#NUM!</v>
      </c>
      <c r="DT88" s="5">
        <f t="shared" si="673"/>
        <v>400</v>
      </c>
      <c r="DU88" s="5" t="e">
        <f t="shared" si="674"/>
        <v>#NUM!</v>
      </c>
      <c r="DV88" s="5" t="e">
        <f t="shared" si="675"/>
        <v>#NUM!</v>
      </c>
      <c r="DW88" s="5" t="e">
        <f t="shared" si="676"/>
        <v>#NUM!</v>
      </c>
      <c r="DX88" s="167" t="e">
        <f t="shared" si="677"/>
        <v>#NUM!</v>
      </c>
      <c r="DY88" s="9" t="e">
        <f t="shared" si="678"/>
        <v>#NUM!</v>
      </c>
      <c r="DZ88" s="5" t="e">
        <f t="shared" si="679"/>
        <v>#NUM!</v>
      </c>
      <c r="EA88" s="10" t="e">
        <f t="shared" si="680"/>
        <v>#NUM!</v>
      </c>
      <c r="EB88" s="6" t="e">
        <f t="shared" si="681"/>
        <v>#NUM!</v>
      </c>
      <c r="EC88" s="173" t="e">
        <f t="shared" si="682"/>
        <v>#NUM!</v>
      </c>
      <c r="ED88" s="5" t="e">
        <f t="shared" si="683"/>
        <v>#NUM!</v>
      </c>
      <c r="EE88" s="4" t="e">
        <f t="shared" si="684"/>
        <v>#NUM!</v>
      </c>
      <c r="EF88" s="5" t="e">
        <f t="shared" si="685"/>
        <v>#NUM!</v>
      </c>
      <c r="EG88" s="10" t="e">
        <f t="shared" si="686"/>
        <v>#NUM!</v>
      </c>
      <c r="EH88" s="9" t="e">
        <f t="shared" si="687"/>
        <v>#NUM!</v>
      </c>
      <c r="EI88" s="5" t="e">
        <f t="shared" si="688"/>
        <v>#NUM!</v>
      </c>
      <c r="EJ88" s="6" t="e">
        <f t="shared" si="689"/>
        <v>#NUM!</v>
      </c>
      <c r="EK88" s="236" t="e">
        <f t="shared" si="690"/>
        <v>#NUM!</v>
      </c>
      <c r="EL88" s="238" t="e">
        <f t="shared" si="691"/>
        <v>#NUM!</v>
      </c>
      <c r="EM88" s="4" t="e">
        <f t="shared" si="692"/>
        <v>#NUM!</v>
      </c>
      <c r="EN88" s="5" t="e">
        <f t="shared" si="693"/>
        <v>#NUM!</v>
      </c>
      <c r="EO88" s="10" t="e">
        <f t="shared" si="694"/>
        <v>#NUM!</v>
      </c>
      <c r="EP88" s="9" t="e">
        <f t="shared" si="695"/>
        <v>#NUM!</v>
      </c>
      <c r="EQ88" s="5" t="e">
        <f t="shared" si="696"/>
        <v>#NUM!</v>
      </c>
      <c r="ER88" s="7" t="e">
        <f t="shared" si="697"/>
        <v>#NUM!</v>
      </c>
      <c r="ES88" s="21">
        <f t="shared" si="547"/>
        <v>-0.56512790748005948</v>
      </c>
      <c r="ET88" s="5">
        <f t="shared" si="548"/>
        <v>0.78347089964357741</v>
      </c>
      <c r="EU88" s="10">
        <f t="shared" si="549"/>
        <v>-0.25846430623761785</v>
      </c>
      <c r="EV88" s="174" t="e">
        <f t="shared" si="550"/>
        <v>#NUM!</v>
      </c>
      <c r="EW88" s="9" t="e">
        <f t="shared" si="551"/>
        <v>#NUM!</v>
      </c>
      <c r="EX88" s="5" t="e">
        <f t="shared" si="552"/>
        <v>#NUM!</v>
      </c>
      <c r="EY88" s="6">
        <f t="shared" si="698"/>
        <v>-0.25846430623761785</v>
      </c>
      <c r="EZ88" s="51" t="e">
        <f t="shared" si="699"/>
        <v>#NUM!</v>
      </c>
      <c r="FA88" s="173" t="e">
        <f t="shared" si="553"/>
        <v>#NUM!</v>
      </c>
      <c r="FB88" s="5" t="e">
        <f t="shared" si="554"/>
        <v>#NUM!</v>
      </c>
      <c r="FC88" s="6" t="e">
        <f t="shared" si="555"/>
        <v>#NUM!</v>
      </c>
      <c r="FD88" s="4" t="e">
        <f t="shared" si="556"/>
        <v>#NUM!</v>
      </c>
      <c r="FE88" s="5" t="e">
        <f t="shared" si="557"/>
        <v>#NUM!</v>
      </c>
      <c r="FF88" s="7" t="e">
        <f t="shared" si="700"/>
        <v>#NUM!</v>
      </c>
      <c r="FG88" s="173" t="e">
        <f t="shared" si="558"/>
        <v>#NUM!</v>
      </c>
      <c r="FH88" s="5" t="e">
        <f t="shared" si="559"/>
        <v>#NUM!</v>
      </c>
      <c r="FI88" s="10" t="e">
        <f t="shared" si="560"/>
        <v>#NUM!</v>
      </c>
      <c r="FJ88" s="279" t="e">
        <f t="shared" si="701"/>
        <v>#NUM!</v>
      </c>
      <c r="FK88" s="4">
        <f t="shared" si="561"/>
        <v>0.96602080847210903</v>
      </c>
      <c r="FL88" s="5" t="e">
        <f t="shared" si="626"/>
        <v>#NUM!</v>
      </c>
      <c r="FM88" s="8" t="e">
        <f t="shared" si="627"/>
        <v>#NUM!</v>
      </c>
      <c r="FN88" s="9" t="e">
        <f t="shared" si="628"/>
        <v>#NUM!</v>
      </c>
      <c r="FO88" s="10" t="e">
        <f t="shared" si="562"/>
        <v>#NUM!</v>
      </c>
      <c r="FP88" s="277" t="e">
        <f t="shared" si="629"/>
        <v>#NUM!</v>
      </c>
      <c r="FQ88" s="173" t="e">
        <f t="shared" si="702"/>
        <v>#NUM!</v>
      </c>
      <c r="FR88" s="10" t="e">
        <f t="shared" si="703"/>
        <v>#NUM!</v>
      </c>
      <c r="FS88" s="9" t="e">
        <f t="shared" si="704"/>
        <v>#NUM!</v>
      </c>
      <c r="FT88" s="6" t="e">
        <f t="shared" si="705"/>
        <v>#NUM!</v>
      </c>
      <c r="FU88" s="4" t="e">
        <f t="shared" si="706"/>
        <v>#NUM!</v>
      </c>
      <c r="FV88" s="5" t="e">
        <f t="shared" si="707"/>
        <v>#NUM!</v>
      </c>
      <c r="FW88" s="8" t="e">
        <f t="shared" si="708"/>
        <v>#NUM!</v>
      </c>
      <c r="FX88" s="9" t="e">
        <f t="shared" si="709"/>
        <v>#NUM!</v>
      </c>
      <c r="FY88" s="10" t="e">
        <f t="shared" si="563"/>
        <v>#NUM!</v>
      </c>
      <c r="FZ88" s="277" t="e">
        <f t="shared" si="710"/>
        <v>#NUM!</v>
      </c>
      <c r="GA88" s="177" t="e">
        <f t="shared" si="711"/>
        <v>#NUM!</v>
      </c>
      <c r="GB88" s="4" t="e">
        <f t="shared" si="712"/>
        <v>#NUM!</v>
      </c>
      <c r="GC88" s="5" t="e">
        <f t="shared" si="713"/>
        <v>#NUM!</v>
      </c>
      <c r="GD88" s="10" t="e">
        <f t="shared" si="714"/>
        <v>#NUM!</v>
      </c>
      <c r="GE88" s="311" t="e">
        <f t="shared" si="715"/>
        <v>#NUM!</v>
      </c>
      <c r="GF88" s="341" t="e">
        <f t="shared" si="716"/>
        <v>#NUM!</v>
      </c>
      <c r="GG88" s="285" t="e">
        <f t="shared" si="564"/>
        <v>#NUM!</v>
      </c>
      <c r="GH88" s="286" t="e">
        <f t="shared" si="565"/>
        <v>#NUM!</v>
      </c>
      <c r="GI88" s="281" t="e">
        <f t="shared" si="566"/>
        <v>#NUM!</v>
      </c>
      <c r="GJ88" s="167">
        <f t="shared" si="717"/>
        <v>1.8936999999999999</v>
      </c>
      <c r="GK88" s="174">
        <f t="shared" si="567"/>
        <v>0.99175784291172697</v>
      </c>
      <c r="GL88" s="174">
        <f t="shared" si="718"/>
        <v>6.4399999999999999E-2</v>
      </c>
      <c r="GM88" s="177">
        <f t="shared" si="719"/>
        <v>0.76643046100218259</v>
      </c>
      <c r="GN88" s="280">
        <f t="shared" si="720"/>
        <v>8.7336577499931636E-2</v>
      </c>
      <c r="GO88" s="4" t="e">
        <f t="shared" si="721"/>
        <v>#NUM!</v>
      </c>
      <c r="GP88" s="8" t="e">
        <f t="shared" si="722"/>
        <v>#NUM!</v>
      </c>
      <c r="GQ88" s="177" t="e">
        <f t="shared" si="723"/>
        <v>#NUM!</v>
      </c>
      <c r="GR88" s="371" t="e">
        <f t="shared" si="724"/>
        <v>#NUM!</v>
      </c>
      <c r="GS88" s="342" t="e">
        <f t="shared" si="568"/>
        <v>#NUM!</v>
      </c>
      <c r="GT88" s="343" t="e">
        <f t="shared" si="569"/>
        <v>#NUM!</v>
      </c>
      <c r="GU88" s="344">
        <f t="shared" si="570"/>
        <v>1884.1415499636989</v>
      </c>
      <c r="GV88" s="343">
        <f t="shared" si="725"/>
        <v>1899.8</v>
      </c>
      <c r="GW88" s="345">
        <f t="shared" si="571"/>
        <v>29500</v>
      </c>
      <c r="GX88" s="346">
        <f t="shared" si="572"/>
        <v>299.80427166666664</v>
      </c>
      <c r="GY88" s="344" t="e">
        <f t="shared" si="573"/>
        <v>#NUM!</v>
      </c>
      <c r="GZ88" s="345" t="e">
        <f t="shared" si="574"/>
        <v>#NUM!</v>
      </c>
      <c r="HA88" s="342" t="e">
        <f t="shared" si="575"/>
        <v>#NUM!</v>
      </c>
      <c r="HB88" s="5" t="e">
        <f t="shared" si="726"/>
        <v>#NUM!</v>
      </c>
      <c r="HC88" s="343" t="e">
        <f t="shared" si="727"/>
        <v>#NUM!</v>
      </c>
      <c r="HD88" s="363" t="e">
        <f t="shared" si="728"/>
        <v>#NUM!</v>
      </c>
      <c r="HE88" s="344" t="e">
        <f t="shared" si="576"/>
        <v>#NUM!</v>
      </c>
      <c r="HF88" s="5" t="e">
        <f t="shared" si="577"/>
        <v>#NUM!</v>
      </c>
      <c r="HG88" s="343" t="e">
        <f t="shared" si="729"/>
        <v>#NUM!</v>
      </c>
      <c r="HH88" s="349" t="e">
        <f t="shared" si="730"/>
        <v>#NUM!</v>
      </c>
      <c r="HI88" s="317">
        <f t="shared" si="578"/>
        <v>5.1079999999999997</v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731"/>
        <v>5.1079999999999997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596"/>
        <v>1613</v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>
        <f t="shared" si="256"/>
        <v>0</v>
      </c>
      <c r="B89" s="578">
        <f t="shared" si="515"/>
        <v>-2.3061662143313102</v>
      </c>
      <c r="C89" s="572">
        <f t="shared" si="516"/>
        <v>-1.6147938850537171</v>
      </c>
      <c r="D89" s="576">
        <f t="shared" si="517"/>
        <v>-0.28855087026942461</v>
      </c>
      <c r="E89" s="580">
        <f t="shared" si="518"/>
        <v>0.561431166445156</v>
      </c>
      <c r="F89" s="572">
        <f t="shared" si="519"/>
        <v>-0.78605938384766161</v>
      </c>
      <c r="G89" s="579">
        <f t="shared" si="520"/>
        <v>0.25866134308989119</v>
      </c>
      <c r="H89" s="580">
        <f t="shared" si="521"/>
        <v>0.3125</v>
      </c>
      <c r="I89" s="572">
        <f t="shared" si="522"/>
        <v>0.52</v>
      </c>
      <c r="J89" s="483">
        <f t="shared" si="523"/>
        <v>5.1109999999999998</v>
      </c>
      <c r="K89" s="806">
        <f t="shared" si="524"/>
        <v>1613</v>
      </c>
      <c r="L89" s="309"/>
      <c r="M89" s="164">
        <f t="shared" si="526"/>
        <v>5.1109999999999998</v>
      </c>
      <c r="N89" s="575">
        <f t="shared" si="527"/>
        <v>-2.3061662143313102</v>
      </c>
      <c r="O89" s="572">
        <f t="shared" si="528"/>
        <v>-1.6147938850537171</v>
      </c>
      <c r="P89" s="576">
        <f t="shared" si="529"/>
        <v>-0.28855087026942461</v>
      </c>
      <c r="Q89" s="528">
        <f t="shared" si="609"/>
        <v>214.99998195223557</v>
      </c>
      <c r="R89" s="572">
        <f t="shared" si="101"/>
        <v>2.8153084909704096</v>
      </c>
      <c r="S89" s="577">
        <f t="shared" si="102"/>
        <v>-0.28855087026942461</v>
      </c>
      <c r="T89" s="578">
        <f t="shared" si="103"/>
        <v>-1.6147938216605335</v>
      </c>
      <c r="U89" s="572">
        <f t="shared" si="104"/>
        <v>2.3061662587196641</v>
      </c>
      <c r="V89" s="579">
        <f t="shared" si="141"/>
        <v>-0.28855087026942461</v>
      </c>
      <c r="W89" s="528">
        <f t="shared" si="735"/>
        <v>124.99998037725723</v>
      </c>
      <c r="X89" s="572">
        <f t="shared" si="105"/>
        <v>2.8153084909704096</v>
      </c>
      <c r="Y89" s="573">
        <f t="shared" si="733"/>
        <v>-0.28855087026942461</v>
      </c>
      <c r="Z89" s="575">
        <f t="shared" si="530"/>
        <v>-0.561431166445156</v>
      </c>
      <c r="AA89" s="572">
        <f t="shared" si="531"/>
        <v>0.78605938384766161</v>
      </c>
      <c r="AB89" s="572">
        <f t="shared" si="532"/>
        <v>-0.25866134308989119</v>
      </c>
      <c r="AC89" s="579">
        <f t="shared" si="106"/>
        <v>1</v>
      </c>
      <c r="AD89" s="580">
        <f t="shared" si="142"/>
        <v>-0.561431166445156</v>
      </c>
      <c r="AE89" s="572">
        <f t="shared" si="107"/>
        <v>0.78605938384766161</v>
      </c>
      <c r="AF89" s="576">
        <f t="shared" si="108"/>
        <v>-0.25866134308989119</v>
      </c>
      <c r="AG89" s="545">
        <f t="shared" si="109"/>
        <v>71.785650278822288</v>
      </c>
      <c r="AH89" s="546">
        <f t="shared" si="110"/>
        <v>124.15483032956483</v>
      </c>
      <c r="AI89" s="528">
        <f t="shared" si="111"/>
        <v>-75.00935419874574</v>
      </c>
      <c r="AJ89" s="529">
        <f t="shared" si="112"/>
        <v>-144.46424426076706</v>
      </c>
      <c r="AK89" s="578">
        <f t="shared" si="238"/>
        <v>0.96592583607220739</v>
      </c>
      <c r="AL89" s="572">
        <f t="shared" si="113"/>
        <v>9.0326518332543015E-3</v>
      </c>
      <c r="AM89" s="577">
        <f t="shared" si="114"/>
        <v>-0.25866134308989119</v>
      </c>
      <c r="AN89" s="524">
        <f t="shared" si="115"/>
        <v>1.9999997112357444</v>
      </c>
      <c r="AO89" s="525">
        <f t="shared" si="525"/>
        <v>14.999997834268255</v>
      </c>
      <c r="AP89" s="528">
        <f t="shared" si="117"/>
        <v>0.53577378699734513</v>
      </c>
      <c r="AQ89" s="529">
        <f t="shared" si="533"/>
        <v>0.8097069547139637</v>
      </c>
      <c r="AS89" s="932">
        <f t="shared" si="632"/>
        <v>-235.00001962274277</v>
      </c>
      <c r="AT89" s="928">
        <f t="shared" si="534"/>
        <v>-0.12535640169618317</v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731"/>
        <v>5.1109999999999998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596"/>
        <v>1613</v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>
        <f t="shared" si="256"/>
        <v>0</v>
      </c>
      <c r="B90" s="578">
        <f t="shared" si="515"/>
        <v>-2.9156173078071363</v>
      </c>
      <c r="C90" s="572">
        <f t="shared" si="516"/>
        <v>-2.0415358487804833</v>
      </c>
      <c r="D90" s="576">
        <f t="shared" si="517"/>
        <v>-0.16095048542666404</v>
      </c>
      <c r="E90" s="580">
        <f t="shared" si="518"/>
        <v>0.52628805625721975</v>
      </c>
      <c r="F90" s="572">
        <f t="shared" si="519"/>
        <v>-0.81011358885998586</v>
      </c>
      <c r="G90" s="579">
        <f t="shared" si="520"/>
        <v>0.25833477308599262</v>
      </c>
      <c r="H90" s="580">
        <f t="shared" si="521"/>
        <v>0.3125</v>
      </c>
      <c r="I90" s="572">
        <f t="shared" si="522"/>
        <v>0.52</v>
      </c>
      <c r="J90" s="483">
        <f t="shared" si="523"/>
        <v>5.1139999999999999</v>
      </c>
      <c r="K90" s="806">
        <f t="shared" si="524"/>
        <v>1613</v>
      </c>
      <c r="L90" s="309"/>
      <c r="M90" s="164">
        <f t="shared" si="526"/>
        <v>5.1139999999999999</v>
      </c>
      <c r="N90" s="575">
        <f t="shared" si="527"/>
        <v>-2.9156173078071363</v>
      </c>
      <c r="O90" s="572">
        <f t="shared" si="528"/>
        <v>-2.0415358487804833</v>
      </c>
      <c r="P90" s="576">
        <f t="shared" si="529"/>
        <v>-0.16095048542666404</v>
      </c>
      <c r="Q90" s="528">
        <f t="shared" si="609"/>
        <v>214.99998195223557</v>
      </c>
      <c r="R90" s="572">
        <f t="shared" si="101"/>
        <v>3.5593107348811768</v>
      </c>
      <c r="S90" s="577">
        <f t="shared" si="102"/>
        <v>-0.16095048542666404</v>
      </c>
      <c r="T90" s="578">
        <f t="shared" si="103"/>
        <v>-2.0415357686343678</v>
      </c>
      <c r="U90" s="572">
        <f t="shared" si="104"/>
        <v>2.9156173639260112</v>
      </c>
      <c r="V90" s="579">
        <f t="shared" si="141"/>
        <v>-0.16095048542666404</v>
      </c>
      <c r="W90" s="528">
        <f t="shared" si="735"/>
        <v>124.99998037725723</v>
      </c>
      <c r="X90" s="572">
        <f t="shared" si="105"/>
        <v>3.5593107348811768</v>
      </c>
      <c r="Y90" s="573">
        <f t="shared" si="733"/>
        <v>-0.16095048542666404</v>
      </c>
      <c r="Z90" s="575">
        <f t="shared" si="530"/>
        <v>-0.52628805625721975</v>
      </c>
      <c r="AA90" s="572">
        <f t="shared" si="531"/>
        <v>0.81011358885998586</v>
      </c>
      <c r="AB90" s="572">
        <f t="shared" si="532"/>
        <v>-0.25833477308599262</v>
      </c>
      <c r="AC90" s="579">
        <f t="shared" si="106"/>
        <v>1</v>
      </c>
      <c r="AD90" s="580">
        <f t="shared" si="142"/>
        <v>-0.52628805625721975</v>
      </c>
      <c r="AE90" s="572">
        <f t="shared" si="107"/>
        <v>0.81011358885998586</v>
      </c>
      <c r="AF90" s="576">
        <f t="shared" si="108"/>
        <v>-0.25833477308599262</v>
      </c>
      <c r="AG90" s="545">
        <f t="shared" si="109"/>
        <v>72.313188545892729</v>
      </c>
      <c r="AH90" s="546">
        <f t="shared" si="110"/>
        <v>121.7549951065792</v>
      </c>
      <c r="AI90" s="528">
        <f t="shared" si="111"/>
        <v>-75.02872361378401</v>
      </c>
      <c r="AJ90" s="529">
        <f t="shared" si="112"/>
        <v>-146.99034332371184</v>
      </c>
      <c r="AK90" s="578">
        <f t="shared" si="238"/>
        <v>0.96547264079171891</v>
      </c>
      <c r="AL90" s="572">
        <f t="shared" si="113"/>
        <v>-3.3551824052848789E-2</v>
      </c>
      <c r="AM90" s="577">
        <f t="shared" si="114"/>
        <v>-0.25833477308599262</v>
      </c>
      <c r="AN90" s="524">
        <f t="shared" si="115"/>
        <v>-7.3999989315723109</v>
      </c>
      <c r="AO90" s="525">
        <f t="shared" si="525"/>
        <v>15.099997819830044</v>
      </c>
      <c r="AP90" s="528">
        <f t="shared" si="117"/>
        <v>-1.9903252759474173</v>
      </c>
      <c r="AQ90" s="529">
        <f t="shared" si="533"/>
        <v>0.64046998052229998</v>
      </c>
      <c r="AS90" s="932">
        <f t="shared" si="632"/>
        <v>-235.00001962274277</v>
      </c>
      <c r="AT90" s="928">
        <f t="shared" si="534"/>
        <v>2.2439831465773941E-3</v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731"/>
        <v>5.1139999999999999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596"/>
        <v>1613</v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>
        <f t="shared" si="256"/>
        <v>0</v>
      </c>
      <c r="B91" s="578">
        <f t="shared" si="515"/>
        <v>-3.5322456416083301</v>
      </c>
      <c r="C91" s="572">
        <f t="shared" si="516"/>
        <v>-2.4586960246328173</v>
      </c>
      <c r="D91" s="576">
        <f t="shared" si="517"/>
        <v>-0.20905063049670169</v>
      </c>
      <c r="E91" s="580">
        <f t="shared" si="518"/>
        <v>0.47911045857362083</v>
      </c>
      <c r="F91" s="572">
        <f t="shared" si="519"/>
        <v>-0.84059894348437225</v>
      </c>
      <c r="G91" s="579">
        <f t="shared" si="520"/>
        <v>0.25267881727270308</v>
      </c>
      <c r="H91" s="580">
        <f t="shared" si="521"/>
        <v>0.3125</v>
      </c>
      <c r="I91" s="572">
        <f t="shared" si="522"/>
        <v>0.52</v>
      </c>
      <c r="J91" s="483">
        <f t="shared" si="523"/>
        <v>5.117</v>
      </c>
      <c r="K91" s="806">
        <f t="shared" si="524"/>
        <v>1613</v>
      </c>
      <c r="L91" s="309"/>
      <c r="M91" s="164">
        <f t="shared" si="526"/>
        <v>5.117</v>
      </c>
      <c r="N91" s="575">
        <f t="shared" si="527"/>
        <v>-3.5322456416083301</v>
      </c>
      <c r="O91" s="572">
        <f t="shared" si="528"/>
        <v>-2.4586960246328173</v>
      </c>
      <c r="P91" s="576">
        <f t="shared" si="529"/>
        <v>-0.20905063049670169</v>
      </c>
      <c r="Q91" s="528">
        <f t="shared" si="609"/>
        <v>214.84068197523564</v>
      </c>
      <c r="R91" s="572">
        <f t="shared" si="101"/>
        <v>4.3037129799983482</v>
      </c>
      <c r="S91" s="577">
        <f t="shared" si="102"/>
        <v>-0.20905063049670169</v>
      </c>
      <c r="T91" s="578">
        <f t="shared" si="103"/>
        <v>-2.4586959275364779</v>
      </c>
      <c r="U91" s="572">
        <f t="shared" si="104"/>
        <v>3.5322457091943362</v>
      </c>
      <c r="V91" s="579">
        <f t="shared" si="141"/>
        <v>-0.20905063049670169</v>
      </c>
      <c r="W91" s="528">
        <f t="shared" si="735"/>
        <v>124.8406804002573</v>
      </c>
      <c r="X91" s="572">
        <f t="shared" si="105"/>
        <v>4.3037129799983482</v>
      </c>
      <c r="Y91" s="573">
        <f t="shared" si="733"/>
        <v>-0.20905063049670169</v>
      </c>
      <c r="Z91" s="575">
        <f t="shared" si="530"/>
        <v>-0.47911045857362083</v>
      </c>
      <c r="AA91" s="572">
        <f t="shared" si="531"/>
        <v>0.84059894348437225</v>
      </c>
      <c r="AB91" s="572">
        <f t="shared" si="532"/>
        <v>-0.25267881727270308</v>
      </c>
      <c r="AC91" s="579">
        <f t="shared" si="106"/>
        <v>1</v>
      </c>
      <c r="AD91" s="580">
        <f t="shared" si="142"/>
        <v>-0.47911045857362083</v>
      </c>
      <c r="AE91" s="572">
        <f t="shared" si="107"/>
        <v>0.84059894348437225</v>
      </c>
      <c r="AF91" s="576">
        <f t="shared" si="108"/>
        <v>-0.25267881727270308</v>
      </c>
      <c r="AG91" s="545">
        <f t="shared" si="109"/>
        <v>73.269548650088396</v>
      </c>
      <c r="AH91" s="546">
        <f t="shared" si="110"/>
        <v>118.62732076731263</v>
      </c>
      <c r="AI91" s="528">
        <f t="shared" si="111"/>
        <v>-75.363912404384209</v>
      </c>
      <c r="AJ91" s="529">
        <f t="shared" si="112"/>
        <v>-150.31845154143053</v>
      </c>
      <c r="AK91" s="578">
        <f t="shared" si="238"/>
        <v>0.96363046364671845</v>
      </c>
      <c r="AL91" s="572">
        <f t="shared" si="113"/>
        <v>-8.7004280548019952E-2</v>
      </c>
      <c r="AM91" s="577">
        <f t="shared" si="114"/>
        <v>-0.25267881727270308</v>
      </c>
      <c r="AN91" s="524">
        <f t="shared" si="115"/>
        <v>-18.999997256739775</v>
      </c>
      <c r="AO91" s="525">
        <f t="shared" si="525"/>
        <v>15.499997762077189</v>
      </c>
      <c r="AP91" s="528">
        <f t="shared" si="117"/>
        <v>-5.1591335166661558</v>
      </c>
      <c r="AQ91" s="529">
        <f t="shared" si="533"/>
        <v>0.52969649543984076</v>
      </c>
      <c r="AS91" s="932">
        <f t="shared" si="632"/>
        <v>-235.1593195997427</v>
      </c>
      <c r="AT91" s="928">
        <f t="shared" si="534"/>
        <v>-4.5745536939432507E-2</v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731"/>
        <v>5.117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596"/>
        <v>1613</v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>
        <f t="shared" si="256"/>
        <v>0</v>
      </c>
      <c r="B92" s="578">
        <f t="shared" si="515"/>
        <v>-4.156067230290355</v>
      </c>
      <c r="C92" s="572">
        <f t="shared" si="516"/>
        <v>-2.8403181581960517</v>
      </c>
      <c r="D92" s="576">
        <f t="shared" si="517"/>
        <v>-0.43505131211475706</v>
      </c>
      <c r="E92" s="580">
        <f t="shared" si="518"/>
        <v>0.42186489734918442</v>
      </c>
      <c r="F92" s="572">
        <f t="shared" si="519"/>
        <v>-0.87422742698202716</v>
      </c>
      <c r="G92" s="579">
        <f t="shared" si="520"/>
        <v>0.24032564219605534</v>
      </c>
      <c r="H92" s="580">
        <f t="shared" si="521"/>
        <v>0.3125</v>
      </c>
      <c r="I92" s="572">
        <f t="shared" si="522"/>
        <v>0.52</v>
      </c>
      <c r="J92" s="483">
        <f t="shared" si="523"/>
        <v>5.12</v>
      </c>
      <c r="K92" s="806">
        <f t="shared" si="524"/>
        <v>1613</v>
      </c>
      <c r="L92" s="309"/>
      <c r="M92" s="164">
        <f t="shared" si="526"/>
        <v>5.12</v>
      </c>
      <c r="N92" s="575">
        <f t="shared" si="527"/>
        <v>-4.156067230290355</v>
      </c>
      <c r="O92" s="572">
        <f t="shared" si="528"/>
        <v>-2.8403181581960517</v>
      </c>
      <c r="P92" s="576">
        <f t="shared" si="529"/>
        <v>-0.43505131211475706</v>
      </c>
      <c r="Q92" s="528">
        <f t="shared" si="609"/>
        <v>214.34928204618501</v>
      </c>
      <c r="R92" s="572">
        <f t="shared" si="101"/>
        <v>5.0339151822881911</v>
      </c>
      <c r="S92" s="577">
        <f t="shared" si="102"/>
        <v>-0.43505131211475706</v>
      </c>
      <c r="T92" s="578">
        <f t="shared" si="103"/>
        <v>-2.8403180439517568</v>
      </c>
      <c r="U92" s="572">
        <f t="shared" si="104"/>
        <v>4.1560673083666027</v>
      </c>
      <c r="V92" s="579">
        <f t="shared" si="141"/>
        <v>-0.43505131211475706</v>
      </c>
      <c r="W92" s="528">
        <f t="shared" si="735"/>
        <v>124.34928047120667</v>
      </c>
      <c r="X92" s="572">
        <f t="shared" si="105"/>
        <v>5.0339151822881911</v>
      </c>
      <c r="Y92" s="573">
        <f t="shared" si="733"/>
        <v>-0.43505131211475706</v>
      </c>
      <c r="Z92" s="575">
        <f t="shared" si="530"/>
        <v>-0.42186489734918442</v>
      </c>
      <c r="AA92" s="572">
        <f t="shared" si="531"/>
        <v>0.87422742698202716</v>
      </c>
      <c r="AB92" s="572">
        <f t="shared" si="532"/>
        <v>-0.24032564219605534</v>
      </c>
      <c r="AC92" s="579">
        <f t="shared" si="106"/>
        <v>1</v>
      </c>
      <c r="AD92" s="580">
        <f t="shared" si="142"/>
        <v>-0.42186489734918442</v>
      </c>
      <c r="AE92" s="572">
        <f t="shared" si="107"/>
        <v>0.87422742698202716</v>
      </c>
      <c r="AF92" s="576">
        <f t="shared" si="108"/>
        <v>-0.24032564219605534</v>
      </c>
      <c r="AG92" s="545">
        <f t="shared" si="109"/>
        <v>74.629043791222315</v>
      </c>
      <c r="AH92" s="546">
        <f t="shared" si="110"/>
        <v>114.95238235481925</v>
      </c>
      <c r="AI92" s="528">
        <f t="shared" si="111"/>
        <v>-76.094239181412121</v>
      </c>
      <c r="AJ92" s="529">
        <f t="shared" si="112"/>
        <v>-154.24002402584566</v>
      </c>
      <c r="AK92" s="578">
        <f t="shared" si="238"/>
        <v>0.95980530350359239</v>
      </c>
      <c r="AL92" s="572">
        <f t="shared" si="113"/>
        <v>-0.14497367026267394</v>
      </c>
      <c r="AM92" s="577">
        <f t="shared" si="114"/>
        <v>-0.24032564219605534</v>
      </c>
      <c r="AN92" s="524">
        <f t="shared" si="115"/>
        <v>-31.099995509716297</v>
      </c>
      <c r="AO92" s="525">
        <f t="shared" si="525"/>
        <v>16.299997646571519</v>
      </c>
      <c r="AP92" s="528">
        <f t="shared" si="117"/>
        <v>-8.5893060720306753</v>
      </c>
      <c r="AQ92" s="529">
        <f t="shared" si="533"/>
        <v>0.45286403835378208</v>
      </c>
      <c r="AS92" s="932">
        <f t="shared" si="632"/>
        <v>-235.65071952879333</v>
      </c>
      <c r="AT92" s="928">
        <f t="shared" si="534"/>
        <v>-0.27140496860675828</v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731"/>
        <v>5.12</v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>
        <f t="shared" si="596"/>
        <v>1613</v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>
        <f t="shared" si="256"/>
        <v>0</v>
      </c>
      <c r="B93" s="578">
        <f t="shared" si="515"/>
        <v>-4.7265037109602188</v>
      </c>
      <c r="C93" s="572">
        <f t="shared" si="516"/>
        <v>-3.1559873881482505</v>
      </c>
      <c r="D93" s="576">
        <f t="shared" si="517"/>
        <v>-0.82355248383429136</v>
      </c>
      <c r="E93" s="580">
        <f t="shared" si="518"/>
        <v>0.36461016846577415</v>
      </c>
      <c r="F93" s="572">
        <f t="shared" si="519"/>
        <v>-0.90582173731396654</v>
      </c>
      <c r="G93" s="579">
        <f t="shared" si="520"/>
        <v>0.21574615931892543</v>
      </c>
      <c r="H93" s="580">
        <f t="shared" si="521"/>
        <v>0.3125</v>
      </c>
      <c r="I93" s="572">
        <f t="shared" si="522"/>
        <v>0.52</v>
      </c>
      <c r="J93" s="483">
        <f t="shared" si="523"/>
        <v>5.1230000000000002</v>
      </c>
      <c r="K93" s="806">
        <f t="shared" si="524"/>
        <v>1613</v>
      </c>
      <c r="L93" s="309"/>
      <c r="M93" s="164">
        <f t="shared" si="526"/>
        <v>5.1230000000000002</v>
      </c>
      <c r="N93" s="575">
        <f t="shared" si="527"/>
        <v>-4.7265037109602188</v>
      </c>
      <c r="O93" s="572">
        <f t="shared" si="528"/>
        <v>-3.1559873881482505</v>
      </c>
      <c r="P93" s="576">
        <f t="shared" si="529"/>
        <v>-0.82355248383429136</v>
      </c>
      <c r="Q93" s="528">
        <f t="shared" si="609"/>
        <v>213.73188213532652</v>
      </c>
      <c r="R93" s="572">
        <f t="shared" si="101"/>
        <v>5.6833171408844967</v>
      </c>
      <c r="S93" s="577">
        <f t="shared" si="102"/>
        <v>-0.82355248383429136</v>
      </c>
      <c r="T93" s="578">
        <f t="shared" si="103"/>
        <v>-3.1559872582234791</v>
      </c>
      <c r="U93" s="572">
        <f t="shared" si="104"/>
        <v>4.7265037977137583</v>
      </c>
      <c r="V93" s="579">
        <f t="shared" si="141"/>
        <v>-0.82355248383429136</v>
      </c>
      <c r="W93" s="528">
        <f t="shared" si="735"/>
        <v>123.73188056034817</v>
      </c>
      <c r="X93" s="572">
        <f t="shared" si="105"/>
        <v>5.6833171408844967</v>
      </c>
      <c r="Y93" s="573">
        <f t="shared" si="733"/>
        <v>-0.82355248383429136</v>
      </c>
      <c r="Z93" s="575">
        <f t="shared" si="530"/>
        <v>-0.36461016846577415</v>
      </c>
      <c r="AA93" s="572">
        <f t="shared" si="531"/>
        <v>0.90582173731396654</v>
      </c>
      <c r="AB93" s="572">
        <f t="shared" si="532"/>
        <v>-0.21574615931892543</v>
      </c>
      <c r="AC93" s="579">
        <f t="shared" si="106"/>
        <v>1</v>
      </c>
      <c r="AD93" s="580">
        <f t="shared" si="142"/>
        <v>-0.36461016846577415</v>
      </c>
      <c r="AE93" s="572">
        <f t="shared" si="107"/>
        <v>0.90582173731396654</v>
      </c>
      <c r="AF93" s="576">
        <f t="shared" si="108"/>
        <v>-0.21574615931892543</v>
      </c>
      <c r="AG93" s="545">
        <f t="shared" si="109"/>
        <v>76.603053749274892</v>
      </c>
      <c r="AH93" s="546">
        <f t="shared" si="110"/>
        <v>111.3835937791296</v>
      </c>
      <c r="AI93" s="528">
        <f t="shared" si="111"/>
        <v>-77.540693496898484</v>
      </c>
      <c r="AJ93" s="529">
        <f t="shared" si="112"/>
        <v>-158.07429380334861</v>
      </c>
      <c r="AK93" s="578">
        <f t="shared" si="238"/>
        <v>0.95579302746882977</v>
      </c>
      <c r="AL93" s="572">
        <f t="shared" si="113"/>
        <v>-0.19978309082878243</v>
      </c>
      <c r="AM93" s="577">
        <f t="shared" si="114"/>
        <v>-0.21574615931892543</v>
      </c>
      <c r="AN93" s="524">
        <f t="shared" si="115"/>
        <v>-42.799993820445458</v>
      </c>
      <c r="AO93" s="525">
        <f t="shared" si="525"/>
        <v>17.099997531065835</v>
      </c>
      <c r="AP93" s="528">
        <f t="shared" si="117"/>
        <v>-11.806175938675135</v>
      </c>
      <c r="AQ93" s="529">
        <f t="shared" si="533"/>
        <v>0.4011195100810932</v>
      </c>
      <c r="AS93" s="932">
        <f t="shared" si="632"/>
        <v>-236.26811943965183</v>
      </c>
      <c r="AT93" s="928">
        <f t="shared" si="534"/>
        <v>-0.65947739038819642</v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731"/>
        <v>5.1230000000000002</v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>
        <f t="shared" si="596"/>
        <v>1613</v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>
        <f t="shared" si="256"/>
        <v>0</v>
      </c>
      <c r="B94" s="578">
        <f t="shared" si="515"/>
        <v>-5.2142710344847014</v>
      </c>
      <c r="C94" s="572">
        <f t="shared" si="516"/>
        <v>-3.4023422250527937</v>
      </c>
      <c r="D94" s="576">
        <f t="shared" si="517"/>
        <v>-1.3520540777950991</v>
      </c>
      <c r="E94" s="580">
        <f t="shared" si="518"/>
        <v>0.27278539692255482</v>
      </c>
      <c r="F94" s="572">
        <f t="shared" si="519"/>
        <v>-0.94044270276056163</v>
      </c>
      <c r="G94" s="579">
        <f t="shared" si="520"/>
        <v>0.20286855362577591</v>
      </c>
      <c r="H94" s="580">
        <f t="shared" si="521"/>
        <v>0.3125</v>
      </c>
      <c r="I94" s="572">
        <f t="shared" si="522"/>
        <v>0.52</v>
      </c>
      <c r="J94" s="483">
        <f t="shared" si="523"/>
        <v>5.1260000000000003</v>
      </c>
      <c r="K94" s="806">
        <f t="shared" si="524"/>
        <v>1613</v>
      </c>
      <c r="L94" s="309"/>
      <c r="M94" s="164">
        <f t="shared" si="526"/>
        <v>5.1260000000000003</v>
      </c>
      <c r="N94" s="575">
        <f t="shared" si="527"/>
        <v>-5.2142710344847014</v>
      </c>
      <c r="O94" s="572">
        <f t="shared" si="528"/>
        <v>-3.4023422250527937</v>
      </c>
      <c r="P94" s="576">
        <f t="shared" si="529"/>
        <v>-1.3520540777950991</v>
      </c>
      <c r="Q94" s="528">
        <f t="shared" si="609"/>
        <v>213.12468222299535</v>
      </c>
      <c r="R94" s="572">
        <f t="shared" si="101"/>
        <v>6.2261187779742322</v>
      </c>
      <c r="S94" s="577">
        <f t="shared" si="102"/>
        <v>-1.3520540777950991</v>
      </c>
      <c r="T94" s="578">
        <f t="shared" si="103"/>
        <v>-3.4023420817200019</v>
      </c>
      <c r="U94" s="572">
        <f t="shared" si="104"/>
        <v>5.2142711280101794</v>
      </c>
      <c r="V94" s="579">
        <f t="shared" si="141"/>
        <v>-1.3520540777950991</v>
      </c>
      <c r="W94" s="528">
        <f t="shared" si="735"/>
        <v>123.12468064801701</v>
      </c>
      <c r="X94" s="572">
        <f t="shared" si="105"/>
        <v>6.2261187779742322</v>
      </c>
      <c r="Y94" s="573">
        <f t="shared" si="733"/>
        <v>-1.3520540777950991</v>
      </c>
      <c r="Z94" s="575">
        <f t="shared" si="530"/>
        <v>-0.27278539692255482</v>
      </c>
      <c r="AA94" s="572">
        <f t="shared" si="531"/>
        <v>0.94044270276056163</v>
      </c>
      <c r="AB94" s="572">
        <f t="shared" si="532"/>
        <v>-0.20286855362577591</v>
      </c>
      <c r="AC94" s="579">
        <f t="shared" si="106"/>
        <v>1</v>
      </c>
      <c r="AD94" s="580">
        <f t="shared" si="142"/>
        <v>-0.27278539692255482</v>
      </c>
      <c r="AE94" s="572">
        <f t="shared" si="107"/>
        <v>0.94044270276056163</v>
      </c>
      <c r="AF94" s="576">
        <f t="shared" si="108"/>
        <v>-0.20286855362577591</v>
      </c>
      <c r="AG94" s="545">
        <f t="shared" si="109"/>
        <v>77.826913459834444</v>
      </c>
      <c r="AH94" s="546">
        <f t="shared" si="110"/>
        <v>105.83008165293541</v>
      </c>
      <c r="AI94" s="528">
        <f t="shared" si="111"/>
        <v>-78.295245417244118</v>
      </c>
      <c r="AJ94" s="529">
        <f t="shared" si="112"/>
        <v>-163.82463701210764</v>
      </c>
      <c r="AK94" s="578">
        <f t="shared" si="238"/>
        <v>0.9366722073397028</v>
      </c>
      <c r="AL94" s="572">
        <f t="shared" si="113"/>
        <v>-0.28546370337952742</v>
      </c>
      <c r="AM94" s="577">
        <f t="shared" si="114"/>
        <v>-0.20286855362577591</v>
      </c>
      <c r="AN94" s="524">
        <f t="shared" si="115"/>
        <v>-54.599992116736459</v>
      </c>
      <c r="AO94" s="525">
        <f t="shared" si="525"/>
        <v>20.499997040166601</v>
      </c>
      <c r="AP94" s="528">
        <f t="shared" si="117"/>
        <v>-16.949319235102976</v>
      </c>
      <c r="AQ94" s="529">
        <f t="shared" si="533"/>
        <v>0.36615035455435574</v>
      </c>
      <c r="AS94" s="932">
        <f t="shared" si="632"/>
        <v>-236.87531935198299</v>
      </c>
      <c r="AT94" s="928">
        <f t="shared" si="534"/>
        <v>-1.1875573177432186</v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731"/>
        <v>5.1260000000000003</v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>
        <f t="shared" si="596"/>
        <v>1613</v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>
        <f t="shared" si="256"/>
        <v>0</v>
      </c>
      <c r="B95" s="578">
        <f t="shared" si="515"/>
        <v>-5.5844421827479751</v>
      </c>
      <c r="C95" s="572">
        <f t="shared" si="516"/>
        <v>-3.5755323710960965</v>
      </c>
      <c r="D95" s="576">
        <f t="shared" si="517"/>
        <v>-1.9903560029137051</v>
      </c>
      <c r="E95" s="580">
        <f t="shared" si="518"/>
        <v>0.18216711102703756</v>
      </c>
      <c r="F95" s="572">
        <f t="shared" si="519"/>
        <v>-0.96979634433775708</v>
      </c>
      <c r="G95" s="579">
        <f t="shared" si="520"/>
        <v>0.16220417432725154</v>
      </c>
      <c r="H95" s="580">
        <f t="shared" si="521"/>
        <v>0.3125</v>
      </c>
      <c r="I95" s="572">
        <f t="shared" si="522"/>
        <v>0.52</v>
      </c>
      <c r="J95" s="483">
        <f t="shared" si="523"/>
        <v>5.1289999999999996</v>
      </c>
      <c r="K95" s="806">
        <f t="shared" si="524"/>
        <v>1613</v>
      </c>
      <c r="L95" s="309"/>
      <c r="M95" s="164">
        <f t="shared" si="526"/>
        <v>5.1289999999999996</v>
      </c>
      <c r="N95" s="575">
        <f t="shared" si="527"/>
        <v>-5.5844421827479751</v>
      </c>
      <c r="O95" s="572">
        <f t="shared" si="528"/>
        <v>-3.5755323710960965</v>
      </c>
      <c r="P95" s="576">
        <f t="shared" si="529"/>
        <v>-1.9903560029137051</v>
      </c>
      <c r="Q95" s="528">
        <f t="shared" si="609"/>
        <v>212.63008229440675</v>
      </c>
      <c r="R95" s="572">
        <f t="shared" si="101"/>
        <v>6.631019999156317</v>
      </c>
      <c r="S95" s="577">
        <f t="shared" si="102"/>
        <v>-1.9903560029137051</v>
      </c>
      <c r="T95" s="578">
        <f t="shared" si="103"/>
        <v>-3.5755322175878339</v>
      </c>
      <c r="U95" s="572">
        <f t="shared" si="104"/>
        <v>5.5844422810342005</v>
      </c>
      <c r="V95" s="579">
        <f t="shared" si="141"/>
        <v>-1.9903560029137051</v>
      </c>
      <c r="W95" s="528">
        <f t="shared" si="735"/>
        <v>122.63008071942841</v>
      </c>
      <c r="X95" s="572">
        <f t="shared" si="105"/>
        <v>6.631019999156317</v>
      </c>
      <c r="Y95" s="573">
        <f t="shared" si="733"/>
        <v>-1.9903560029137051</v>
      </c>
      <c r="Z95" s="575">
        <f t="shared" si="530"/>
        <v>-0.18216711102703756</v>
      </c>
      <c r="AA95" s="572">
        <f t="shared" si="531"/>
        <v>0.96979634433775708</v>
      </c>
      <c r="AB95" s="572">
        <f t="shared" si="532"/>
        <v>-0.16220417432725154</v>
      </c>
      <c r="AC95" s="579">
        <f t="shared" si="106"/>
        <v>1</v>
      </c>
      <c r="AD95" s="580">
        <f t="shared" si="142"/>
        <v>-0.18216711102703756</v>
      </c>
      <c r="AE95" s="572">
        <f t="shared" si="107"/>
        <v>0.96979634433775708</v>
      </c>
      <c r="AF95" s="576">
        <f t="shared" si="108"/>
        <v>-0.16220417432725154</v>
      </c>
      <c r="AG95" s="545">
        <f t="shared" si="109"/>
        <v>80.504831997930779</v>
      </c>
      <c r="AH95" s="546">
        <f t="shared" si="110"/>
        <v>100.49601340933376</v>
      </c>
      <c r="AI95" s="528">
        <f t="shared" si="111"/>
        <v>-80.665142400216254</v>
      </c>
      <c r="AJ95" s="529">
        <f t="shared" si="112"/>
        <v>-169.36149463947638</v>
      </c>
      <c r="AK95" s="578">
        <f t="shared" si="238"/>
        <v>0.91495969205231109</v>
      </c>
      <c r="AL95" s="572">
        <f t="shared" si="113"/>
        <v>-0.36951125524177808</v>
      </c>
      <c r="AM95" s="577">
        <f t="shared" si="114"/>
        <v>-0.16220417432725154</v>
      </c>
      <c r="AN95" s="524">
        <f t="shared" si="115"/>
        <v>-66.299990427465744</v>
      </c>
      <c r="AO95" s="525">
        <f t="shared" si="525"/>
        <v>23.799996563705665</v>
      </c>
      <c r="AP95" s="528">
        <f t="shared" si="117"/>
        <v>-21.991576933883113</v>
      </c>
      <c r="AQ95" s="529">
        <f t="shared" si="533"/>
        <v>0.3437931528658949</v>
      </c>
      <c r="AS95" s="932">
        <f t="shared" si="632"/>
        <v>-237.36991928057159</v>
      </c>
      <c r="AT95" s="928">
        <f t="shared" si="534"/>
        <v>-1.8255157706891936</v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731"/>
        <v>5.1289999999999996</v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>
        <f t="shared" si="596"/>
        <v>1613</v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>
        <f t="shared" si="256"/>
        <v>0</v>
      </c>
      <c r="B96" s="578">
        <f t="shared" si="515"/>
        <v>-5.8099740893043847</v>
      </c>
      <c r="C96" s="572">
        <f t="shared" si="516"/>
        <v>-3.6754232668983247</v>
      </c>
      <c r="D96" s="576">
        <f t="shared" si="517"/>
        <v>-2.6944581264857086</v>
      </c>
      <c r="E96" s="580">
        <f t="shared" si="518"/>
        <v>0.11410316330169244</v>
      </c>
      <c r="F96" s="572">
        <f t="shared" si="519"/>
        <v>-0.98771010795691649</v>
      </c>
      <c r="G96" s="579">
        <f t="shared" si="520"/>
        <v>0.10681390716701487</v>
      </c>
      <c r="H96" s="580">
        <f t="shared" si="521"/>
        <v>0.3125</v>
      </c>
      <c r="I96" s="572">
        <f t="shared" si="522"/>
        <v>0.52</v>
      </c>
      <c r="J96" s="483">
        <f t="shared" si="523"/>
        <v>5.1319999999999997</v>
      </c>
      <c r="K96" s="806">
        <f t="shared" si="524"/>
        <v>1613</v>
      </c>
      <c r="L96" s="309"/>
      <c r="M96" s="164">
        <f t="shared" si="526"/>
        <v>5.1319999999999997</v>
      </c>
      <c r="N96" s="575">
        <f t="shared" si="527"/>
        <v>-5.8099740893043847</v>
      </c>
      <c r="O96" s="572">
        <f t="shared" si="528"/>
        <v>-3.6754232668983247</v>
      </c>
      <c r="P96" s="576">
        <f t="shared" si="529"/>
        <v>-2.6944581264857086</v>
      </c>
      <c r="Q96" s="528">
        <f t="shared" si="609"/>
        <v>212.31768233951172</v>
      </c>
      <c r="R96" s="572">
        <f t="shared" si="101"/>
        <v>6.8749207347609378</v>
      </c>
      <c r="S96" s="577">
        <f t="shared" si="102"/>
        <v>-2.6944581264857086</v>
      </c>
      <c r="T96" s="578">
        <f t="shared" si="103"/>
        <v>-3.6754231071905155</v>
      </c>
      <c r="U96" s="572">
        <f t="shared" si="104"/>
        <v>5.809974190336467</v>
      </c>
      <c r="V96" s="579">
        <f t="shared" si="141"/>
        <v>-2.6944581264857086</v>
      </c>
      <c r="W96" s="528">
        <f t="shared" si="735"/>
        <v>122.31768076453338</v>
      </c>
      <c r="X96" s="572">
        <f t="shared" si="105"/>
        <v>6.8749207347609378</v>
      </c>
      <c r="Y96" s="573">
        <f t="shared" si="733"/>
        <v>-2.6944581264857086</v>
      </c>
      <c r="Z96" s="575">
        <f t="shared" si="530"/>
        <v>-0.11410316330169244</v>
      </c>
      <c r="AA96" s="572">
        <f t="shared" si="531"/>
        <v>0.98771010795691649</v>
      </c>
      <c r="AB96" s="572">
        <f t="shared" si="532"/>
        <v>-0.10681390716701487</v>
      </c>
      <c r="AC96" s="579">
        <f t="shared" si="106"/>
        <v>1</v>
      </c>
      <c r="AD96" s="580">
        <f t="shared" si="142"/>
        <v>-0.11410316330169244</v>
      </c>
      <c r="AE96" s="572">
        <f t="shared" si="107"/>
        <v>0.98771010795691649</v>
      </c>
      <c r="AF96" s="576">
        <f t="shared" si="108"/>
        <v>-0.10681390716701487</v>
      </c>
      <c r="AG96" s="545">
        <f t="shared" si="109"/>
        <v>83.827850399457375</v>
      </c>
      <c r="AH96" s="546">
        <f t="shared" si="110"/>
        <v>96.55189959614043</v>
      </c>
      <c r="AI96" s="528">
        <f t="shared" si="111"/>
        <v>-83.868316400656397</v>
      </c>
      <c r="AJ96" s="529">
        <f t="shared" si="112"/>
        <v>-173.41023488147388</v>
      </c>
      <c r="AK96" s="578">
        <f t="shared" si="238"/>
        <v>0.89571178981943445</v>
      </c>
      <c r="AL96" s="572">
        <f t="shared" si="113"/>
        <v>-0.43161461839722426</v>
      </c>
      <c r="AM96" s="577">
        <f t="shared" si="114"/>
        <v>-0.10681390716701487</v>
      </c>
      <c r="AN96" s="524">
        <f t="shared" si="115"/>
        <v>-76.099989012520979</v>
      </c>
      <c r="AO96" s="525">
        <f t="shared" si="525"/>
        <v>26.399996188312151</v>
      </c>
      <c r="AP96" s="528">
        <f t="shared" si="117"/>
        <v>-25.727917220985574</v>
      </c>
      <c r="AQ96" s="529">
        <f t="shared" si="533"/>
        <v>0.33159672190866524</v>
      </c>
      <c r="AS96" s="932">
        <f t="shared" si="632"/>
        <v>-237.68231923546662</v>
      </c>
      <c r="AT96" s="928">
        <f t="shared" si="534"/>
        <v>-2.5294009498480756</v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731"/>
        <v>5.1319999999999997</v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>
        <f t="shared" si="596"/>
        <v>1613</v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>
        <f t="shared" si="256"/>
        <v>0</v>
      </c>
      <c r="B97" s="578">
        <f t="shared" si="515"/>
        <v>-5.9571752130392497</v>
      </c>
      <c r="C97" s="572">
        <f t="shared" si="516"/>
        <v>-3.7383754284252189</v>
      </c>
      <c r="D97" s="576">
        <f t="shared" si="517"/>
        <v>-3.4227603230451353</v>
      </c>
      <c r="E97" s="580">
        <f t="shared" si="518"/>
        <v>5.6519001407475664E-2</v>
      </c>
      <c r="F97" s="572">
        <f t="shared" si="519"/>
        <v>-0.99610459172640053</v>
      </c>
      <c r="G97" s="579">
        <f t="shared" si="520"/>
        <v>6.7684893598814966E-2</v>
      </c>
      <c r="H97" s="580">
        <f t="shared" si="521"/>
        <v>0.3125</v>
      </c>
      <c r="I97" s="572">
        <f t="shared" si="522"/>
        <v>0.52</v>
      </c>
      <c r="J97" s="483">
        <f t="shared" si="523"/>
        <v>5.1349999999999998</v>
      </c>
      <c r="K97" s="806">
        <f t="shared" si="524"/>
        <v>1613</v>
      </c>
      <c r="L97" s="309"/>
      <c r="M97" s="164">
        <f t="shared" si="526"/>
        <v>5.1349999999999998</v>
      </c>
      <c r="N97" s="575">
        <f t="shared" si="527"/>
        <v>-5.9571752130392497</v>
      </c>
      <c r="O97" s="572">
        <f t="shared" si="528"/>
        <v>-3.7383754284252189</v>
      </c>
      <c r="P97" s="576">
        <f t="shared" si="529"/>
        <v>-3.4227603230451353</v>
      </c>
      <c r="Q97" s="528">
        <f t="shared" si="609"/>
        <v>212.10998236949987</v>
      </c>
      <c r="R97" s="572">
        <f t="shared" si="101"/>
        <v>7.0330212115919766</v>
      </c>
      <c r="S97" s="577">
        <f t="shared" si="102"/>
        <v>-3.4227603230451353</v>
      </c>
      <c r="T97" s="578">
        <f t="shared" si="103"/>
        <v>-3.7383752646710624</v>
      </c>
      <c r="U97" s="572">
        <f t="shared" si="104"/>
        <v>5.9571753158017966</v>
      </c>
      <c r="V97" s="579">
        <f t="shared" si="141"/>
        <v>-3.4227603230451353</v>
      </c>
      <c r="W97" s="528">
        <f t="shared" si="735"/>
        <v>122.10998079452153</v>
      </c>
      <c r="X97" s="572">
        <f t="shared" si="105"/>
        <v>7.0330212115919766</v>
      </c>
      <c r="Y97" s="573">
        <f t="shared" si="733"/>
        <v>-3.4227603230451353</v>
      </c>
      <c r="Z97" s="575">
        <f t="shared" si="530"/>
        <v>-5.6519001407475664E-2</v>
      </c>
      <c r="AA97" s="572">
        <f t="shared" si="531"/>
        <v>0.99610459172640053</v>
      </c>
      <c r="AB97" s="572">
        <f t="shared" si="532"/>
        <v>-6.7684893598814966E-2</v>
      </c>
      <c r="AC97" s="579">
        <f t="shared" si="106"/>
        <v>1</v>
      </c>
      <c r="AD97" s="580">
        <f t="shared" si="142"/>
        <v>-5.6519001407475664E-2</v>
      </c>
      <c r="AE97" s="572">
        <f t="shared" si="107"/>
        <v>0.99610459172640053</v>
      </c>
      <c r="AF97" s="576">
        <f t="shared" si="108"/>
        <v>-6.7684893598814966E-2</v>
      </c>
      <c r="AG97" s="545">
        <f t="shared" si="109"/>
        <v>86.112750878681453</v>
      </c>
      <c r="AH97" s="546">
        <f t="shared" si="110"/>
        <v>93.240026795689616</v>
      </c>
      <c r="AI97" s="528">
        <f t="shared" si="111"/>
        <v>-86.118974082815555</v>
      </c>
      <c r="AJ97" s="529">
        <f t="shared" si="112"/>
        <v>-176.7525179522257</v>
      </c>
      <c r="AK97" s="578">
        <f t="shared" si="238"/>
        <v>0.87377225869860664</v>
      </c>
      <c r="AL97" s="572">
        <f t="shared" si="113"/>
        <v>-0.4816023204961255</v>
      </c>
      <c r="AM97" s="577">
        <f t="shared" si="114"/>
        <v>-6.7684893598814966E-2</v>
      </c>
      <c r="AN97" s="524">
        <f t="shared" si="115"/>
        <v>-81.999988160666575</v>
      </c>
      <c r="AO97" s="525">
        <f t="shared" si="525"/>
        <v>29.099995798480418</v>
      </c>
      <c r="AP97" s="528">
        <f t="shared" si="117"/>
        <v>-28.862500321725584</v>
      </c>
      <c r="AQ97" s="529">
        <f t="shared" si="533"/>
        <v>0.32414267523283641</v>
      </c>
      <c r="AS97" s="932">
        <f t="shared" si="632"/>
        <v>-237.89001920547847</v>
      </c>
      <c r="AT97" s="928">
        <f t="shared" si="534"/>
        <v>-3.2575589103172162</v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731"/>
        <v>5.1349999999999998</v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>
        <f t="shared" si="596"/>
        <v>1613</v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>
        <f t="shared" si="256"/>
        <v>0</v>
      </c>
      <c r="B98" s="578">
        <f t="shared" si="515"/>
        <v>-6.0524662870882988</v>
      </c>
      <c r="C98" s="572">
        <f t="shared" si="516"/>
        <v>-3.7781949294410908</v>
      </c>
      <c r="D98" s="576">
        <f t="shared" si="517"/>
        <v>-4.1739625886711682</v>
      </c>
      <c r="E98" s="580">
        <f t="shared" si="518"/>
        <v>-7.1566204462388313E-3</v>
      </c>
      <c r="F98" s="572">
        <f t="shared" si="519"/>
        <v>-0.99979952252244508</v>
      </c>
      <c r="G98" s="579">
        <f t="shared" si="520"/>
        <v>1.8700201808521728E-2</v>
      </c>
      <c r="H98" s="580">
        <f t="shared" si="521"/>
        <v>0.3125</v>
      </c>
      <c r="I98" s="572">
        <f t="shared" si="522"/>
        <v>0.52</v>
      </c>
      <c r="J98" s="483">
        <f t="shared" si="523"/>
        <v>5.1379999999999999</v>
      </c>
      <c r="K98" s="806">
        <f t="shared" si="524"/>
        <v>1613</v>
      </c>
      <c r="L98" s="309"/>
      <c r="M98" s="164">
        <f t="shared" si="526"/>
        <v>5.1379999999999999</v>
      </c>
      <c r="N98" s="575">
        <f t="shared" si="527"/>
        <v>-6.0524662870882988</v>
      </c>
      <c r="O98" s="572">
        <f t="shared" si="528"/>
        <v>-3.7781949294410908</v>
      </c>
      <c r="P98" s="576">
        <f t="shared" si="529"/>
        <v>-4.1739625886711682</v>
      </c>
      <c r="Q98" s="528">
        <f t="shared" si="609"/>
        <v>211.97408238912141</v>
      </c>
      <c r="R98" s="572">
        <f t="shared" si="101"/>
        <v>7.1349215189233011</v>
      </c>
      <c r="S98" s="577">
        <f t="shared" si="102"/>
        <v>-4.1739625886711682</v>
      </c>
      <c r="T98" s="578">
        <f t="shared" si="103"/>
        <v>-3.7781947630675208</v>
      </c>
      <c r="U98" s="572">
        <f t="shared" si="104"/>
        <v>6.0524663909454253</v>
      </c>
      <c r="V98" s="579">
        <f t="shared" si="141"/>
        <v>-4.1739625886711682</v>
      </c>
      <c r="W98" s="528">
        <f t="shared" si="735"/>
        <v>121.97408081414306</v>
      </c>
      <c r="X98" s="572">
        <f t="shared" si="105"/>
        <v>7.1349215189233011</v>
      </c>
      <c r="Y98" s="573">
        <f t="shared" si="733"/>
        <v>-4.1739625886711682</v>
      </c>
      <c r="Z98" s="575">
        <f t="shared" si="530"/>
        <v>7.1566204462388313E-3</v>
      </c>
      <c r="AA98" s="572">
        <f t="shared" si="531"/>
        <v>0.99979952252244508</v>
      </c>
      <c r="AB98" s="572">
        <f t="shared" si="532"/>
        <v>-1.8700201808521728E-2</v>
      </c>
      <c r="AC98" s="579">
        <f t="shared" si="106"/>
        <v>1</v>
      </c>
      <c r="AD98" s="580">
        <f t="shared" si="142"/>
        <v>7.1566204462388313E-3</v>
      </c>
      <c r="AE98" s="572">
        <f t="shared" si="107"/>
        <v>0.99979952252244508</v>
      </c>
      <c r="AF98" s="576">
        <f t="shared" si="108"/>
        <v>-1.8700201808521728E-2</v>
      </c>
      <c r="AG98" s="545">
        <f t="shared" si="109"/>
        <v>88.928467459681499</v>
      </c>
      <c r="AH98" s="546">
        <f t="shared" si="110"/>
        <v>89.589952352552842</v>
      </c>
      <c r="AI98" s="528">
        <f t="shared" si="111"/>
        <v>-88.928494903689284</v>
      </c>
      <c r="AJ98" s="529">
        <f t="shared" si="112"/>
        <v>179.58988063619026</v>
      </c>
      <c r="AK98" s="578">
        <f t="shared" si="238"/>
        <v>0.84432796925021403</v>
      </c>
      <c r="AL98" s="572">
        <f t="shared" si="113"/>
        <v>-0.53550031073205762</v>
      </c>
      <c r="AM98" s="577">
        <f t="shared" si="114"/>
        <v>-1.8700201808521728E-2</v>
      </c>
      <c r="AN98" s="524">
        <f t="shared" si="115"/>
        <v>-87.999987294373852</v>
      </c>
      <c r="AO98" s="525">
        <f t="shared" si="525"/>
        <v>32.399995322019457</v>
      </c>
      <c r="AP98" s="528">
        <f t="shared" si="117"/>
        <v>-32.384201752931141</v>
      </c>
      <c r="AQ98" s="529">
        <f t="shared" si="533"/>
        <v>0.31951339537350454</v>
      </c>
      <c r="AS98" s="932">
        <f t="shared" si="632"/>
        <v>-238.02591918585694</v>
      </c>
      <c r="AT98" s="928">
        <f t="shared" si="534"/>
        <v>-4.0086668009568749</v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731"/>
        <v>5.1379999999999999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596"/>
        <v>1613</v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>
        <f t="shared" si="256"/>
        <v>0</v>
      </c>
      <c r="B99" s="578">
        <f t="shared" si="515"/>
        <v>-4.0656487332316749</v>
      </c>
      <c r="C99" s="572">
        <f t="shared" si="516"/>
        <v>-1.4271370009491426</v>
      </c>
      <c r="D99" s="576">
        <f t="shared" si="517"/>
        <v>-0.20730198039390568</v>
      </c>
      <c r="E99" s="580">
        <f t="shared" si="518"/>
        <v>-0.17081597265838019</v>
      </c>
      <c r="F99" s="572">
        <f t="shared" si="519"/>
        <v>-5.9960368179697347E-2</v>
      </c>
      <c r="G99" s="579">
        <f t="shared" si="520"/>
        <v>0.98347682114655188</v>
      </c>
      <c r="H99" s="580">
        <f t="shared" si="521"/>
        <v>0.255</v>
      </c>
      <c r="I99" s="572">
        <f t="shared" si="522"/>
        <v>0.41499999999999992</v>
      </c>
      <c r="J99" s="483">
        <f t="shared" si="523"/>
        <v>5.2169999999999996</v>
      </c>
      <c r="K99" s="806" t="str">
        <f t="shared" si="524"/>
        <v>CPS-32193r1</v>
      </c>
      <c r="L99" s="309"/>
      <c r="M99" s="164">
        <f t="shared" si="526"/>
        <v>5.2169999999999996</v>
      </c>
      <c r="N99" s="575">
        <f t="shared" si="527"/>
        <v>-4.0656487332316749</v>
      </c>
      <c r="O99" s="572">
        <f t="shared" si="528"/>
        <v>-1.4271370009491426</v>
      </c>
      <c r="P99" s="576">
        <f t="shared" si="529"/>
        <v>-0.20730198039390568</v>
      </c>
      <c r="Q99" s="528">
        <f t="shared" si="609"/>
        <v>199.34225641154049</v>
      </c>
      <c r="R99" s="572">
        <f t="shared" si="101"/>
        <v>4.3088536342635768</v>
      </c>
      <c r="S99" s="577">
        <f t="shared" si="102"/>
        <v>-0.20730198039390568</v>
      </c>
      <c r="T99" s="578">
        <f t="shared" si="103"/>
        <v>-1.4271368891903216</v>
      </c>
      <c r="U99" s="572">
        <f t="shared" si="104"/>
        <v>4.0656487724616115</v>
      </c>
      <c r="V99" s="579">
        <f t="shared" si="141"/>
        <v>-0.20730198039390568</v>
      </c>
      <c r="W99" s="528">
        <f t="shared" si="735"/>
        <v>109.34225483656215</v>
      </c>
      <c r="X99" s="572">
        <f t="shared" si="105"/>
        <v>4.3088536342635768</v>
      </c>
      <c r="Y99" s="573">
        <f t="shared" si="733"/>
        <v>-0.20730198039390568</v>
      </c>
      <c r="Z99" s="575">
        <f t="shared" si="530"/>
        <v>0.17081597265838019</v>
      </c>
      <c r="AA99" s="572">
        <f t="shared" si="531"/>
        <v>5.9960368179697347E-2</v>
      </c>
      <c r="AB99" s="572">
        <f t="shared" si="532"/>
        <v>-0.98347682114655188</v>
      </c>
      <c r="AC99" s="579">
        <f t="shared" si="106"/>
        <v>1</v>
      </c>
      <c r="AD99" s="580">
        <f t="shared" si="142"/>
        <v>0.17081597265838019</v>
      </c>
      <c r="AE99" s="572">
        <f t="shared" si="107"/>
        <v>5.9960368179697347E-2</v>
      </c>
      <c r="AF99" s="576">
        <f t="shared" si="108"/>
        <v>-0.98347682114655188</v>
      </c>
      <c r="AG99" s="545">
        <f t="shared" si="109"/>
        <v>3.4888761974354776</v>
      </c>
      <c r="AH99" s="546">
        <f t="shared" si="110"/>
        <v>80.164735191440158</v>
      </c>
      <c r="AI99" s="528">
        <f t="shared" si="111"/>
        <v>-10.429998494094532</v>
      </c>
      <c r="AJ99" s="529">
        <f t="shared" si="112"/>
        <v>109.34225641154049</v>
      </c>
      <c r="AK99" s="578">
        <f t="shared" si="238"/>
        <v>6.9388939039072284E-18</v>
      </c>
      <c r="AL99" s="572">
        <f t="shared" si="113"/>
        <v>-0.18103409145095667</v>
      </c>
      <c r="AM99" s="577">
        <f t="shared" si="114"/>
        <v>-0.98347682114655188</v>
      </c>
      <c r="AN99" s="524">
        <f t="shared" si="115"/>
        <v>-10.429998494094555</v>
      </c>
      <c r="AO99" s="525">
        <f t="shared" si="525"/>
        <v>0</v>
      </c>
      <c r="AP99" s="528">
        <f t="shared" si="117"/>
        <v>-90</v>
      </c>
      <c r="AQ99" s="529">
        <f t="shared" si="533"/>
        <v>0.52906457987579958</v>
      </c>
      <c r="AS99" s="932">
        <f t="shared" si="632"/>
        <v>-250.65774516343785</v>
      </c>
      <c r="AT99" s="928">
        <f t="shared" si="534"/>
        <v>-3.3234091306292651E-2</v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>Nose</v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>
        <f t="shared" si="731"/>
        <v>5.2169999999999996</v>
      </c>
      <c r="IJ99" s="674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5.117</v>
      </c>
      <c r="IK99" s="677" cm="1">
        <f t="array" ref="IK99">IFERROR(ROUND(VALUE(IF($IJ99&lt;1,$IJ99+LARGE((IF($M$9:$M$150="",0,$M$9:$M$150)-MOD(IF($M$9:$M$150="",0,$M$9:$M$150),1)),1),$IJ99)),4),"")</f>
        <v>5.117</v>
      </c>
      <c r="IL99" s="482">
        <f t="shared" si="596"/>
        <v>1613</v>
      </c>
      <c r="IM99" s="482" t="str">
        <f t="shared" si="732"/>
        <v>CPS-32193r1</v>
      </c>
      <c r="IN99" s="670">
        <f t="shared" si="597"/>
        <v>15.49842556369515</v>
      </c>
      <c r="IO99" s="702">
        <v>4.24718049521942E-2</v>
      </c>
      <c r="IP99" s="5">
        <f t="shared" si="598"/>
        <v>1</v>
      </c>
      <c r="IQ99" s="714">
        <v>500</v>
      </c>
      <c r="IR99" s="9">
        <f t="shared" si="599"/>
        <v>-4.3037129799983482</v>
      </c>
      <c r="IS99" s="5">
        <f t="shared" si="600"/>
        <v>-0.20905063049670169</v>
      </c>
      <c r="IT99" s="5">
        <f t="shared" si="601"/>
        <v>0.3125</v>
      </c>
      <c r="IU99" s="5">
        <f t="shared" si="602"/>
        <v>0.30113451988959949</v>
      </c>
      <c r="IV99" s="670">
        <f t="shared" si="603"/>
        <v>18.999997256739775</v>
      </c>
      <c r="IW99" s="9">
        <f t="shared" si="604"/>
        <v>-4.3088536342635768</v>
      </c>
      <c r="IX99" s="5">
        <f t="shared" si="605"/>
        <v>-0.20730198039390568</v>
      </c>
      <c r="IY99" s="5">
        <f t="shared" si="606"/>
        <v>0.255</v>
      </c>
      <c r="IZ99" s="5">
        <f t="shared" si="607"/>
        <v>0.255</v>
      </c>
      <c r="JA99" s="705">
        <f t="shared" si="608"/>
        <v>10.429998494094555</v>
      </c>
    </row>
    <row r="100" spans="1:261" ht="15" customHeight="1" x14ac:dyDescent="0.25">
      <c r="A100" s="75">
        <f t="shared" si="256"/>
        <v>0</v>
      </c>
      <c r="B100" s="578">
        <f t="shared" si="515"/>
        <v>-4.7019370340605242</v>
      </c>
      <c r="C100" s="572">
        <f t="shared" si="516"/>
        <v>-1.8184181926464393</v>
      </c>
      <c r="D100" s="576">
        <f t="shared" si="517"/>
        <v>-0.43487399887963918</v>
      </c>
      <c r="E100" s="580">
        <f t="shared" si="518"/>
        <v>-0.38232723903311422</v>
      </c>
      <c r="F100" s="572">
        <f t="shared" si="519"/>
        <v>-0.14786050982092966</v>
      </c>
      <c r="G100" s="579">
        <f t="shared" si="520"/>
        <v>0.91212014117045515</v>
      </c>
      <c r="H100" s="580">
        <f t="shared" si="521"/>
        <v>0.255</v>
      </c>
      <c r="I100" s="572">
        <f t="shared" si="522"/>
        <v>0.41499999999999992</v>
      </c>
      <c r="J100" s="483">
        <f t="shared" si="523"/>
        <v>5.22</v>
      </c>
      <c r="K100" s="806" t="str">
        <f t="shared" si="524"/>
        <v>CPS-32193r1</v>
      </c>
      <c r="L100" s="309"/>
      <c r="M100" s="164">
        <f t="shared" si="526"/>
        <v>5.22</v>
      </c>
      <c r="N100" s="575">
        <f t="shared" si="527"/>
        <v>-4.7019370340605242</v>
      </c>
      <c r="O100" s="572">
        <f t="shared" si="528"/>
        <v>-1.8184181926464393</v>
      </c>
      <c r="P100" s="576">
        <f t="shared" si="529"/>
        <v>-0.43487399887963918</v>
      </c>
      <c r="Q100" s="528">
        <f t="shared" si="609"/>
        <v>201.1433851944679</v>
      </c>
      <c r="R100" s="572">
        <f t="shared" si="101"/>
        <v>5.0413149669126431</v>
      </c>
      <c r="S100" s="577">
        <f t="shared" si="102"/>
        <v>-0.43487399887963918</v>
      </c>
      <c r="T100" s="578">
        <f t="shared" si="103"/>
        <v>-1.8184180633969704</v>
      </c>
      <c r="U100" s="572">
        <f t="shared" si="104"/>
        <v>4.7019370840462162</v>
      </c>
      <c r="V100" s="579">
        <f t="shared" si="141"/>
        <v>-0.43487399887963918</v>
      </c>
      <c r="W100" s="528">
        <f t="shared" si="735"/>
        <v>111.14338361948955</v>
      </c>
      <c r="X100" s="572">
        <f t="shared" si="105"/>
        <v>5.0413149669126431</v>
      </c>
      <c r="Y100" s="573">
        <f t="shared" si="733"/>
        <v>-0.43487399887963918</v>
      </c>
      <c r="Z100" s="575">
        <f t="shared" si="530"/>
        <v>0.38232723903311422</v>
      </c>
      <c r="AA100" s="572">
        <f t="shared" si="531"/>
        <v>0.14786050982092966</v>
      </c>
      <c r="AB100" s="572">
        <f t="shared" si="532"/>
        <v>-0.91212014117045515</v>
      </c>
      <c r="AC100" s="579">
        <f t="shared" si="106"/>
        <v>1</v>
      </c>
      <c r="AD100" s="580">
        <f t="shared" si="142"/>
        <v>0.38232723903311422</v>
      </c>
      <c r="AE100" s="572">
        <f t="shared" si="107"/>
        <v>0.14786050982092966</v>
      </c>
      <c r="AF100" s="576">
        <f t="shared" si="108"/>
        <v>-0.91212014117045515</v>
      </c>
      <c r="AG100" s="545">
        <f t="shared" si="109"/>
        <v>9.2079132789048987</v>
      </c>
      <c r="AH100" s="546">
        <f t="shared" si="110"/>
        <v>67.522088102495829</v>
      </c>
      <c r="AI100" s="528">
        <f t="shared" si="111"/>
        <v>-24.199996505952797</v>
      </c>
      <c r="AJ100" s="529">
        <f t="shared" si="112"/>
        <v>111.14338519446791</v>
      </c>
      <c r="AK100" s="578">
        <f t="shared" si="238"/>
        <v>1.3877787807814457E-16</v>
      </c>
      <c r="AL100" s="572">
        <f t="shared" si="113"/>
        <v>-0.40992297821809076</v>
      </c>
      <c r="AM100" s="577">
        <f t="shared" si="114"/>
        <v>-0.91212014117045515</v>
      </c>
      <c r="AN100" s="524">
        <f t="shared" si="115"/>
        <v>-24.199996505952821</v>
      </c>
      <c r="AO100" s="525">
        <f t="shared" si="525"/>
        <v>0</v>
      </c>
      <c r="AP100" s="528">
        <f t="shared" si="117"/>
        <v>-89.999999999999986</v>
      </c>
      <c r="AQ100" s="529">
        <f t="shared" si="533"/>
        <v>0.4521993393395819</v>
      </c>
      <c r="AS100" s="932">
        <f t="shared" si="632"/>
        <v>-248.85661638051045</v>
      </c>
      <c r="AT100" s="928">
        <f t="shared" si="534"/>
        <v>-0.26205689366905904</v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>Nose</v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>
        <f t="shared" si="731"/>
        <v>5.22</v>
      </c>
      <c r="IJ100" s="674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5.12</v>
      </c>
      <c r="IK100" s="677" cm="1">
        <f t="array" ref="IK100">IFERROR(ROUND(VALUE(IF($IJ100&lt;1,$IJ100+LARGE((IF($M$9:$M$150="",0,$M$9:$M$150)-MOD(IF($M$9:$M$150="",0,$M$9:$M$150),1)),1),$IJ100)),4),"")</f>
        <v>5.12</v>
      </c>
      <c r="IL100" s="482">
        <f t="shared" si="596"/>
        <v>1613</v>
      </c>
      <c r="IM100" s="482" t="str">
        <f t="shared" si="732"/>
        <v>CPS-32193r1</v>
      </c>
      <c r="IN100" s="670">
        <f t="shared" si="597"/>
        <v>13.205896851717114</v>
      </c>
      <c r="IO100" s="702">
        <v>4.0309407842594402E-2</v>
      </c>
      <c r="IP100" s="5">
        <f t="shared" si="598"/>
        <v>1.2</v>
      </c>
      <c r="IQ100" s="714">
        <v>600</v>
      </c>
      <c r="IR100" s="9">
        <f t="shared" si="599"/>
        <v>-5.0339151822881911</v>
      </c>
      <c r="IS100" s="5">
        <f t="shared" si="600"/>
        <v>-0.43505131211475706</v>
      </c>
      <c r="IT100" s="5">
        <f t="shared" si="601"/>
        <v>0.3125</v>
      </c>
      <c r="IU100" s="5">
        <f t="shared" si="602"/>
        <v>0.29993915734487264</v>
      </c>
      <c r="IV100" s="670">
        <f t="shared" si="603"/>
        <v>31.099995509716297</v>
      </c>
      <c r="IW100" s="9">
        <f t="shared" si="604"/>
        <v>-5.0413149669126431</v>
      </c>
      <c r="IX100" s="5">
        <f t="shared" si="605"/>
        <v>-0.43487399887963918</v>
      </c>
      <c r="IY100" s="5">
        <f t="shared" si="606"/>
        <v>0.255</v>
      </c>
      <c r="IZ100" s="5">
        <f t="shared" si="607"/>
        <v>0.255</v>
      </c>
      <c r="JA100" s="705">
        <f t="shared" si="608"/>
        <v>24.199996505952821</v>
      </c>
    </row>
    <row r="101" spans="1:261" ht="15" customHeight="1" x14ac:dyDescent="0.25">
      <c r="A101" s="75">
        <f t="shared" si="256"/>
        <v>0</v>
      </c>
      <c r="B101" s="578">
        <f t="shared" si="515"/>
        <v>-5.2753989008872564</v>
      </c>
      <c r="C101" s="572">
        <f t="shared" si="516"/>
        <v>-2.137574529673226</v>
      </c>
      <c r="D101" s="576">
        <f t="shared" si="517"/>
        <v>-0.82599948192906913</v>
      </c>
      <c r="E101" s="580">
        <f t="shared" si="518"/>
        <v>-0.56830181602537289</v>
      </c>
      <c r="F101" s="572">
        <f t="shared" si="519"/>
        <v>-0.23027405319028363</v>
      </c>
      <c r="G101" s="579">
        <f t="shared" si="520"/>
        <v>0.78994107775807043</v>
      </c>
      <c r="H101" s="580">
        <f t="shared" si="521"/>
        <v>0.255</v>
      </c>
      <c r="I101" s="572">
        <f t="shared" si="522"/>
        <v>0.41499999999999992</v>
      </c>
      <c r="J101" s="483">
        <f t="shared" si="523"/>
        <v>5.2229999999999999</v>
      </c>
      <c r="K101" s="806" t="str">
        <f t="shared" si="524"/>
        <v>CPS-32193r1</v>
      </c>
      <c r="L101" s="309"/>
      <c r="M101" s="164">
        <f t="shared" si="526"/>
        <v>5.2229999999999999</v>
      </c>
      <c r="N101" s="575">
        <f t="shared" si="527"/>
        <v>-5.2753989008872564</v>
      </c>
      <c r="O101" s="572">
        <f t="shared" si="528"/>
        <v>-2.137574529673226</v>
      </c>
      <c r="P101" s="576">
        <f t="shared" si="529"/>
        <v>-0.82599948192906913</v>
      </c>
      <c r="Q101" s="528">
        <f t="shared" si="609"/>
        <v>202.05763162680387</v>
      </c>
      <c r="R101" s="572">
        <f t="shared" si="101"/>
        <v>5.6920170795061908</v>
      </c>
      <c r="S101" s="577">
        <f t="shared" si="102"/>
        <v>-0.82599948192906913</v>
      </c>
      <c r="T101" s="578">
        <f t="shared" si="103"/>
        <v>-2.1375743846601187</v>
      </c>
      <c r="U101" s="572">
        <f t="shared" si="104"/>
        <v>5.2753989596460951</v>
      </c>
      <c r="V101" s="579">
        <f t="shared" si="141"/>
        <v>-0.82599948192906913</v>
      </c>
      <c r="W101" s="528">
        <f t="shared" si="735"/>
        <v>112.05763005182553</v>
      </c>
      <c r="X101" s="572">
        <f t="shared" si="105"/>
        <v>5.6920170795061908</v>
      </c>
      <c r="Y101" s="573">
        <f t="shared" si="733"/>
        <v>-0.82599948192906913</v>
      </c>
      <c r="Z101" s="575">
        <f t="shared" si="530"/>
        <v>0.56830181602537289</v>
      </c>
      <c r="AA101" s="572">
        <f t="shared" si="531"/>
        <v>0.23027405319028363</v>
      </c>
      <c r="AB101" s="572">
        <f t="shared" si="532"/>
        <v>-0.78994107775807043</v>
      </c>
      <c r="AC101" s="579">
        <f t="shared" si="106"/>
        <v>1</v>
      </c>
      <c r="AD101" s="580">
        <f t="shared" si="142"/>
        <v>0.56830181602537289</v>
      </c>
      <c r="AE101" s="572">
        <f t="shared" si="107"/>
        <v>0.23027405319028363</v>
      </c>
      <c r="AF101" s="576">
        <f t="shared" si="108"/>
        <v>-0.78994107775807043</v>
      </c>
      <c r="AG101" s="545">
        <f t="shared" si="109"/>
        <v>16.251820099288413</v>
      </c>
      <c r="AH101" s="546">
        <f t="shared" si="110"/>
        <v>55.368109081857973</v>
      </c>
      <c r="AI101" s="528">
        <f t="shared" si="111"/>
        <v>-37.819994539468375</v>
      </c>
      <c r="AJ101" s="529">
        <f t="shared" si="112"/>
        <v>112.05763162680384</v>
      </c>
      <c r="AK101" s="578">
        <f t="shared" si="238"/>
        <v>-1.6653345369377348E-16</v>
      </c>
      <c r="AL101" s="572">
        <f t="shared" si="113"/>
        <v>-0.61318275715354087</v>
      </c>
      <c r="AM101" s="577">
        <f t="shared" si="114"/>
        <v>-0.78994107775807043</v>
      </c>
      <c r="AN101" s="524">
        <f t="shared" si="115"/>
        <v>-37.819994539468382</v>
      </c>
      <c r="AO101" s="525">
        <f t="shared" si="525"/>
        <v>0</v>
      </c>
      <c r="AP101" s="528">
        <f t="shared" si="117"/>
        <v>-90.000000000000014</v>
      </c>
      <c r="AQ101" s="529">
        <f t="shared" si="533"/>
        <v>0.4005064407058484</v>
      </c>
      <c r="AS101" s="932">
        <f t="shared" si="632"/>
        <v>-247.94236994817447</v>
      </c>
      <c r="AT101" s="928">
        <f t="shared" si="534"/>
        <v>-0.65381727007427792</v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>Taper</v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>
        <f t="shared" si="731"/>
        <v>5.2229999999999999</v>
      </c>
      <c r="IJ101" s="674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5.1230000000000002</v>
      </c>
      <c r="IK101" s="677" cm="1">
        <f t="array" ref="IK101">IFERROR(ROUND(VALUE(IF($IJ101&lt;1,$IJ101+LARGE((IF($M$9:$M$150="",0,$M$9:$M$150)-MOD(IF($M$9:$M$150="",0,$M$9:$M$150),1)),1),$IJ101)),4),"")</f>
        <v>5.1230000000000002</v>
      </c>
      <c r="IL101" s="482">
        <f t="shared" si="596"/>
        <v>1613</v>
      </c>
      <c r="IM101" s="482" t="str">
        <f t="shared" si="732"/>
        <v>CPS-32193r1</v>
      </c>
      <c r="IN101" s="670">
        <f t="shared" si="597"/>
        <v>11.674250508522647</v>
      </c>
      <c r="IO101" s="702">
        <v>3.8576627423438301E-2</v>
      </c>
      <c r="IP101" s="5">
        <f t="shared" si="598"/>
        <v>1.44</v>
      </c>
      <c r="IQ101" s="714">
        <v>720</v>
      </c>
      <c r="IR101" s="9">
        <f t="shared" si="599"/>
        <v>-5.6833171408844967</v>
      </c>
      <c r="IS101" s="5">
        <f t="shared" si="600"/>
        <v>-0.82355248383429136</v>
      </c>
      <c r="IT101" s="5">
        <f t="shared" si="601"/>
        <v>0.3125</v>
      </c>
      <c r="IU101" s="5">
        <f t="shared" si="602"/>
        <v>0.2986853210840093</v>
      </c>
      <c r="IV101" s="670">
        <f t="shared" si="603"/>
        <v>42.799993820445458</v>
      </c>
      <c r="IW101" s="9">
        <f t="shared" si="604"/>
        <v>-5.6920170795061908</v>
      </c>
      <c r="IX101" s="5">
        <f t="shared" si="605"/>
        <v>-0.82599948192906913</v>
      </c>
      <c r="IY101" s="5">
        <f t="shared" si="606"/>
        <v>0.255</v>
      </c>
      <c r="IZ101" s="5">
        <f t="shared" si="607"/>
        <v>0.255</v>
      </c>
      <c r="JA101" s="705">
        <f t="shared" si="608"/>
        <v>37.819994539468382</v>
      </c>
    </row>
    <row r="102" spans="1:261" ht="15" customHeight="1" x14ac:dyDescent="0.25">
      <c r="A102" s="75">
        <f t="shared" si="256"/>
        <v>0</v>
      </c>
      <c r="B102" s="578">
        <f t="shared" si="515"/>
        <v>-5.7572846978003041</v>
      </c>
      <c r="C102" s="572">
        <f t="shared" si="516"/>
        <v>-2.3824705014683114</v>
      </c>
      <c r="D102" s="576">
        <f t="shared" si="517"/>
        <v>-1.3607442850222711</v>
      </c>
      <c r="E102" s="580">
        <f t="shared" si="518"/>
        <v>-0.72263432565101515</v>
      </c>
      <c r="F102" s="572">
        <f t="shared" si="519"/>
        <v>-0.29903940044336957</v>
      </c>
      <c r="G102" s="579">
        <f t="shared" si="520"/>
        <v>0.62319745536496907</v>
      </c>
      <c r="H102" s="580">
        <f t="shared" si="521"/>
        <v>0.255</v>
      </c>
      <c r="I102" s="572">
        <f t="shared" si="522"/>
        <v>0.41499999999999992</v>
      </c>
      <c r="J102" s="483">
        <f t="shared" si="523"/>
        <v>5.226</v>
      </c>
      <c r="K102" s="806" t="str">
        <f t="shared" si="524"/>
        <v>CPS-32193r1</v>
      </c>
      <c r="L102" s="309"/>
      <c r="M102" s="164">
        <f t="shared" si="526"/>
        <v>5.226</v>
      </c>
      <c r="N102" s="575">
        <f t="shared" si="527"/>
        <v>-5.7572846978003041</v>
      </c>
      <c r="O102" s="572">
        <f t="shared" si="528"/>
        <v>-2.3824705014683114</v>
      </c>
      <c r="P102" s="576">
        <f t="shared" si="529"/>
        <v>-1.3607442850222711</v>
      </c>
      <c r="Q102" s="528">
        <f t="shared" si="609"/>
        <v>202.48067323688673</v>
      </c>
      <c r="R102" s="572">
        <f t="shared" si="101"/>
        <v>6.2307698386228489</v>
      </c>
      <c r="S102" s="577">
        <f t="shared" si="102"/>
        <v>-1.3607442850222711</v>
      </c>
      <c r="T102" s="578">
        <f t="shared" si="103"/>
        <v>-2.382470343208857</v>
      </c>
      <c r="U102" s="572">
        <f t="shared" si="104"/>
        <v>5.75728476329098</v>
      </c>
      <c r="V102" s="579">
        <f t="shared" si="141"/>
        <v>-1.3607442850222711</v>
      </c>
      <c r="W102" s="528">
        <f t="shared" si="735"/>
        <v>112.48067166190839</v>
      </c>
      <c r="X102" s="572">
        <f t="shared" si="105"/>
        <v>6.2307698386228489</v>
      </c>
      <c r="Y102" s="573">
        <f t="shared" si="733"/>
        <v>-1.3607442850222711</v>
      </c>
      <c r="Z102" s="575">
        <f t="shared" si="530"/>
        <v>0.72263432565101515</v>
      </c>
      <c r="AA102" s="572">
        <f t="shared" si="531"/>
        <v>0.29903940044336957</v>
      </c>
      <c r="AB102" s="572">
        <f t="shared" si="532"/>
        <v>-0.62319745536496907</v>
      </c>
      <c r="AC102" s="579">
        <f t="shared" si="106"/>
        <v>1</v>
      </c>
      <c r="AD102" s="580">
        <f t="shared" si="142"/>
        <v>0.72263432565101515</v>
      </c>
      <c r="AE102" s="572">
        <f t="shared" si="107"/>
        <v>0.29903940044336957</v>
      </c>
      <c r="AF102" s="576">
        <f t="shared" si="108"/>
        <v>-0.62319745536496907</v>
      </c>
      <c r="AG102" s="545">
        <f t="shared" si="109"/>
        <v>25.633878518736161</v>
      </c>
      <c r="AH102" s="546">
        <f t="shared" si="110"/>
        <v>43.727594265791254</v>
      </c>
      <c r="AI102" s="528">
        <f t="shared" si="111"/>
        <v>-51.449992571540129</v>
      </c>
      <c r="AJ102" s="529">
        <f t="shared" si="112"/>
        <v>112.48067323688673</v>
      </c>
      <c r="AK102" s="578">
        <f t="shared" si="238"/>
        <v>0</v>
      </c>
      <c r="AL102" s="572">
        <f t="shared" si="113"/>
        <v>-0.78206453162550926</v>
      </c>
      <c r="AM102" s="577">
        <f t="shared" si="114"/>
        <v>-0.62319745536496907</v>
      </c>
      <c r="AN102" s="524">
        <f t="shared" si="115"/>
        <v>-51.449992571540129</v>
      </c>
      <c r="AO102" s="525">
        <f t="shared" si="525"/>
        <v>0</v>
      </c>
      <c r="AP102" s="528">
        <f t="shared" si="117"/>
        <v>-90</v>
      </c>
      <c r="AQ102" s="529">
        <f t="shared" si="533"/>
        <v>0.36587704303161511</v>
      </c>
      <c r="AS102" s="932">
        <f t="shared" si="632"/>
        <v>-247.51932833809161</v>
      </c>
      <c r="AT102" s="928">
        <f t="shared" si="534"/>
        <v>-1.1888558520633707</v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>Taper</v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>
        <f t="shared" si="731"/>
        <v>5.226</v>
      </c>
      <c r="IJ102" s="674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5.1260000000000003</v>
      </c>
      <c r="IK102" s="677" cm="1">
        <f t="array" ref="IK102">IFERROR(ROUND(VALUE(IF($IJ102&lt;1,$IJ102+LARGE((IF($M$9:$M$150="",0,$M$9:$M$150)-MOD(IF($M$9:$M$150="",0,$M$9:$M$150),1)),1),$IJ102)),4),"")</f>
        <v>5.1260000000000003</v>
      </c>
      <c r="IL102" s="482">
        <f t="shared" si="596"/>
        <v>1613</v>
      </c>
      <c r="IM102" s="482" t="str">
        <f t="shared" si="732"/>
        <v>CPS-32193r1</v>
      </c>
      <c r="IN102" s="670">
        <f t="shared" si="597"/>
        <v>10.644008986108616</v>
      </c>
      <c r="IO102" s="702">
        <v>3.7757397872138901E-2</v>
      </c>
      <c r="IP102" s="5">
        <f t="shared" si="598"/>
        <v>1.76</v>
      </c>
      <c r="IQ102" s="714">
        <v>880</v>
      </c>
      <c r="IR102" s="9">
        <f t="shared" si="599"/>
        <v>-6.2261187779742322</v>
      </c>
      <c r="IS102" s="5">
        <f t="shared" si="600"/>
        <v>-1.3520540777950991</v>
      </c>
      <c r="IT102" s="5">
        <f t="shared" si="601"/>
        <v>0.3125</v>
      </c>
      <c r="IU102" s="5">
        <f t="shared" si="602"/>
        <v>0.29271006479365713</v>
      </c>
      <c r="IV102" s="670">
        <f t="shared" si="603"/>
        <v>54.599992116736459</v>
      </c>
      <c r="IW102" s="9">
        <f t="shared" si="604"/>
        <v>-6.2307698386228489</v>
      </c>
      <c r="IX102" s="5">
        <f t="shared" si="605"/>
        <v>-1.3607442850222711</v>
      </c>
      <c r="IY102" s="5">
        <f t="shared" si="606"/>
        <v>0.255</v>
      </c>
      <c r="IZ102" s="5">
        <f t="shared" si="607"/>
        <v>0.255</v>
      </c>
      <c r="JA102" s="705">
        <f t="shared" si="608"/>
        <v>51.449992571540129</v>
      </c>
    </row>
    <row r="103" spans="1:261" ht="15" customHeight="1" x14ac:dyDescent="0.25">
      <c r="A103" s="75">
        <f t="shared" si="256"/>
        <v>0</v>
      </c>
      <c r="B103" s="578">
        <f t="shared" si="515"/>
        <v>-6.1181020019985475</v>
      </c>
      <c r="C103" s="572">
        <f t="shared" si="516"/>
        <v>-2.5520967305651379</v>
      </c>
      <c r="D103" s="576">
        <f t="shared" si="517"/>
        <v>-2.0034911108785551</v>
      </c>
      <c r="E103" s="580">
        <f t="shared" si="518"/>
        <v>-0.83651957594138415</v>
      </c>
      <c r="F103" s="572">
        <f t="shared" si="519"/>
        <v>-0.3489446357900477</v>
      </c>
      <c r="G103" s="579">
        <f t="shared" si="520"/>
        <v>0.4224602232402454</v>
      </c>
      <c r="H103" s="580">
        <f t="shared" si="521"/>
        <v>0.255</v>
      </c>
      <c r="I103" s="572">
        <f t="shared" si="522"/>
        <v>0.41499999999999992</v>
      </c>
      <c r="J103" s="483">
        <f t="shared" si="523"/>
        <v>5.2290000000000001</v>
      </c>
      <c r="K103" s="806" t="str">
        <f t="shared" si="524"/>
        <v>CPS-32193r1</v>
      </c>
      <c r="L103" s="309"/>
      <c r="M103" s="164">
        <f t="shared" si="526"/>
        <v>5.2290000000000001</v>
      </c>
      <c r="N103" s="575">
        <f t="shared" si="527"/>
        <v>-6.1181020019985475</v>
      </c>
      <c r="O103" s="572">
        <f t="shared" si="528"/>
        <v>-2.5520967305651379</v>
      </c>
      <c r="P103" s="576">
        <f t="shared" si="529"/>
        <v>-2.0034911108785551</v>
      </c>
      <c r="Q103" s="528">
        <f t="shared" si="609"/>
        <v>202.64290271578187</v>
      </c>
      <c r="R103" s="572">
        <f t="shared" si="101"/>
        <v>6.6290549725447212</v>
      </c>
      <c r="S103" s="577">
        <f t="shared" si="102"/>
        <v>-2.0034911108785551</v>
      </c>
      <c r="T103" s="578">
        <f t="shared" si="103"/>
        <v>-2.5520965623873382</v>
      </c>
      <c r="U103" s="572">
        <f t="shared" si="104"/>
        <v>6.118102072152003</v>
      </c>
      <c r="V103" s="579">
        <f t="shared" si="141"/>
        <v>-2.0034911108785551</v>
      </c>
      <c r="W103" s="528">
        <f t="shared" si="735"/>
        <v>112.64290114080353</v>
      </c>
      <c r="X103" s="572">
        <f t="shared" si="105"/>
        <v>6.6290549725447212</v>
      </c>
      <c r="Y103" s="573">
        <f t="shared" si="733"/>
        <v>-2.0034911108785551</v>
      </c>
      <c r="Z103" s="575">
        <f t="shared" si="530"/>
        <v>0.83651957594138415</v>
      </c>
      <c r="AA103" s="572">
        <f t="shared" si="531"/>
        <v>0.3489446357900477</v>
      </c>
      <c r="AB103" s="572">
        <f t="shared" si="532"/>
        <v>-0.4224602232402454</v>
      </c>
      <c r="AC103" s="579">
        <f t="shared" si="106"/>
        <v>1</v>
      </c>
      <c r="AD103" s="580">
        <f t="shared" si="142"/>
        <v>0.83651957594138415</v>
      </c>
      <c r="AE103" s="572">
        <f t="shared" si="107"/>
        <v>0.3489446357900477</v>
      </c>
      <c r="AF103" s="576">
        <f t="shared" si="108"/>
        <v>-0.4224602232402454</v>
      </c>
      <c r="AG103" s="545">
        <f t="shared" si="109"/>
        <v>39.556101143034169</v>
      </c>
      <c r="AH103" s="546">
        <f t="shared" si="110"/>
        <v>33.225600042443297</v>
      </c>
      <c r="AI103" s="528">
        <f t="shared" si="111"/>
        <v>-65.009990613718642</v>
      </c>
      <c r="AJ103" s="529">
        <f t="shared" si="112"/>
        <v>112.64290271578189</v>
      </c>
      <c r="AK103" s="578">
        <f t="shared" si="238"/>
        <v>2.2204460492503131E-16</v>
      </c>
      <c r="AL103" s="572">
        <f t="shared" si="113"/>
        <v>-0.90638146482582171</v>
      </c>
      <c r="AM103" s="577">
        <f t="shared" si="114"/>
        <v>-0.4224602232402454</v>
      </c>
      <c r="AN103" s="524">
        <f t="shared" si="115"/>
        <v>-65.009990613718642</v>
      </c>
      <c r="AO103" s="525">
        <f t="shared" si="525"/>
        <v>0</v>
      </c>
      <c r="AP103" s="528">
        <f t="shared" si="117"/>
        <v>-89.999999999999986</v>
      </c>
      <c r="AQ103" s="529">
        <f t="shared" si="533"/>
        <v>0.34389505977038176</v>
      </c>
      <c r="AS103" s="932">
        <f t="shared" si="632"/>
        <v>-247.35709885919647</v>
      </c>
      <c r="AT103" s="928">
        <f t="shared" si="534"/>
        <v>-1.8317153372799986</v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>Taper</v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>
        <f t="shared" si="731"/>
        <v>5.2290000000000001</v>
      </c>
      <c r="IJ103" s="674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5.1289999999999996</v>
      </c>
      <c r="IK103" s="677" cm="1">
        <f t="array" ref="IK103">IFERROR(ROUND(VALUE(IF($IJ103&lt;1,$IJ103+LARGE((IF($M$9:$M$150="",0,$M$9:$M$150)-MOD(IF($M$9:$M$150="",0,$M$9:$M$150),1)),1),$IJ103)),4),"")</f>
        <v>5.1289999999999996</v>
      </c>
      <c r="IL103" s="482">
        <f t="shared" si="596"/>
        <v>1613</v>
      </c>
      <c r="IM103" s="482" t="str">
        <f t="shared" si="732"/>
        <v>CPS-32193r1</v>
      </c>
      <c r="IN103" s="670">
        <f t="shared" si="597"/>
        <v>9.9871795786248754</v>
      </c>
      <c r="IO103" s="702">
        <v>3.6698337391595698E-2</v>
      </c>
      <c r="IP103" s="5">
        <f t="shared" si="598"/>
        <v>2.14</v>
      </c>
      <c r="IQ103" s="714">
        <v>1070</v>
      </c>
      <c r="IR103" s="9">
        <f t="shared" si="599"/>
        <v>-6.631019999156317</v>
      </c>
      <c r="IS103" s="5">
        <f t="shared" si="600"/>
        <v>-1.9903560029137051</v>
      </c>
      <c r="IT103" s="5">
        <f t="shared" si="601"/>
        <v>0.3125</v>
      </c>
      <c r="IU103" s="5">
        <f t="shared" si="602"/>
        <v>0.28592490376634722</v>
      </c>
      <c r="IV103" s="670">
        <f t="shared" si="603"/>
        <v>66.299990427465744</v>
      </c>
      <c r="IW103" s="9">
        <f t="shared" si="604"/>
        <v>-6.6290549725447212</v>
      </c>
      <c r="IX103" s="5">
        <f t="shared" si="605"/>
        <v>-2.0034911108785551</v>
      </c>
      <c r="IY103" s="5">
        <f t="shared" si="606"/>
        <v>0.255</v>
      </c>
      <c r="IZ103" s="5">
        <f t="shared" si="607"/>
        <v>0.255</v>
      </c>
      <c r="JA103" s="705">
        <f t="shared" si="608"/>
        <v>65.009990613718642</v>
      </c>
    </row>
    <row r="104" spans="1:261" ht="15" customHeight="1" x14ac:dyDescent="0.25">
      <c r="A104" s="75">
        <f t="shared" si="256"/>
        <v>0</v>
      </c>
      <c r="B104" s="578">
        <f t="shared" si="515"/>
        <v>-6.3348749603264167</v>
      </c>
      <c r="C104" s="572">
        <f t="shared" si="516"/>
        <v>-2.6484099198517166</v>
      </c>
      <c r="D104" s="576">
        <f t="shared" si="517"/>
        <v>-2.7091111116030993</v>
      </c>
      <c r="E104" s="580">
        <f t="shared" si="518"/>
        <v>-0.89331018013477681</v>
      </c>
      <c r="F104" s="572">
        <f t="shared" si="519"/>
        <v>-0.37346459991556974</v>
      </c>
      <c r="G104" s="579">
        <f t="shared" si="520"/>
        <v>0.2500422257889176</v>
      </c>
      <c r="H104" s="580">
        <f t="shared" si="521"/>
        <v>0.255</v>
      </c>
      <c r="I104" s="572">
        <f t="shared" si="522"/>
        <v>0.41499999999999992</v>
      </c>
      <c r="J104" s="483">
        <f t="shared" si="523"/>
        <v>5.2320000000000002</v>
      </c>
      <c r="K104" s="806" t="str">
        <f t="shared" si="524"/>
        <v>CPS-32193r1</v>
      </c>
      <c r="L104" s="309"/>
      <c r="M104" s="164">
        <f t="shared" si="526"/>
        <v>5.2320000000000002</v>
      </c>
      <c r="N104" s="575">
        <f t="shared" si="527"/>
        <v>-6.3348749603264167</v>
      </c>
      <c r="O104" s="572">
        <f t="shared" si="528"/>
        <v>-2.6484099198517166</v>
      </c>
      <c r="P104" s="576">
        <f t="shared" si="529"/>
        <v>-2.7091111116030993</v>
      </c>
      <c r="Q104" s="528">
        <f t="shared" si="609"/>
        <v>202.68825498427452</v>
      </c>
      <c r="R104" s="572">
        <f t="shared" si="101"/>
        <v>6.8662009777270283</v>
      </c>
      <c r="S104" s="577">
        <f t="shared" si="102"/>
        <v>-2.7091111116030993</v>
      </c>
      <c r="T104" s="578">
        <f t="shared" si="103"/>
        <v>-2.6484097457151412</v>
      </c>
      <c r="U104" s="572">
        <f t="shared" si="104"/>
        <v>6.3348750331273829</v>
      </c>
      <c r="V104" s="579">
        <f t="shared" si="141"/>
        <v>-2.7091111116030993</v>
      </c>
      <c r="W104" s="528">
        <f t="shared" si="735"/>
        <v>112.68825340929618</v>
      </c>
      <c r="X104" s="572">
        <f t="shared" si="105"/>
        <v>6.8662009777270283</v>
      </c>
      <c r="Y104" s="573">
        <f t="shared" si="733"/>
        <v>-2.7091111116030993</v>
      </c>
      <c r="Z104" s="575">
        <f t="shared" si="530"/>
        <v>0.89331018013477681</v>
      </c>
      <c r="AA104" s="572">
        <f t="shared" si="531"/>
        <v>0.37346459991556974</v>
      </c>
      <c r="AB104" s="572">
        <f t="shared" si="532"/>
        <v>-0.2500422257889176</v>
      </c>
      <c r="AC104" s="579">
        <f t="shared" si="106"/>
        <v>1</v>
      </c>
      <c r="AD104" s="580">
        <f t="shared" si="142"/>
        <v>0.89331018013477681</v>
      </c>
      <c r="AE104" s="572">
        <f t="shared" si="107"/>
        <v>0.37346459991556974</v>
      </c>
      <c r="AF104" s="576">
        <f t="shared" si="108"/>
        <v>-0.2500422257889176</v>
      </c>
      <c r="AG104" s="545">
        <f t="shared" si="109"/>
        <v>56.196878361772754</v>
      </c>
      <c r="AH104" s="546">
        <f t="shared" si="110"/>
        <v>26.707804024199238</v>
      </c>
      <c r="AI104" s="528">
        <f t="shared" si="111"/>
        <v>-75.519989096262648</v>
      </c>
      <c r="AJ104" s="529">
        <f t="shared" si="112"/>
        <v>112.68825498427449</v>
      </c>
      <c r="AK104" s="578">
        <f t="shared" si="238"/>
        <v>-2.7755575615628914E-16</v>
      </c>
      <c r="AL104" s="572">
        <f t="shared" si="113"/>
        <v>-0.96823493291789675</v>
      </c>
      <c r="AM104" s="577">
        <f t="shared" si="114"/>
        <v>-0.2500422257889176</v>
      </c>
      <c r="AN104" s="524">
        <f t="shared" si="115"/>
        <v>-75.519989096262663</v>
      </c>
      <c r="AO104" s="525">
        <f t="shared" si="525"/>
        <v>0</v>
      </c>
      <c r="AP104" s="528">
        <f t="shared" si="117"/>
        <v>-90.000000000000014</v>
      </c>
      <c r="AQ104" s="529">
        <f t="shared" si="533"/>
        <v>0.33201782495674803</v>
      </c>
      <c r="AS104" s="932">
        <f t="shared" si="632"/>
        <v>-247.31174659070382</v>
      </c>
      <c r="AT104" s="928">
        <f t="shared" si="534"/>
        <v>-2.5373668326354406</v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>Taper</v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>
        <f t="shared" si="731"/>
        <v>5.2320000000000002</v>
      </c>
      <c r="IJ104" s="674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5.1319999999999997</v>
      </c>
      <c r="IK104" s="677" cm="1">
        <f t="array" ref="IK104">IFERROR(ROUND(VALUE(IF($IJ104&lt;1,$IJ104+LARGE((IF($M$9:$M$150="",0,$M$9:$M$150)-MOD(IF($M$9:$M$150="",0,$M$9:$M$150),1)),1),$IJ104)),4),"")</f>
        <v>5.1319999999999997</v>
      </c>
      <c r="IL104" s="482">
        <f t="shared" si="596"/>
        <v>1613</v>
      </c>
      <c r="IM104" s="482" t="str">
        <f t="shared" si="732"/>
        <v>CPS-32193r1</v>
      </c>
      <c r="IN104" s="670">
        <f t="shared" si="597"/>
        <v>9.6294273552371976</v>
      </c>
      <c r="IO104" s="702">
        <v>3.5605153804364E-2</v>
      </c>
      <c r="IP104" s="5">
        <f t="shared" si="598"/>
        <v>2.5</v>
      </c>
      <c r="IQ104" s="714">
        <v>1250</v>
      </c>
      <c r="IR104" s="9">
        <f t="shared" si="599"/>
        <v>-6.8749207347609378</v>
      </c>
      <c r="IS104" s="5">
        <f t="shared" si="600"/>
        <v>-2.6944581264857086</v>
      </c>
      <c r="IT104" s="5">
        <f t="shared" si="601"/>
        <v>0.3125</v>
      </c>
      <c r="IU104" s="5">
        <f t="shared" si="602"/>
        <v>0.27990993431857325</v>
      </c>
      <c r="IV104" s="670">
        <f t="shared" si="603"/>
        <v>76.099989012520979</v>
      </c>
      <c r="IW104" s="9">
        <f t="shared" si="604"/>
        <v>-6.8662009777270283</v>
      </c>
      <c r="IX104" s="5">
        <f t="shared" si="605"/>
        <v>-2.7091111116030993</v>
      </c>
      <c r="IY104" s="5">
        <f t="shared" si="606"/>
        <v>0.255</v>
      </c>
      <c r="IZ104" s="5">
        <f t="shared" si="607"/>
        <v>0.255</v>
      </c>
      <c r="JA104" s="705">
        <f t="shared" si="608"/>
        <v>75.519989096262663</v>
      </c>
    </row>
    <row r="105" spans="1:261" ht="15" customHeight="1" x14ac:dyDescent="0.25">
      <c r="A105" s="75">
        <f t="shared" ref="A105:A150" si="736">IF($K105="","",IF(AND($A$8="Y",ISNUMBER($K105)),$A$5,0))</f>
        <v>0</v>
      </c>
      <c r="B105" s="578">
        <f t="shared" si="515"/>
        <v>-6.4730448520767094</v>
      </c>
      <c r="C105" s="572">
        <f t="shared" si="516"/>
        <v>-2.707602336649479</v>
      </c>
      <c r="D105" s="576">
        <f t="shared" si="517"/>
        <v>-3.4377399311815706</v>
      </c>
      <c r="E105" s="580">
        <f t="shared" si="518"/>
        <v>-0.91153656395552085</v>
      </c>
      <c r="F105" s="572">
        <f t="shared" si="519"/>
        <v>-0.38128555987304619</v>
      </c>
      <c r="G105" s="579">
        <f t="shared" si="520"/>
        <v>0.15402082458051086</v>
      </c>
      <c r="H105" s="580">
        <f t="shared" si="521"/>
        <v>0.255</v>
      </c>
      <c r="I105" s="572">
        <f t="shared" si="522"/>
        <v>0.41499999999999992</v>
      </c>
      <c r="J105" s="483">
        <f t="shared" si="523"/>
        <v>5.2350000000000003</v>
      </c>
      <c r="K105" s="806" t="str">
        <f t="shared" si="524"/>
        <v>CPS-32193r1</v>
      </c>
      <c r="L105" s="309"/>
      <c r="M105" s="164">
        <f t="shared" ref="M105:M136" si="737">IF(J105="","",VALUE(J105))</f>
        <v>5.2350000000000003</v>
      </c>
      <c r="N105" s="575">
        <f t="shared" ref="N105:N136" si="738">IF(M105="","",B105)</f>
        <v>-6.4730448520767094</v>
      </c>
      <c r="O105" s="572">
        <f t="shared" ref="O105:O136" si="739">IF(M105="","",C105)</f>
        <v>-2.707602336649479</v>
      </c>
      <c r="P105" s="576">
        <f t="shared" ref="P105:P136" si="740">IF(M105="","",D105)</f>
        <v>-3.4377399311815706</v>
      </c>
      <c r="Q105" s="528">
        <f t="shared" si="609"/>
        <v>202.69901328761941</v>
      </c>
      <c r="R105" s="572">
        <f t="shared" si="101"/>
        <v>7.0165105337643805</v>
      </c>
      <c r="S105" s="577">
        <f t="shared" si="102"/>
        <v>-3.4377399311815706</v>
      </c>
      <c r="T105" s="578">
        <f t="shared" si="103"/>
        <v>-2.707602158714812</v>
      </c>
      <c r="U105" s="572">
        <f t="shared" si="104"/>
        <v>6.47304492650479</v>
      </c>
      <c r="V105" s="579">
        <f t="shared" si="141"/>
        <v>-3.4377399311815706</v>
      </c>
      <c r="W105" s="528">
        <f t="shared" si="735"/>
        <v>112.69901171264107</v>
      </c>
      <c r="X105" s="572">
        <f t="shared" si="105"/>
        <v>7.0165105337643805</v>
      </c>
      <c r="Y105" s="573">
        <f t="shared" si="733"/>
        <v>-3.4377399311815706</v>
      </c>
      <c r="Z105" s="575">
        <f t="shared" ref="Z105:Z136" si="741">IF(M105="","",-E105)</f>
        <v>0.91153656395552085</v>
      </c>
      <c r="AA105" s="572">
        <f t="shared" ref="AA105:AA136" si="742">IF(M105="","",-F105)</f>
        <v>0.38128555987304619</v>
      </c>
      <c r="AB105" s="572">
        <f t="shared" ref="AB105:AB136" si="743">IF(M105="","",-G105)</f>
        <v>-0.15402082458051086</v>
      </c>
      <c r="AC105" s="579">
        <f t="shared" si="106"/>
        <v>1</v>
      </c>
      <c r="AD105" s="580">
        <f t="shared" si="142"/>
        <v>0.91153656395552085</v>
      </c>
      <c r="AE105" s="572">
        <f t="shared" si="107"/>
        <v>0.38128555987304619</v>
      </c>
      <c r="AF105" s="576">
        <f t="shared" si="108"/>
        <v>-0.15402082458051086</v>
      </c>
      <c r="AG105" s="545">
        <f t="shared" si="109"/>
        <v>68.003687114368503</v>
      </c>
      <c r="AH105" s="546">
        <f t="shared" si="110"/>
        <v>24.281435539337462</v>
      </c>
      <c r="AI105" s="528">
        <f t="shared" si="111"/>
        <v>-81.139988284835155</v>
      </c>
      <c r="AJ105" s="529">
        <f t="shared" si="112"/>
        <v>112.69901328761941</v>
      </c>
      <c r="AK105" s="578">
        <f t="shared" si="238"/>
        <v>2.2204460492503131E-16</v>
      </c>
      <c r="AL105" s="572">
        <f t="shared" si="113"/>
        <v>-0.98806760173357544</v>
      </c>
      <c r="AM105" s="577">
        <f t="shared" si="114"/>
        <v>-0.15402082458051086</v>
      </c>
      <c r="AN105" s="524">
        <f t="shared" si="115"/>
        <v>-81.139988284835155</v>
      </c>
      <c r="AO105" s="525">
        <f t="shared" si="525"/>
        <v>0</v>
      </c>
      <c r="AP105" s="528">
        <f t="shared" si="117"/>
        <v>-89.999999999999986</v>
      </c>
      <c r="AQ105" s="529">
        <f t="shared" ref="AQ105:AQ136" si="744">IF(M105="","",DEGREES(ATAN(($AS$5*SIN(RADIANS(90)))/(($X105*2*PI())-($AS$5*COS(RADIANS(90)))))))</f>
        <v>0.32490540489171826</v>
      </c>
      <c r="AS105" s="932">
        <f t="shared" si="632"/>
        <v>-247.30098828735893</v>
      </c>
      <c r="AT105" s="928">
        <f t="shared" ref="AT105:AT136" si="745">IF(M105="","",Y105+(((AS105-$AS$9)*$AS$6)*-1))</f>
        <v>-3.2660031232579012</v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>Taper</v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>
        <f t="shared" si="731"/>
        <v>5.2350000000000003</v>
      </c>
      <c r="IJ105" s="674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5.1349999999999998</v>
      </c>
      <c r="IK105" s="677" cm="1">
        <f t="array" ref="IK105">IFERROR(ROUND(VALUE(IF($IJ105&lt;1,$IJ105+LARGE((IF($M$9:$M$150="",0,$M$9:$M$150)-MOD(IF($M$9:$M$150="",0,$M$9:$M$150),1)),1),$IJ105)),4),"")</f>
        <v>5.1349999999999998</v>
      </c>
      <c r="IL105" s="482">
        <f t="shared" ref="IL105:IL136" si="807">IF(ISNUMBER($IK105),INDEX($K$9:$K$150,MATCH($IK105,$M$9:$M$150,0)),$K105)</f>
        <v>1613</v>
      </c>
      <c r="IM105" s="482" t="str">
        <f t="shared" si="732"/>
        <v>CPS-32193r1</v>
      </c>
      <c r="IN105" s="670">
        <f t="shared" ref="IN105:IN136" si="808">IF(ISNUMBER($IK105),IFERROR(IF(INDEX($W$9:$W$150,MATCH($IK105,$M$9:$M$150,0))&lt;$W105,((INDEX($W$9:$W$150,MATCH($IK105,$M$9:$M$150,0))+360)-$W105),INDEX($W$9:$W$150,MATCH($IK105,$M$9:$M$150,0))-$W105),""),"")</f>
        <v>9.4109690818804665</v>
      </c>
      <c r="IO105" s="702">
        <v>3.53032578692766E-2</v>
      </c>
      <c r="IP105" s="5">
        <f t="shared" ref="IP105:IP136" si="809">IF(ISNUMBER($IK105),(($IQ105*12)/60)/$AS$3,"")</f>
        <v>2.78</v>
      </c>
      <c r="IQ105" s="714">
        <v>1390</v>
      </c>
      <c r="IR105" s="9">
        <f t="shared" ref="IR105:IR136" si="810">IF(ISNUMBER($IK105),(INDEX($X$9:$X$150,MATCH($IK105,$M$9:$M$150,0))*-1),"")</f>
        <v>-7.0330212115919766</v>
      </c>
      <c r="IS105" s="5">
        <f t="shared" ref="IS105:IS136" si="811">IF(ISNUMBER($IK105),INDEX($Y$9:$Y$150,MATCH($IK105,$M$9:$M$150,0)),"")</f>
        <v>-3.4227603230451353</v>
      </c>
      <c r="IT105" s="5">
        <f t="shared" ref="IT105:IT136" si="812">IF(ISNUMBER($IK105),INDEX($H$9:$H$150,MATCH($IK105,$M$9:$M$150,0)),"")</f>
        <v>0.3125</v>
      </c>
      <c r="IU105" s="5">
        <f t="shared" ref="IU105:IU136" si="813">IF(ISNUMBER($IK105),$IT105*COS(RADIANS(INDEX($AO$9:$AO$150,MATCH($IK105,$M$9:$M$150,0)))),"")</f>
        <v>0.27305383084331458</v>
      </c>
      <c r="IV105" s="670">
        <f t="shared" ref="IV105:IV136" si="814">IF(ISNUMBER($IK105),(-1*INDEX($AN$9:$AN$150,MATCH($IK105,$M$9:$M$150,0))),"")</f>
        <v>81.999988160666575</v>
      </c>
      <c r="IW105" s="9">
        <f t="shared" ref="IW105:IW136" si="815">IF(ISNUMBER($IK105),-$X105,"")</f>
        <v>-7.0165105337643805</v>
      </c>
      <c r="IX105" s="5">
        <f t="shared" ref="IX105:IX136" si="816">IF(ISNUMBER($IK105),$Y105,"")</f>
        <v>-3.4377399311815706</v>
      </c>
      <c r="IY105" s="5">
        <f t="shared" ref="IY105:IY136" si="817">IF(ISNUMBER($IK105),$H105,"")</f>
        <v>0.255</v>
      </c>
      <c r="IZ105" s="5">
        <f t="shared" ref="IZ105:IZ136" si="818">IF(ISNUMBER($IK105),$IY105*COS(RADIANS($AO105)),"")</f>
        <v>0.255</v>
      </c>
      <c r="JA105" s="705">
        <f t="shared" ref="JA105:JA136" si="819">IF(ISNUMBER($IK105),(-1*$AN105),"")</f>
        <v>81.139988284835155</v>
      </c>
    </row>
    <row r="106" spans="1:261" ht="15" customHeight="1" x14ac:dyDescent="0.25">
      <c r="A106" s="75">
        <f t="shared" si="736"/>
        <v>0</v>
      </c>
      <c r="B106" s="578">
        <f t="shared" si="515"/>
        <v>-2.6528167861951797</v>
      </c>
      <c r="C106" s="572">
        <f t="shared" si="516"/>
        <v>1.5316050204164218</v>
      </c>
      <c r="D106" s="576">
        <f t="shared" si="517"/>
        <v>-0.26445040022440713</v>
      </c>
      <c r="E106" s="580">
        <f t="shared" si="518"/>
        <v>-0.48139823841079377</v>
      </c>
      <c r="F106" s="572">
        <f t="shared" si="519"/>
        <v>-0.83741968072856821</v>
      </c>
      <c r="G106" s="579">
        <f t="shared" si="520"/>
        <v>0.25881270135649748</v>
      </c>
      <c r="H106" s="580">
        <f t="shared" si="521"/>
        <v>0.3125</v>
      </c>
      <c r="I106" s="572">
        <f t="shared" si="522"/>
        <v>0.52</v>
      </c>
      <c r="J106" s="483">
        <f t="shared" si="523"/>
        <v>6.1120000000000001</v>
      </c>
      <c r="K106" s="806">
        <f t="shared" si="524"/>
        <v>1613</v>
      </c>
      <c r="L106" s="309"/>
      <c r="M106" s="164">
        <f t="shared" si="737"/>
        <v>6.1120000000000001</v>
      </c>
      <c r="N106" s="575">
        <f t="shared" si="738"/>
        <v>-2.6528167861951797</v>
      </c>
      <c r="O106" s="572">
        <f t="shared" si="739"/>
        <v>1.5316050204164218</v>
      </c>
      <c r="P106" s="576">
        <f t="shared" si="740"/>
        <v>-0.26445040022440713</v>
      </c>
      <c r="Q106" s="528">
        <f t="shared" si="609"/>
        <v>149.99999133707308</v>
      </c>
      <c r="R106" s="572">
        <f t="shared" ref="R106:R129" si="820">IF(M106="","",SQRT(N106^2+O106^2))</f>
        <v>3.0632092386390632</v>
      </c>
      <c r="S106" s="577">
        <f t="shared" ref="S106:S129" si="821">IF(M106="","",P106)</f>
        <v>-0.26445040022440713</v>
      </c>
      <c r="T106" s="578">
        <f t="shared" ref="T106:T129" si="822">IF(M106="","",X106*COS(RADIANS(W106)))</f>
        <v>1.5316050933385279</v>
      </c>
      <c r="U106" s="572">
        <f t="shared" ref="U106:U129" si="823">IF(M106="","",X106*SIN(RADIANS(W106)))</f>
        <v>2.6528167440935659</v>
      </c>
      <c r="V106" s="579">
        <f t="shared" ref="V106:V129" si="824">IF(M106="","",Y106)</f>
        <v>-0.26445040022440713</v>
      </c>
      <c r="W106" s="528">
        <f t="shared" si="735"/>
        <v>59.999989762094742</v>
      </c>
      <c r="X106" s="572">
        <f t="shared" ref="X106:X129" si="825">IF(M106="","",R106)</f>
        <v>3.0632092386390632</v>
      </c>
      <c r="Y106" s="573">
        <f t="shared" si="733"/>
        <v>-0.26445040022440713</v>
      </c>
      <c r="Z106" s="575">
        <f t="shared" si="741"/>
        <v>0.48139823841079377</v>
      </c>
      <c r="AA106" s="572">
        <f t="shared" si="742"/>
        <v>0.83741968072856821</v>
      </c>
      <c r="AB106" s="572">
        <f t="shared" si="743"/>
        <v>-0.25881270135649748</v>
      </c>
      <c r="AC106" s="579">
        <f t="shared" ref="AC106:AC129" si="826">IF(M106="","",SQRT(Z106^2+AA106^2+AB106^2))</f>
        <v>1</v>
      </c>
      <c r="AD106" s="580">
        <f t="shared" ref="AD106:AD129" si="827">IF(M106="","",Z106*(1/SQRT(Z106^2+AA106^2+AB106^2)))</f>
        <v>0.48139823841079377</v>
      </c>
      <c r="AE106" s="572">
        <f t="shared" ref="AE106:AE129" si="828">IF(M106="","",AA106*(1/SQRT(Z106^2+AA106^2+AB106^2)))</f>
        <v>0.83741968072856821</v>
      </c>
      <c r="AF106" s="576">
        <f t="shared" ref="AF106:AF129" si="829">IF(M106="","",AB106*(1/SQRT(Z106^2+AA106^2+AB106^2)))</f>
        <v>-0.25881270135649748</v>
      </c>
      <c r="AG106" s="545">
        <f t="shared" ref="AG106:AG129" si="830">IF(M106="","",DEGREES(ATAN2(-AF106,AE106)))</f>
        <v>72.825726983519843</v>
      </c>
      <c r="AH106" s="546">
        <f t="shared" ref="AH106:AH129" si="831">IF(M106="","",DEGREES(ACOS(AD106)))</f>
        <v>61.22323695114369</v>
      </c>
      <c r="AI106" s="528">
        <f t="shared" ref="AI106:AI129" si="832">IF(M106="","",DEGREES(-ACOS(-AF106)))</f>
        <v>-75.000376291371182</v>
      </c>
      <c r="AJ106" s="529">
        <f t="shared" ref="AJ106:AJ129" si="833">IF(M106="","",DEGREES(ATAN2(-AE106,AD106)))</f>
        <v>150.10716998671947</v>
      </c>
      <c r="AK106" s="578">
        <f t="shared" ref="AK106:AK129" si="834">IF(M106="","",(COS(RADIANS((90-$Q$8)-W106))*AD106)+(-SIN(RADIANS((90-$Q$8)-W106))*AE106))</f>
        <v>0.96592583607220739</v>
      </c>
      <c r="AL106" s="572">
        <f t="shared" ref="AL106:AL129" si="835">IF(M106="","",(SIN(RADIANS((90-$Q$8)-W106))*AD106)+(COS(RADIANS((90-$Q$8)-W106))*AE106))</f>
        <v>1.8068826081589218E-3</v>
      </c>
      <c r="AM106" s="577">
        <f t="shared" ref="AM106:AM129" si="836">IF(M106="","",AF106)</f>
        <v>-0.25881270135649748</v>
      </c>
      <c r="AN106" s="524">
        <f t="shared" ref="AN106:AN129" si="837">IF(M106="","",DEGREES(ATAN2(-AM106,AL106)))</f>
        <v>0.39999994224709201</v>
      </c>
      <c r="AO106" s="525">
        <f t="shared" si="525"/>
        <v>14.999997834268255</v>
      </c>
      <c r="AP106" s="528">
        <f t="shared" ref="AP106:AP129" si="838">IF(M106="","",DEGREES(ATAN2(AK106,AL106)))</f>
        <v>0.10717864964637641</v>
      </c>
      <c r="AQ106" s="529">
        <f t="shared" si="744"/>
        <v>0.74418632727903256</v>
      </c>
      <c r="AS106" s="932">
        <f t="shared" si="632"/>
        <v>-300.00001023790526</v>
      </c>
      <c r="AT106" s="928">
        <f t="shared" si="745"/>
        <v>-5.6117049279525072E-2</v>
      </c>
      <c r="AU106" s="418"/>
      <c r="AV106" s="164">
        <f t="shared" si="746"/>
        <v>6.1120000000000001</v>
      </c>
      <c r="AW106" s="797">
        <f>IFERROR(INDEX(MassProp!C$9:C$150,MATCH($M106,MassProp!$B$9:$B$150,0)),"")</f>
        <v>2.5207000000000002</v>
      </c>
      <c r="AX106" s="744">
        <f>IFERROR(INDEX(MassProp!D$9:D$150,MATCH($M106,MassProp!$B$9:$B$150,0)),"")</f>
        <v>0.26779999999999998</v>
      </c>
      <c r="AY106" s="731">
        <f>IFERROR(INDEX(MassProp!E$9:E$150,MATCH($M106,MassProp!$B$9:$B$150,0)),"")</f>
        <v>3.5200000000000002E-2</v>
      </c>
      <c r="AZ106" s="297">
        <f t="shared" si="633"/>
        <v>0.55756793595160115</v>
      </c>
      <c r="BA106" s="296">
        <f t="shared" si="747"/>
        <v>6.3536195033322473E-2</v>
      </c>
      <c r="BB106" s="177">
        <f t="shared" si="610"/>
        <v>7.3917049279525054E-2</v>
      </c>
      <c r="BC106" s="9"/>
      <c r="BD106" s="5">
        <f t="shared" si="611"/>
        <v>2.5207000000000002</v>
      </c>
      <c r="BE106" s="6">
        <f t="shared" si="748"/>
        <v>-0.19053335094488208</v>
      </c>
      <c r="BF106" s="4">
        <f t="shared" si="749"/>
        <v>-2.6528167861951797</v>
      </c>
      <c r="BG106" s="5">
        <f t="shared" si="750"/>
        <v>1.5316050204164218</v>
      </c>
      <c r="BH106" s="10">
        <f t="shared" si="751"/>
        <v>-0.26445040022440713</v>
      </c>
      <c r="BI106" s="9">
        <f t="shared" si="634"/>
        <v>-2.6528167861951797</v>
      </c>
      <c r="BJ106" s="5">
        <f t="shared" si="752"/>
        <v>1.8268841010308925</v>
      </c>
      <c r="BK106" s="8">
        <f t="shared" si="753"/>
        <v>0.69096064458901396</v>
      </c>
      <c r="BL106" s="173">
        <f t="shared" si="754"/>
        <v>-1.7763147975750826</v>
      </c>
      <c r="BM106" s="5">
        <f t="shared" si="755"/>
        <v>1.0716718264850249</v>
      </c>
      <c r="BN106" s="6">
        <f t="shared" si="756"/>
        <v>-0.12230357097704214</v>
      </c>
      <c r="BO106" s="4">
        <f t="shared" si="635"/>
        <v>0.48139823841079388</v>
      </c>
      <c r="BP106" s="5">
        <f t="shared" si="734"/>
        <v>0.83741968072856854</v>
      </c>
      <c r="BQ106" s="5">
        <f t="shared" si="636"/>
        <v>-0.25881270135649759</v>
      </c>
      <c r="BR106" s="6">
        <f t="shared" si="637"/>
        <v>-7.3977981955335045E-2</v>
      </c>
      <c r="BS106" s="4">
        <f t="shared" ref="BS106:BT150" si="839">IF(ISNUMBER($AV106),0,"")</f>
        <v>0</v>
      </c>
      <c r="BT106" s="5">
        <f t="shared" si="839"/>
        <v>0</v>
      </c>
      <c r="BU106" s="10">
        <f t="shared" si="613"/>
        <v>-0.19053335094488208</v>
      </c>
      <c r="BV106" s="9">
        <f t="shared" si="614"/>
        <v>0</v>
      </c>
      <c r="BW106" s="5">
        <f t="shared" si="615"/>
        <v>1</v>
      </c>
      <c r="BX106" s="8">
        <f t="shared" si="616"/>
        <v>-0.19053335094488208</v>
      </c>
      <c r="BY106" s="173">
        <f t="shared" si="617"/>
        <v>1</v>
      </c>
      <c r="BZ106" s="5">
        <f t="shared" si="618"/>
        <v>0</v>
      </c>
      <c r="CA106" s="6">
        <f t="shared" si="619"/>
        <v>-0.19053335094488208</v>
      </c>
      <c r="CB106" s="4">
        <f t="shared" si="638"/>
        <v>0</v>
      </c>
      <c r="CC106" s="5">
        <f t="shared" si="639"/>
        <v>0</v>
      </c>
      <c r="CD106" s="5">
        <f t="shared" si="640"/>
        <v>-1</v>
      </c>
      <c r="CE106" s="6">
        <f t="shared" si="641"/>
        <v>-0.19053335094488208</v>
      </c>
      <c r="CF106" s="4">
        <f t="shared" si="642"/>
        <v>-0.83741968072856854</v>
      </c>
      <c r="CG106" s="5">
        <f t="shared" si="643"/>
        <v>0.48139823841079388</v>
      </c>
      <c r="CH106" s="5">
        <f t="shared" si="644"/>
        <v>0</v>
      </c>
      <c r="CI106" s="4">
        <f t="shared" si="620"/>
        <v>0</v>
      </c>
      <c r="CJ106" s="5">
        <f t="shared" si="621"/>
        <v>2.9454204703339582E-2</v>
      </c>
      <c r="CK106" s="8">
        <f t="shared" si="622"/>
        <v>-0.19053335094488208</v>
      </c>
      <c r="CL106" s="173">
        <f t="shared" si="623"/>
        <v>-0.83741968072856854</v>
      </c>
      <c r="CM106" s="5">
        <f t="shared" si="624"/>
        <v>0.51085244311413347</v>
      </c>
      <c r="CN106" s="6">
        <f t="shared" si="625"/>
        <v>-0.19053335094488208</v>
      </c>
      <c r="CO106" s="167">
        <f t="shared" si="757"/>
        <v>0.3125</v>
      </c>
      <c r="CP106" s="4">
        <f t="shared" si="645"/>
        <v>0.93301598561655319</v>
      </c>
      <c r="CQ106" s="5">
        <f t="shared" si="646"/>
        <v>-5.889307485277139</v>
      </c>
      <c r="CR106" s="5">
        <f t="shared" si="647"/>
        <v>9.2017014544405917</v>
      </c>
      <c r="CS106" s="8">
        <f t="shared" si="648"/>
        <v>0.3426044486847033</v>
      </c>
      <c r="CT106" s="9">
        <f t="shared" si="649"/>
        <v>3.4697324645867869</v>
      </c>
      <c r="CU106" s="6">
        <f t="shared" si="650"/>
        <v>2.8423860586402103</v>
      </c>
      <c r="CV106" s="4">
        <f t="shared" si="651"/>
        <v>-2.9056222527078162</v>
      </c>
      <c r="CW106" s="5">
        <f t="shared" si="652"/>
        <v>1.6997773009121608</v>
      </c>
      <c r="CX106" s="8">
        <f t="shared" si="653"/>
        <v>-0.19053335094488208</v>
      </c>
      <c r="CY106" s="9">
        <f t="shared" si="654"/>
        <v>-2.3802700257338194</v>
      </c>
      <c r="CZ106" s="5">
        <f t="shared" si="655"/>
        <v>1.3977738462161362</v>
      </c>
      <c r="DA106" s="6">
        <f t="shared" si="656"/>
        <v>-0.19053335094488208</v>
      </c>
      <c r="DB106" s="4">
        <f t="shared" si="657"/>
        <v>0</v>
      </c>
      <c r="DC106" s="5">
        <f t="shared" si="657"/>
        <v>0</v>
      </c>
      <c r="DD106" s="10">
        <f t="shared" si="658"/>
        <v>-10</v>
      </c>
      <c r="DE106" s="9">
        <f t="shared" si="659"/>
        <v>0</v>
      </c>
      <c r="DF106" s="5">
        <f t="shared" si="659"/>
        <v>0</v>
      </c>
      <c r="DG106" s="10">
        <f t="shared" si="660"/>
        <v>10</v>
      </c>
      <c r="DH106" s="70">
        <f t="shared" si="661"/>
        <v>2.5207000000000002</v>
      </c>
      <c r="DI106" s="4">
        <f t="shared" si="662"/>
        <v>0</v>
      </c>
      <c r="DJ106" s="5">
        <f t="shared" si="663"/>
        <v>0</v>
      </c>
      <c r="DK106" s="10">
        <f t="shared" si="664"/>
        <v>20</v>
      </c>
      <c r="DL106" s="9">
        <f t="shared" si="665"/>
        <v>-2.9056222527078162</v>
      </c>
      <c r="DM106" s="173">
        <f t="shared" si="666"/>
        <v>1.6997773009121608</v>
      </c>
      <c r="DN106" s="178">
        <f t="shared" si="667"/>
        <v>9.8094666490551177</v>
      </c>
      <c r="DO106" s="9">
        <f t="shared" si="668"/>
        <v>0.52535222697399675</v>
      </c>
      <c r="DP106" s="173">
        <f t="shared" si="669"/>
        <v>-0.30200345469602463</v>
      </c>
      <c r="DQ106" s="11">
        <f t="shared" si="670"/>
        <v>0</v>
      </c>
      <c r="DR106" s="173">
        <f t="shared" si="671"/>
        <v>196.18933298110235</v>
      </c>
      <c r="DS106" s="5">
        <f t="shared" si="672"/>
        <v>0</v>
      </c>
      <c r="DT106" s="5">
        <f t="shared" si="673"/>
        <v>400</v>
      </c>
      <c r="DU106" s="5">
        <f t="shared" si="674"/>
        <v>0.36720104903487161</v>
      </c>
      <c r="DV106" s="5">
        <f t="shared" si="675"/>
        <v>-2.0398137382946091</v>
      </c>
      <c r="DW106" s="5">
        <f t="shared" si="676"/>
        <v>107.55751948705172</v>
      </c>
      <c r="DX106" s="167">
        <f t="shared" si="677"/>
        <v>101.20359099705172</v>
      </c>
      <c r="DY106" s="9">
        <f t="shared" si="678"/>
        <v>146.88041961394865</v>
      </c>
      <c r="DZ106" s="5">
        <f t="shared" si="679"/>
        <v>-815.92549531784368</v>
      </c>
      <c r="EA106" s="10">
        <f t="shared" si="680"/>
        <v>1991.1820232508326</v>
      </c>
      <c r="EB106" s="6">
        <f t="shared" si="681"/>
        <v>373268.762806835</v>
      </c>
      <c r="EC106" s="173">
        <f t="shared" si="682"/>
        <v>9.7145878959141871</v>
      </c>
      <c r="ED106" s="5">
        <f t="shared" si="683"/>
        <v>1.3954769781156044</v>
      </c>
      <c r="EE106" s="4">
        <f t="shared" si="684"/>
        <v>2.197958132545335</v>
      </c>
      <c r="EF106" s="5">
        <f t="shared" si="685"/>
        <v>-1.2340618046021088</v>
      </c>
      <c r="EG106" s="10">
        <f t="shared" si="686"/>
        <v>-0.19053335094488208</v>
      </c>
      <c r="EH106" s="9">
        <f t="shared" si="687"/>
        <v>-2.17250531456384</v>
      </c>
      <c r="EI106" s="5">
        <f t="shared" si="688"/>
        <v>1.2783384325724796</v>
      </c>
      <c r="EJ106" s="6">
        <f t="shared" si="689"/>
        <v>-0.19053335094488208</v>
      </c>
      <c r="EK106" s="236" t="b">
        <f t="shared" si="690"/>
        <v>0</v>
      </c>
      <c r="EL106" s="238" t="b">
        <f t="shared" si="691"/>
        <v>0</v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e">
        <f t="shared" si="695"/>
        <v>#VALUE!</v>
      </c>
      <c r="EQ106" s="5" t="e">
        <f t="shared" si="696"/>
        <v>#VALUE!</v>
      </c>
      <c r="ER106" s="7" t="str">
        <f t="shared" si="697"/>
        <v/>
      </c>
      <c r="ES106" s="21">
        <f t="shared" si="758"/>
        <v>0.48139823841079377</v>
      </c>
      <c r="ET106" s="5">
        <f t="shared" si="759"/>
        <v>0.83741968072856821</v>
      </c>
      <c r="EU106" s="10">
        <f t="shared" si="760"/>
        <v>-0.25881270135649748</v>
      </c>
      <c r="EV106" s="174" t="e">
        <f t="shared" si="761"/>
        <v>#VALUE!</v>
      </c>
      <c r="EW106" s="9" t="e">
        <f t="shared" si="762"/>
        <v>#VALUE!</v>
      </c>
      <c r="EX106" s="5" t="e">
        <f t="shared" si="763"/>
        <v>#VALUE!</v>
      </c>
      <c r="EY106" s="6">
        <f t="shared" si="698"/>
        <v>-0.25881270135649748</v>
      </c>
      <c r="EZ106" s="51" t="e">
        <f t="shared" si="699"/>
        <v>#VALUE!</v>
      </c>
      <c r="FA106" s="173" t="e">
        <f t="shared" si="764"/>
        <v>#VALUE!</v>
      </c>
      <c r="FB106" s="5" t="e">
        <f t="shared" si="765"/>
        <v>#VALUE!</v>
      </c>
      <c r="FC106" s="6" t="e">
        <f t="shared" si="766"/>
        <v>#VALUE!</v>
      </c>
      <c r="FD106" s="4" t="e">
        <f t="shared" si="767"/>
        <v>#VALUE!</v>
      </c>
      <c r="FE106" s="5" t="e">
        <f t="shared" si="768"/>
        <v>#VALUE!</v>
      </c>
      <c r="FF106" s="7" t="e">
        <f t="shared" si="700"/>
        <v>#VALUE!</v>
      </c>
      <c r="FG106" s="173" t="e">
        <f t="shared" si="769"/>
        <v>#VALUE!</v>
      </c>
      <c r="FH106" s="5" t="e">
        <f t="shared" si="770"/>
        <v>#VALUE!</v>
      </c>
      <c r="FI106" s="10" t="e">
        <f t="shared" si="771"/>
        <v>#VALUE!</v>
      </c>
      <c r="FJ106" s="279" t="e">
        <f t="shared" si="701"/>
        <v>#VALUE!</v>
      </c>
      <c r="FK106" s="4">
        <f t="shared" si="772"/>
        <v>0.96592752606836529</v>
      </c>
      <c r="FL106" s="5" t="e">
        <f t="shared" si="626"/>
        <v>#VALUE!</v>
      </c>
      <c r="FM106" s="8" t="e">
        <f t="shared" si="627"/>
        <v>#VALUE!</v>
      </c>
      <c r="FN106" s="9" t="e">
        <f t="shared" si="628"/>
        <v>#VALUE!</v>
      </c>
      <c r="FO106" s="10" t="e">
        <f t="shared" si="773"/>
        <v>#VALUE!</v>
      </c>
      <c r="FP106" s="277" t="e">
        <f t="shared" si="629"/>
        <v>#VALUE!</v>
      </c>
      <c r="FQ106" s="173" t="e">
        <f t="shared" si="702"/>
        <v>#VALUE!</v>
      </c>
      <c r="FR106" s="10" t="e">
        <f t="shared" si="703"/>
        <v>#VALUE!</v>
      </c>
      <c r="FS106" s="9" t="e">
        <f t="shared" si="704"/>
        <v>#VALUE!</v>
      </c>
      <c r="FT106" s="6" t="e">
        <f t="shared" si="705"/>
        <v>#VALUE!</v>
      </c>
      <c r="FU106" s="4" t="e">
        <f t="shared" si="706"/>
        <v>#VALUE!</v>
      </c>
      <c r="FV106" s="5" t="e">
        <f t="shared" si="707"/>
        <v>#VALUE!</v>
      </c>
      <c r="FW106" s="8" t="e">
        <f t="shared" si="708"/>
        <v>#VALUE!</v>
      </c>
      <c r="FX106" s="9" t="e">
        <f t="shared" si="709"/>
        <v>#VALUE!</v>
      </c>
      <c r="FY106" s="10" t="e">
        <f t="shared" si="774"/>
        <v>#VALUE!</v>
      </c>
      <c r="FZ106" s="277" t="e">
        <f t="shared" si="710"/>
        <v>#VALUE!</v>
      </c>
      <c r="GA106" s="177" t="e">
        <f t="shared" si="711"/>
        <v>#VALUE!</v>
      </c>
      <c r="GB106" s="4" t="e">
        <f t="shared" si="712"/>
        <v>#VALUE!</v>
      </c>
      <c r="GC106" s="5" t="e">
        <f t="shared" si="713"/>
        <v>#VALUE!</v>
      </c>
      <c r="GD106" s="10" t="e">
        <f t="shared" si="714"/>
        <v>#VALUE!</v>
      </c>
      <c r="GE106" s="311" t="e">
        <f t="shared" si="715"/>
        <v>#VALUE!</v>
      </c>
      <c r="GF106" s="341" t="e">
        <f t="shared" si="716"/>
        <v>#VALUE!</v>
      </c>
      <c r="GG106" s="285" t="e">
        <f t="shared" si="775"/>
        <v>#VALUE!</v>
      </c>
      <c r="GH106" s="286" t="e">
        <f t="shared" si="776"/>
        <v>#VALUE!</v>
      </c>
      <c r="GI106" s="281" t="e">
        <f t="shared" si="777"/>
        <v>#VALUE!</v>
      </c>
      <c r="GJ106" s="167">
        <f t="shared" si="717"/>
        <v>2.5207000000000002</v>
      </c>
      <c r="GK106" s="174">
        <f t="shared" si="778"/>
        <v>1.3199998483702677</v>
      </c>
      <c r="GL106" s="174">
        <f t="shared" si="718"/>
        <v>3.5200000000000002E-2</v>
      </c>
      <c r="GM106" s="177">
        <f t="shared" si="719"/>
        <v>0.55756793595160115</v>
      </c>
      <c r="GN106" s="280">
        <f t="shared" si="720"/>
        <v>6.3536195033322473E-2</v>
      </c>
      <c r="GO106" s="4" t="e">
        <f t="shared" si="721"/>
        <v>#VALUE!</v>
      </c>
      <c r="GP106" s="8" t="e">
        <f t="shared" si="722"/>
        <v>#VALUE!</v>
      </c>
      <c r="GQ106" s="177" t="e">
        <f t="shared" si="723"/>
        <v>#VALUE!</v>
      </c>
      <c r="GR106" s="371" t="e">
        <f t="shared" si="724"/>
        <v>#VALUE!</v>
      </c>
      <c r="GS106" s="342" t="e">
        <f t="shared" si="779"/>
        <v>#VALUE!</v>
      </c>
      <c r="GT106" s="343" t="e">
        <f t="shared" si="780"/>
        <v>#VALUE!</v>
      </c>
      <c r="GU106" s="344">
        <f t="shared" si="781"/>
        <v>1370.6878425476862</v>
      </c>
      <c r="GV106" s="343">
        <f t="shared" si="725"/>
        <v>1038.4000000000001</v>
      </c>
      <c r="GW106" s="345">
        <f t="shared" si="782"/>
        <v>29500</v>
      </c>
      <c r="GX106" s="346">
        <f t="shared" si="783"/>
        <v>218.12457333333336</v>
      </c>
      <c r="GY106" s="344" t="e">
        <f t="shared" si="784"/>
        <v>#VALUE!</v>
      </c>
      <c r="GZ106" s="345" t="e">
        <f t="shared" si="785"/>
        <v>#VALUE!</v>
      </c>
      <c r="HA106" s="342" t="e">
        <f t="shared" si="786"/>
        <v>#VALUE!</v>
      </c>
      <c r="HB106" s="5" t="e">
        <f t="shared" si="726"/>
        <v>#VALUE!</v>
      </c>
      <c r="HC106" s="343" t="e">
        <f t="shared" si="727"/>
        <v>#VALUE!</v>
      </c>
      <c r="HD106" s="363" t="e">
        <f t="shared" si="728"/>
        <v>#VALUE!</v>
      </c>
      <c r="HE106" s="344" t="e">
        <f t="shared" si="787"/>
        <v>#VALUE!</v>
      </c>
      <c r="HF106" s="5" t="e">
        <f t="shared" si="788"/>
        <v>#VALUE!</v>
      </c>
      <c r="HG106" s="343" t="e">
        <f t="shared" si="729"/>
        <v>#VALUE!</v>
      </c>
      <c r="HH106" s="349" t="e">
        <f t="shared" si="730"/>
        <v>#VALUE!</v>
      </c>
      <c r="HI106" s="317">
        <f t="shared" si="789"/>
        <v>6.1120000000000001</v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>
        <f t="shared" si="731"/>
        <v>6.1120000000000001</v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>
        <f t="shared" si="807"/>
        <v>1613</v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>
        <f t="shared" si="736"/>
        <v>0</v>
      </c>
      <c r="B107" s="578">
        <f t="shared" si="515"/>
        <v>-3.2947606671581351</v>
      </c>
      <c r="C107" s="572">
        <f t="shared" si="516"/>
        <v>1.9027300266246372</v>
      </c>
      <c r="D107" s="576">
        <f t="shared" si="517"/>
        <v>-0.1954501921197796</v>
      </c>
      <c r="E107" s="580">
        <f t="shared" si="518"/>
        <v>-0.52670361587989478</v>
      </c>
      <c r="F107" s="572">
        <f t="shared" si="519"/>
        <v>-0.81020591566611322</v>
      </c>
      <c r="G107" s="579">
        <f t="shared" si="520"/>
        <v>0.25719579164263073</v>
      </c>
      <c r="H107" s="580">
        <f t="shared" si="521"/>
        <v>0.3125</v>
      </c>
      <c r="I107" s="572">
        <f t="shared" si="522"/>
        <v>0.52</v>
      </c>
      <c r="J107" s="483">
        <f t="shared" si="523"/>
        <v>6.1150000000000002</v>
      </c>
      <c r="K107" s="806">
        <f t="shared" si="524"/>
        <v>1613</v>
      </c>
      <c r="L107" s="309"/>
      <c r="M107" s="164">
        <f t="shared" si="737"/>
        <v>6.1150000000000002</v>
      </c>
      <c r="N107" s="575">
        <f t="shared" si="738"/>
        <v>-3.2947606671581351</v>
      </c>
      <c r="O107" s="572">
        <f t="shared" si="739"/>
        <v>1.9027300266246372</v>
      </c>
      <c r="P107" s="576">
        <f t="shared" si="740"/>
        <v>-0.1954501921197796</v>
      </c>
      <c r="Q107" s="528">
        <f t="shared" si="609"/>
        <v>149.99349133801152</v>
      </c>
      <c r="R107" s="572">
        <f t="shared" si="820"/>
        <v>3.8047114750098086</v>
      </c>
      <c r="S107" s="577">
        <f t="shared" si="821"/>
        <v>-0.1954501921197796</v>
      </c>
      <c r="T107" s="578">
        <f t="shared" si="822"/>
        <v>1.9027301171928563</v>
      </c>
      <c r="U107" s="572">
        <f t="shared" si="823"/>
        <v>3.294760614854829</v>
      </c>
      <c r="V107" s="579">
        <f t="shared" si="824"/>
        <v>-0.1954501921197796</v>
      </c>
      <c r="W107" s="528">
        <f t="shared" si="735"/>
        <v>59.993489763033182</v>
      </c>
      <c r="X107" s="572">
        <f t="shared" si="825"/>
        <v>3.8047114750098086</v>
      </c>
      <c r="Y107" s="573">
        <f t="shared" si="733"/>
        <v>-0.1954501921197796</v>
      </c>
      <c r="Z107" s="575">
        <f t="shared" si="741"/>
        <v>0.52670361587989478</v>
      </c>
      <c r="AA107" s="572">
        <f t="shared" si="742"/>
        <v>0.81020591566611322</v>
      </c>
      <c r="AB107" s="572">
        <f t="shared" si="743"/>
        <v>-0.25719579164263073</v>
      </c>
      <c r="AC107" s="579">
        <f t="shared" si="826"/>
        <v>1</v>
      </c>
      <c r="AD107" s="580">
        <f t="shared" si="827"/>
        <v>0.52670361587989478</v>
      </c>
      <c r="AE107" s="572">
        <f t="shared" si="828"/>
        <v>0.81020591566611322</v>
      </c>
      <c r="AF107" s="576">
        <f t="shared" si="829"/>
        <v>-0.25719579164263073</v>
      </c>
      <c r="AG107" s="545">
        <f t="shared" si="830"/>
        <v>72.388221058693887</v>
      </c>
      <c r="AH107" s="546">
        <f t="shared" si="831"/>
        <v>58.216999203774357</v>
      </c>
      <c r="AI107" s="528">
        <f t="shared" si="832"/>
        <v>-75.096264830162909</v>
      </c>
      <c r="AJ107" s="529">
        <f t="shared" si="833"/>
        <v>146.97266403029468</v>
      </c>
      <c r="AK107" s="578">
        <f t="shared" si="834"/>
        <v>0.96501650451497922</v>
      </c>
      <c r="AL107" s="572">
        <f t="shared" si="835"/>
        <v>-5.0926130571759376E-2</v>
      </c>
      <c r="AM107" s="577">
        <f t="shared" si="836"/>
        <v>-0.25719579164263073</v>
      </c>
      <c r="AN107" s="524">
        <f t="shared" si="837"/>
        <v>-11.19999838292026</v>
      </c>
      <c r="AO107" s="525">
        <f t="shared" si="525"/>
        <v>15.199997805391808</v>
      </c>
      <c r="AP107" s="528">
        <f t="shared" si="838"/>
        <v>-3.0208273077168482</v>
      </c>
      <c r="AQ107" s="529">
        <f t="shared" si="744"/>
        <v>0.5991633124450525</v>
      </c>
      <c r="AS107" s="932">
        <f t="shared" ref="AS107:AS138" si="842">IF(G107="","",IF(AND(W107&lt;(AS106+180),W107&gt;(AS106-180)),W107,IF(W107&gt;(AS106+180),W107-360,IF(W107&lt;(AS106-180),W107+360,"Error"))))</f>
        <v>-300.00651023696685</v>
      </c>
      <c r="AT107" s="928">
        <f t="shared" si="745"/>
        <v>1.2887672713339682E-2</v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>
        <f t="shared" si="731"/>
        <v>6.1150000000000002</v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>
        <f t="shared" si="807"/>
        <v>1613</v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>
        <f t="shared" si="736"/>
        <v>0</v>
      </c>
      <c r="B108" s="578">
        <f t="shared" si="515"/>
        <v>-3.9323444268410213</v>
      </c>
      <c r="C108" s="572">
        <f t="shared" si="516"/>
        <v>2.2976840053359084</v>
      </c>
      <c r="D108" s="576">
        <f t="shared" si="517"/>
        <v>-0.30215051392795023</v>
      </c>
      <c r="E108" s="580">
        <f t="shared" si="518"/>
        <v>-0.57696472030083967</v>
      </c>
      <c r="F108" s="572">
        <f t="shared" si="519"/>
        <v>-0.77786013146965238</v>
      </c>
      <c r="G108" s="579">
        <f t="shared" si="520"/>
        <v>0.24908899493592435</v>
      </c>
      <c r="H108" s="580">
        <f t="shared" si="521"/>
        <v>0.3125</v>
      </c>
      <c r="I108" s="572">
        <f t="shared" si="522"/>
        <v>0.52</v>
      </c>
      <c r="J108" s="483">
        <f t="shared" si="523"/>
        <v>6.1180000000000003</v>
      </c>
      <c r="K108" s="806">
        <f t="shared" si="524"/>
        <v>1613</v>
      </c>
      <c r="L108" s="309"/>
      <c r="M108" s="164">
        <f t="shared" si="737"/>
        <v>6.1180000000000003</v>
      </c>
      <c r="N108" s="575">
        <f t="shared" si="738"/>
        <v>-3.9323444268410213</v>
      </c>
      <c r="O108" s="572">
        <f t="shared" si="739"/>
        <v>2.2976840053359084</v>
      </c>
      <c r="P108" s="576">
        <f t="shared" si="740"/>
        <v>-0.30215051392795023</v>
      </c>
      <c r="Q108" s="528">
        <f t="shared" si="609"/>
        <v>149.70209138008451</v>
      </c>
      <c r="R108" s="572">
        <f t="shared" si="820"/>
        <v>4.5544137361118278</v>
      </c>
      <c r="S108" s="577">
        <f t="shared" si="821"/>
        <v>-0.30215051392795023</v>
      </c>
      <c r="T108" s="578">
        <f t="shared" si="822"/>
        <v>2.297684113430384</v>
      </c>
      <c r="U108" s="572">
        <f t="shared" si="823"/>
        <v>3.9323443636809996</v>
      </c>
      <c r="V108" s="579">
        <f t="shared" si="824"/>
        <v>-0.30215051392795023</v>
      </c>
      <c r="W108" s="528">
        <f t="shared" si="735"/>
        <v>59.702089805106169</v>
      </c>
      <c r="X108" s="572">
        <f t="shared" si="825"/>
        <v>4.5544137361118278</v>
      </c>
      <c r="Y108" s="573">
        <f t="shared" si="733"/>
        <v>-0.30215051392795023</v>
      </c>
      <c r="Z108" s="575">
        <f t="shared" si="741"/>
        <v>0.57696472030083967</v>
      </c>
      <c r="AA108" s="572">
        <f t="shared" si="742"/>
        <v>0.77786013146965238</v>
      </c>
      <c r="AB108" s="572">
        <f t="shared" si="743"/>
        <v>-0.24908899493592435</v>
      </c>
      <c r="AC108" s="579">
        <f t="shared" si="826"/>
        <v>1</v>
      </c>
      <c r="AD108" s="580">
        <f t="shared" si="827"/>
        <v>0.57696472030083967</v>
      </c>
      <c r="AE108" s="572">
        <f t="shared" si="828"/>
        <v>0.77786013146965238</v>
      </c>
      <c r="AF108" s="576">
        <f t="shared" si="829"/>
        <v>-0.24908899493592435</v>
      </c>
      <c r="AG108" s="545">
        <f t="shared" si="830"/>
        <v>72.24371961777932</v>
      </c>
      <c r="AH108" s="546">
        <f t="shared" si="831"/>
        <v>54.76266081416675</v>
      </c>
      <c r="AI108" s="528">
        <f t="shared" si="832"/>
        <v>-75.576389842205202</v>
      </c>
      <c r="AJ108" s="529">
        <f t="shared" si="833"/>
        <v>143.43444321127419</v>
      </c>
      <c r="AK108" s="578">
        <f t="shared" si="834"/>
        <v>0.96269175713227306</v>
      </c>
      <c r="AL108" s="572">
        <f t="shared" si="835"/>
        <v>-0.10573198830716973</v>
      </c>
      <c r="AM108" s="577">
        <f t="shared" si="836"/>
        <v>-0.24908899493592435</v>
      </c>
      <c r="AN108" s="524">
        <f t="shared" si="837"/>
        <v>-22.999996679211435</v>
      </c>
      <c r="AO108" s="525">
        <f t="shared" si="525"/>
        <v>15.699997733200806</v>
      </c>
      <c r="AP108" s="528">
        <f t="shared" si="838"/>
        <v>-6.2676481688103136</v>
      </c>
      <c r="AQ108" s="529">
        <f t="shared" si="744"/>
        <v>0.50054052358548051</v>
      </c>
      <c r="AS108" s="932">
        <f t="shared" si="842"/>
        <v>-300.2979101948938</v>
      </c>
      <c r="AT108" s="928">
        <f t="shared" si="745"/>
        <v>-9.3610288012937221E-2</v>
      </c>
      <c r="AU108" s="418"/>
      <c r="AV108" s="164">
        <f t="shared" si="746"/>
        <v>6.1180000000000003</v>
      </c>
      <c r="AW108" s="797">
        <f>IFERROR(INDEX(MassProp!C$9:C$150,MATCH($M108,MassProp!$B$9:$B$150,0)),"")</f>
        <v>3.3212999999999999</v>
      </c>
      <c r="AX108" s="744">
        <f>IFERROR(INDEX(MassProp!D$9:D$150,MATCH($M108,MassProp!$B$9:$B$150,0)),"")</f>
        <v>0.29099999999999998</v>
      </c>
      <c r="AY108" s="731">
        <f>IFERROR(INDEX(MassProp!E$9:E$150,MATCH($M108,MassProp!$B$9:$B$150,0)),"")</f>
        <v>3.2000000000000001E-2</v>
      </c>
      <c r="AZ108" s="297">
        <f t="shared" si="633"/>
        <v>0.66783490529656597</v>
      </c>
      <c r="BA108" s="296">
        <f t="shared" si="747"/>
        <v>7.6101378965712771E-2</v>
      </c>
      <c r="BB108" s="177">
        <f t="shared" si="610"/>
        <v>0.1346102880129372</v>
      </c>
      <c r="BC108" s="9"/>
      <c r="BD108" s="5">
        <f t="shared" si="611"/>
        <v>3.3212999999999999</v>
      </c>
      <c r="BE108" s="6">
        <f t="shared" si="748"/>
        <v>-0.16754022591501302</v>
      </c>
      <c r="BF108" s="4">
        <f t="shared" si="749"/>
        <v>-3.9323444268410213</v>
      </c>
      <c r="BG108" s="5">
        <f t="shared" si="750"/>
        <v>2.2976840053359084</v>
      </c>
      <c r="BH108" s="10">
        <f t="shared" si="751"/>
        <v>-0.30215051392795023</v>
      </c>
      <c r="BI108" s="9">
        <f t="shared" si="634"/>
        <v>-3.9323444268410213</v>
      </c>
      <c r="BJ108" s="5">
        <f t="shared" si="752"/>
        <v>2.6026526978244777</v>
      </c>
      <c r="BK108" s="8">
        <f t="shared" si="753"/>
        <v>0.65021186279732357</v>
      </c>
      <c r="BL108" s="173">
        <f t="shared" si="754"/>
        <v>-3.1155753581758483</v>
      </c>
      <c r="BM108" s="5">
        <f t="shared" si="755"/>
        <v>1.7482045130235679</v>
      </c>
      <c r="BN108" s="6">
        <f t="shared" si="756"/>
        <v>-0.12619433756577</v>
      </c>
      <c r="BO108" s="4">
        <f t="shared" si="635"/>
        <v>0.57696472030083967</v>
      </c>
      <c r="BP108" s="5">
        <f t="shared" si="734"/>
        <v>0.7778601314696526</v>
      </c>
      <c r="BQ108" s="5">
        <f t="shared" si="636"/>
        <v>-0.24908899493592407</v>
      </c>
      <c r="BR108" s="6">
        <f t="shared" si="637"/>
        <v>0.40628485205890191</v>
      </c>
      <c r="BS108" s="4">
        <f t="shared" si="839"/>
        <v>0</v>
      </c>
      <c r="BT108" s="5">
        <f t="shared" si="839"/>
        <v>0</v>
      </c>
      <c r="BU108" s="10">
        <f t="shared" si="613"/>
        <v>-0.16754022591501302</v>
      </c>
      <c r="BV108" s="9">
        <f t="shared" si="614"/>
        <v>0</v>
      </c>
      <c r="BW108" s="5">
        <f t="shared" si="615"/>
        <v>1</v>
      </c>
      <c r="BX108" s="8">
        <f t="shared" si="616"/>
        <v>-0.16754022591501302</v>
      </c>
      <c r="BY108" s="173">
        <f t="shared" si="617"/>
        <v>1</v>
      </c>
      <c r="BZ108" s="5">
        <f t="shared" si="618"/>
        <v>0</v>
      </c>
      <c r="CA108" s="6">
        <f t="shared" si="619"/>
        <v>-0.16754022591501302</v>
      </c>
      <c r="CB108" s="4">
        <f t="shared" si="638"/>
        <v>0</v>
      </c>
      <c r="CC108" s="5">
        <f t="shared" si="639"/>
        <v>0</v>
      </c>
      <c r="CD108" s="5">
        <f t="shared" si="640"/>
        <v>-1</v>
      </c>
      <c r="CE108" s="6">
        <f t="shared" si="641"/>
        <v>-0.16754022591501302</v>
      </c>
      <c r="CF108" s="4">
        <f t="shared" si="642"/>
        <v>-0.7778601314696526</v>
      </c>
      <c r="CG108" s="5">
        <f t="shared" si="643"/>
        <v>0.57696472030083967</v>
      </c>
      <c r="CH108" s="5">
        <f t="shared" si="644"/>
        <v>0</v>
      </c>
      <c r="CI108" s="4">
        <f t="shared" si="620"/>
        <v>0</v>
      </c>
      <c r="CJ108" s="5">
        <f t="shared" si="621"/>
        <v>-0.57596123058389337</v>
      </c>
      <c r="CK108" s="8">
        <f t="shared" si="622"/>
        <v>-0.16754022591501302</v>
      </c>
      <c r="CL108" s="173">
        <f t="shared" si="623"/>
        <v>-0.7778601314696526</v>
      </c>
      <c r="CM108" s="5">
        <f t="shared" si="624"/>
        <v>1.0034897169463042E-3</v>
      </c>
      <c r="CN108" s="6">
        <f t="shared" si="625"/>
        <v>-0.16754022591501302</v>
      </c>
      <c r="CO108" s="167">
        <f t="shared" si="757"/>
        <v>0.3125</v>
      </c>
      <c r="CP108" s="4">
        <f t="shared" si="645"/>
        <v>0.93795467260181142</v>
      </c>
      <c r="CQ108" s="5">
        <f t="shared" si="646"/>
        <v>-9.4336117452656438</v>
      </c>
      <c r="CR108" s="5">
        <f t="shared" si="647"/>
        <v>23.641633312871132</v>
      </c>
      <c r="CS108" s="8">
        <f t="shared" si="648"/>
        <v>0.2939088254294262</v>
      </c>
      <c r="CT108" s="9">
        <f t="shared" si="649"/>
        <v>5.3178184527435288</v>
      </c>
      <c r="CU108" s="6">
        <f t="shared" si="650"/>
        <v>4.7398229459581342</v>
      </c>
      <c r="CV108" s="4">
        <f t="shared" si="651"/>
        <v>-4.1365189607828263</v>
      </c>
      <c r="CW108" s="5">
        <f t="shared" si="652"/>
        <v>2.4922324056139207</v>
      </c>
      <c r="CX108" s="8">
        <f t="shared" si="653"/>
        <v>-0.16754022591501302</v>
      </c>
      <c r="CY108" s="9">
        <f t="shared" si="654"/>
        <v>-3.6869192998858704</v>
      </c>
      <c r="CZ108" s="5">
        <f t="shared" si="655"/>
        <v>2.1587493897063434</v>
      </c>
      <c r="DA108" s="6">
        <f t="shared" si="656"/>
        <v>-0.16754022591501302</v>
      </c>
      <c r="DB108" s="4">
        <f t="shared" si="843"/>
        <v>0</v>
      </c>
      <c r="DC108" s="5">
        <f t="shared" si="843"/>
        <v>0</v>
      </c>
      <c r="DD108" s="10">
        <f t="shared" si="658"/>
        <v>-10</v>
      </c>
      <c r="DE108" s="9">
        <f t="shared" si="844"/>
        <v>0</v>
      </c>
      <c r="DF108" s="5">
        <f t="shared" si="844"/>
        <v>0</v>
      </c>
      <c r="DG108" s="10">
        <f t="shared" si="660"/>
        <v>10</v>
      </c>
      <c r="DH108" s="70">
        <f t="shared" si="661"/>
        <v>3.3212999999999999</v>
      </c>
      <c r="DI108" s="4">
        <f t="shared" si="662"/>
        <v>0</v>
      </c>
      <c r="DJ108" s="5">
        <f t="shared" si="663"/>
        <v>0</v>
      </c>
      <c r="DK108" s="10">
        <f t="shared" si="664"/>
        <v>20</v>
      </c>
      <c r="DL108" s="9">
        <f t="shared" si="665"/>
        <v>-4.1365189607828263</v>
      </c>
      <c r="DM108" s="173">
        <f t="shared" si="666"/>
        <v>2.4922324056139207</v>
      </c>
      <c r="DN108" s="178">
        <f t="shared" si="667"/>
        <v>9.8324597740849864</v>
      </c>
      <c r="DO108" s="9">
        <f t="shared" si="668"/>
        <v>0.44959966089695591</v>
      </c>
      <c r="DP108" s="173">
        <f t="shared" si="669"/>
        <v>-0.33348301590757723</v>
      </c>
      <c r="DQ108" s="11">
        <f t="shared" si="670"/>
        <v>0</v>
      </c>
      <c r="DR108" s="173">
        <f t="shared" si="671"/>
        <v>196.64919548169973</v>
      </c>
      <c r="DS108" s="5">
        <f t="shared" si="672"/>
        <v>0</v>
      </c>
      <c r="DT108" s="5">
        <f t="shared" si="673"/>
        <v>400</v>
      </c>
      <c r="DU108" s="5">
        <f t="shared" si="674"/>
        <v>0.31335077697747116</v>
      </c>
      <c r="DV108" s="5">
        <f t="shared" si="675"/>
        <v>-2.6908947010285136</v>
      </c>
      <c r="DW108" s="5">
        <f t="shared" si="676"/>
        <v>119.99927668550737</v>
      </c>
      <c r="DX108" s="167">
        <f t="shared" si="677"/>
        <v>108.96824299550737</v>
      </c>
      <c r="DY108" s="9">
        <f t="shared" si="678"/>
        <v>125.34031079098847</v>
      </c>
      <c r="DZ108" s="5">
        <f t="shared" si="679"/>
        <v>-1076.3578804114054</v>
      </c>
      <c r="EA108" s="10">
        <f t="shared" si="680"/>
        <v>4916.3911146031896</v>
      </c>
      <c r="EB108" s="6">
        <f t="shared" si="681"/>
        <v>542324.29644931515</v>
      </c>
      <c r="EC108" s="173">
        <f t="shared" si="682"/>
        <v>14.462901656321588</v>
      </c>
      <c r="ED108" s="5">
        <f t="shared" si="683"/>
        <v>2.712065816134877</v>
      </c>
      <c r="EE108" s="4">
        <f t="shared" si="684"/>
        <v>2.3659967194853815</v>
      </c>
      <c r="EF108" s="5">
        <f t="shared" si="685"/>
        <v>-2.330899657510896</v>
      </c>
      <c r="EG108" s="10">
        <f t="shared" si="686"/>
        <v>-0.16754022591501302</v>
      </c>
      <c r="EH108" s="9">
        <f t="shared" si="687"/>
        <v>-2.9171750895183597</v>
      </c>
      <c r="EI108" s="5">
        <f t="shared" si="688"/>
        <v>1.5878045179094171</v>
      </c>
      <c r="EJ108" s="6">
        <f t="shared" si="689"/>
        <v>-0.16754022591501302</v>
      </c>
      <c r="EK108" s="236" t="b">
        <f t="shared" si="690"/>
        <v>0</v>
      </c>
      <c r="EL108" s="238" t="b">
        <f t="shared" si="691"/>
        <v>0</v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e">
        <f t="shared" si="695"/>
        <v>#VALUE!</v>
      </c>
      <c r="EQ108" s="5" t="e">
        <f t="shared" si="696"/>
        <v>#VALUE!</v>
      </c>
      <c r="ER108" s="7" t="str">
        <f t="shared" si="697"/>
        <v/>
      </c>
      <c r="ES108" s="21">
        <f t="shared" si="758"/>
        <v>0.57696472030083967</v>
      </c>
      <c r="ET108" s="5">
        <f t="shared" si="759"/>
        <v>0.77786013146965238</v>
      </c>
      <c r="EU108" s="10">
        <f t="shared" si="760"/>
        <v>-0.24908899493592435</v>
      </c>
      <c r="EV108" s="174" t="e">
        <f t="shared" si="761"/>
        <v>#VALUE!</v>
      </c>
      <c r="EW108" s="9" t="e">
        <f t="shared" si="762"/>
        <v>#VALUE!</v>
      </c>
      <c r="EX108" s="5" t="e">
        <f t="shared" si="763"/>
        <v>#VALUE!</v>
      </c>
      <c r="EY108" s="6">
        <f t="shared" si="698"/>
        <v>-0.24908899493592435</v>
      </c>
      <c r="EZ108" s="51" t="e">
        <f t="shared" si="699"/>
        <v>#VALUE!</v>
      </c>
      <c r="FA108" s="173" t="e">
        <f t="shared" si="764"/>
        <v>#VALUE!</v>
      </c>
      <c r="FB108" s="5" t="e">
        <f t="shared" si="765"/>
        <v>#VALUE!</v>
      </c>
      <c r="FC108" s="6" t="e">
        <f t="shared" si="766"/>
        <v>#VALUE!</v>
      </c>
      <c r="FD108" s="4" t="e">
        <f t="shared" si="767"/>
        <v>#VALUE!</v>
      </c>
      <c r="FE108" s="5" t="e">
        <f t="shared" si="768"/>
        <v>#VALUE!</v>
      </c>
      <c r="FF108" s="7" t="e">
        <f t="shared" si="700"/>
        <v>#VALUE!</v>
      </c>
      <c r="FG108" s="173" t="e">
        <f t="shared" si="769"/>
        <v>#VALUE!</v>
      </c>
      <c r="FH108" s="5" t="e">
        <f t="shared" si="770"/>
        <v>#VALUE!</v>
      </c>
      <c r="FI108" s="10" t="e">
        <f t="shared" si="771"/>
        <v>#VALUE!</v>
      </c>
      <c r="FJ108" s="279" t="e">
        <f t="shared" si="701"/>
        <v>#VALUE!</v>
      </c>
      <c r="FK108" s="4">
        <f t="shared" si="772"/>
        <v>0.96848060001313974</v>
      </c>
      <c r="FL108" s="5" t="e">
        <f t="shared" si="626"/>
        <v>#VALUE!</v>
      </c>
      <c r="FM108" s="8" t="e">
        <f t="shared" si="627"/>
        <v>#VALUE!</v>
      </c>
      <c r="FN108" s="9" t="e">
        <f t="shared" si="628"/>
        <v>#VALUE!</v>
      </c>
      <c r="FO108" s="10" t="e">
        <f t="shared" si="773"/>
        <v>#VALUE!</v>
      </c>
      <c r="FP108" s="277" t="e">
        <f t="shared" si="629"/>
        <v>#VALUE!</v>
      </c>
      <c r="FQ108" s="173" t="e">
        <f t="shared" si="702"/>
        <v>#VALUE!</v>
      </c>
      <c r="FR108" s="10" t="e">
        <f t="shared" si="703"/>
        <v>#VALUE!</v>
      </c>
      <c r="FS108" s="9" t="e">
        <f t="shared" si="704"/>
        <v>#VALUE!</v>
      </c>
      <c r="FT108" s="6" t="e">
        <f t="shared" si="705"/>
        <v>#VALUE!</v>
      </c>
      <c r="FU108" s="4" t="e">
        <f t="shared" si="706"/>
        <v>#VALUE!</v>
      </c>
      <c r="FV108" s="5" t="e">
        <f t="shared" si="707"/>
        <v>#VALUE!</v>
      </c>
      <c r="FW108" s="8" t="e">
        <f t="shared" si="708"/>
        <v>#VALUE!</v>
      </c>
      <c r="FX108" s="9" t="e">
        <f t="shared" si="709"/>
        <v>#VALUE!</v>
      </c>
      <c r="FY108" s="10" t="e">
        <f t="shared" si="774"/>
        <v>#VALUE!</v>
      </c>
      <c r="FZ108" s="277" t="e">
        <f t="shared" si="710"/>
        <v>#VALUE!</v>
      </c>
      <c r="GA108" s="177" t="e">
        <f t="shared" si="711"/>
        <v>#VALUE!</v>
      </c>
      <c r="GB108" s="4" t="e">
        <f t="shared" si="712"/>
        <v>#VALUE!</v>
      </c>
      <c r="GC108" s="5" t="e">
        <f t="shared" si="713"/>
        <v>#VALUE!</v>
      </c>
      <c r="GD108" s="10" t="e">
        <f t="shared" si="714"/>
        <v>#VALUE!</v>
      </c>
      <c r="GE108" s="311" t="e">
        <f t="shared" si="715"/>
        <v>#VALUE!</v>
      </c>
      <c r="GF108" s="341" t="e">
        <f t="shared" si="716"/>
        <v>#VALUE!</v>
      </c>
      <c r="GG108" s="285" t="e">
        <f t="shared" si="775"/>
        <v>#VALUE!</v>
      </c>
      <c r="GH108" s="286" t="e">
        <f t="shared" si="776"/>
        <v>#VALUE!</v>
      </c>
      <c r="GI108" s="281" t="e">
        <f t="shared" si="777"/>
        <v>#VALUE!</v>
      </c>
      <c r="GJ108" s="167">
        <f t="shared" si="717"/>
        <v>3.3212999999999999</v>
      </c>
      <c r="GK108" s="174">
        <f t="shared" si="778"/>
        <v>1.7391533992098072</v>
      </c>
      <c r="GL108" s="174">
        <f t="shared" si="718"/>
        <v>3.2000000000000001E-2</v>
      </c>
      <c r="GM108" s="177">
        <f t="shared" si="719"/>
        <v>0.66783490529656597</v>
      </c>
      <c r="GN108" s="280">
        <f t="shared" si="720"/>
        <v>7.6101378965712771E-2</v>
      </c>
      <c r="GO108" s="4" t="e">
        <f t="shared" si="721"/>
        <v>#VALUE!</v>
      </c>
      <c r="GP108" s="8" t="e">
        <f t="shared" si="722"/>
        <v>#VALUE!</v>
      </c>
      <c r="GQ108" s="177" t="e">
        <f t="shared" si="723"/>
        <v>#VALUE!</v>
      </c>
      <c r="GR108" s="371" t="e">
        <f t="shared" si="724"/>
        <v>#VALUE!</v>
      </c>
      <c r="GS108" s="342" t="e">
        <f t="shared" si="779"/>
        <v>#VALUE!</v>
      </c>
      <c r="GT108" s="343" t="e">
        <f t="shared" si="780"/>
        <v>#VALUE!</v>
      </c>
      <c r="GU108" s="344">
        <f t="shared" si="781"/>
        <v>1641.760808854058</v>
      </c>
      <c r="GV108" s="343">
        <f t="shared" si="725"/>
        <v>944</v>
      </c>
      <c r="GW108" s="345">
        <f t="shared" si="782"/>
        <v>29500</v>
      </c>
      <c r="GX108" s="346">
        <f t="shared" si="783"/>
        <v>261.2756</v>
      </c>
      <c r="GY108" s="344" t="e">
        <f t="shared" si="784"/>
        <v>#VALUE!</v>
      </c>
      <c r="GZ108" s="345" t="e">
        <f t="shared" si="785"/>
        <v>#VALUE!</v>
      </c>
      <c r="HA108" s="342" t="e">
        <f t="shared" si="786"/>
        <v>#VALUE!</v>
      </c>
      <c r="HB108" s="5" t="e">
        <f t="shared" si="726"/>
        <v>#VALUE!</v>
      </c>
      <c r="HC108" s="343" t="e">
        <f t="shared" si="727"/>
        <v>#VALUE!</v>
      </c>
      <c r="HD108" s="363" t="e">
        <f t="shared" si="728"/>
        <v>#VALUE!</v>
      </c>
      <c r="HE108" s="344" t="e">
        <f t="shared" si="787"/>
        <v>#VALUE!</v>
      </c>
      <c r="HF108" s="5" t="e">
        <f t="shared" si="788"/>
        <v>#VALUE!</v>
      </c>
      <c r="HG108" s="343" t="e">
        <f t="shared" si="729"/>
        <v>#VALUE!</v>
      </c>
      <c r="HH108" s="349" t="e">
        <f t="shared" si="730"/>
        <v>#VALUE!</v>
      </c>
      <c r="HI108" s="317">
        <f t="shared" si="789"/>
        <v>6.1180000000000003</v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>
        <f t="shared" si="731"/>
        <v>6.1180000000000003</v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>
        <f t="shared" si="807"/>
        <v>1613</v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>
        <f t="shared" si="736"/>
        <v>0</v>
      </c>
      <c r="B109" s="578">
        <f t="shared" si="515"/>
        <v>-4.5158807273167954</v>
      </c>
      <c r="C109" s="572">
        <f t="shared" si="516"/>
        <v>2.6973394604151517</v>
      </c>
      <c r="D109" s="576">
        <f t="shared" si="517"/>
        <v>-0.58565136896652858</v>
      </c>
      <c r="E109" s="580">
        <f t="shared" si="518"/>
        <v>-0.63118090009161532</v>
      </c>
      <c r="F109" s="572">
        <f t="shared" si="519"/>
        <v>-0.73983216430292398</v>
      </c>
      <c r="G109" s="579">
        <f t="shared" si="520"/>
        <v>0.23293569933007249</v>
      </c>
      <c r="H109" s="580">
        <f t="shared" si="521"/>
        <v>0.3125</v>
      </c>
      <c r="I109" s="572">
        <f t="shared" si="522"/>
        <v>0.52</v>
      </c>
      <c r="J109" s="483">
        <f t="shared" si="523"/>
        <v>6.1210000000000004</v>
      </c>
      <c r="K109" s="806">
        <f t="shared" si="524"/>
        <v>1613</v>
      </c>
      <c r="L109" s="309"/>
      <c r="M109" s="164">
        <f t="shared" si="737"/>
        <v>6.1210000000000004</v>
      </c>
      <c r="N109" s="575">
        <f t="shared" si="738"/>
        <v>-4.5158807273167954</v>
      </c>
      <c r="O109" s="572">
        <f t="shared" si="739"/>
        <v>2.6973394604151517</v>
      </c>
      <c r="P109" s="576">
        <f t="shared" si="740"/>
        <v>-0.58565136896652858</v>
      </c>
      <c r="Q109" s="528">
        <f t="shared" si="609"/>
        <v>149.15009145978345</v>
      </c>
      <c r="R109" s="572">
        <f t="shared" si="820"/>
        <v>5.260115864509447</v>
      </c>
      <c r="S109" s="577">
        <f t="shared" si="821"/>
        <v>-0.58565136896652858</v>
      </c>
      <c r="T109" s="578">
        <f t="shared" si="822"/>
        <v>2.6973395845501966</v>
      </c>
      <c r="U109" s="572">
        <f t="shared" si="823"/>
        <v>4.5158806531708233</v>
      </c>
      <c r="V109" s="579">
        <f t="shared" si="824"/>
        <v>-0.58565136896652858</v>
      </c>
      <c r="W109" s="528">
        <f t="shared" si="735"/>
        <v>59.150089884805112</v>
      </c>
      <c r="X109" s="572">
        <f t="shared" si="825"/>
        <v>5.260115864509447</v>
      </c>
      <c r="Y109" s="573">
        <f t="shared" si="733"/>
        <v>-0.58565136896652858</v>
      </c>
      <c r="Z109" s="575">
        <f t="shared" si="741"/>
        <v>0.63118090009161532</v>
      </c>
      <c r="AA109" s="572">
        <f t="shared" si="742"/>
        <v>0.73983216430292398</v>
      </c>
      <c r="AB109" s="572">
        <f t="shared" si="743"/>
        <v>-0.23293569933007249</v>
      </c>
      <c r="AC109" s="579">
        <f t="shared" si="826"/>
        <v>1</v>
      </c>
      <c r="AD109" s="580">
        <f t="shared" si="827"/>
        <v>0.63118090009161532</v>
      </c>
      <c r="AE109" s="572">
        <f t="shared" si="828"/>
        <v>0.73983216430292398</v>
      </c>
      <c r="AF109" s="576">
        <f t="shared" si="829"/>
        <v>-0.23293569933007249</v>
      </c>
      <c r="AG109" s="545">
        <f t="shared" si="830"/>
        <v>72.523423824572205</v>
      </c>
      <c r="AH109" s="546">
        <f t="shared" si="831"/>
        <v>50.862698960875349</v>
      </c>
      <c r="AI109" s="528">
        <f t="shared" si="832"/>
        <v>-76.53002950825389</v>
      </c>
      <c r="AJ109" s="529">
        <f t="shared" si="833"/>
        <v>139.53115698517223</v>
      </c>
      <c r="AK109" s="578">
        <f t="shared" si="834"/>
        <v>0.95881974667728465</v>
      </c>
      <c r="AL109" s="572">
        <f t="shared" si="835"/>
        <v>-0.16249816417214724</v>
      </c>
      <c r="AM109" s="577">
        <f t="shared" si="836"/>
        <v>-0.23293569933007249</v>
      </c>
      <c r="AN109" s="524">
        <f t="shared" si="837"/>
        <v>-34.899994961064216</v>
      </c>
      <c r="AO109" s="525">
        <f t="shared" si="525"/>
        <v>16.499997617695072</v>
      </c>
      <c r="AP109" s="528">
        <f t="shared" si="838"/>
        <v>-9.6189344746112351</v>
      </c>
      <c r="AQ109" s="529">
        <f t="shared" si="744"/>
        <v>0.43339029253368294</v>
      </c>
      <c r="AS109" s="932">
        <f t="shared" si="842"/>
        <v>-300.84991011519492</v>
      </c>
      <c r="AT109" s="928">
        <f t="shared" si="745"/>
        <v>-0.37672780977352871</v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>
        <f t="shared" si="731"/>
        <v>6.1210000000000004</v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>
        <f t="shared" si="807"/>
        <v>1613</v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>
        <f t="shared" si="736"/>
        <v>0</v>
      </c>
      <c r="B110" s="578">
        <f t="shared" si="515"/>
        <v>-5.0129539572163626</v>
      </c>
      <c r="C110" s="572">
        <f t="shared" si="516"/>
        <v>3.0692359696857419</v>
      </c>
      <c r="D110" s="576">
        <f t="shared" si="517"/>
        <v>-1.0231526884705078</v>
      </c>
      <c r="E110" s="580">
        <f t="shared" si="518"/>
        <v>-0.68915475576984297</v>
      </c>
      <c r="F110" s="572">
        <f t="shared" si="519"/>
        <v>-0.69258062557955258</v>
      </c>
      <c r="G110" s="579">
        <f t="shared" si="520"/>
        <v>0.21306759413773824</v>
      </c>
      <c r="H110" s="580">
        <f t="shared" si="521"/>
        <v>0.3125</v>
      </c>
      <c r="I110" s="572">
        <f t="shared" si="522"/>
        <v>0.52</v>
      </c>
      <c r="J110" s="483">
        <f t="shared" si="523"/>
        <v>6.1239999999999997</v>
      </c>
      <c r="K110" s="806">
        <f t="shared" si="524"/>
        <v>1613</v>
      </c>
      <c r="L110" s="309"/>
      <c r="M110" s="164">
        <f t="shared" si="737"/>
        <v>6.1239999999999997</v>
      </c>
      <c r="N110" s="575">
        <f t="shared" si="738"/>
        <v>-5.0129539572163626</v>
      </c>
      <c r="O110" s="572">
        <f t="shared" si="739"/>
        <v>3.0692359696857419</v>
      </c>
      <c r="P110" s="576">
        <f t="shared" si="740"/>
        <v>-1.0231526884705078</v>
      </c>
      <c r="Q110" s="528">
        <f t="shared" si="609"/>
        <v>148.52249155039763</v>
      </c>
      <c r="R110" s="572">
        <f t="shared" si="820"/>
        <v>5.8779177277998684</v>
      </c>
      <c r="S110" s="577">
        <f t="shared" si="821"/>
        <v>-1.0231526884705078</v>
      </c>
      <c r="T110" s="578">
        <f t="shared" si="822"/>
        <v>3.0692361074846151</v>
      </c>
      <c r="U110" s="572">
        <f t="shared" si="823"/>
        <v>5.0129538728474907</v>
      </c>
      <c r="V110" s="579">
        <f t="shared" si="824"/>
        <v>-1.0231526884705078</v>
      </c>
      <c r="W110" s="528">
        <f t="shared" si="735"/>
        <v>58.52248997541929</v>
      </c>
      <c r="X110" s="572">
        <f t="shared" si="825"/>
        <v>5.8779177277998684</v>
      </c>
      <c r="Y110" s="573">
        <f t="shared" si="733"/>
        <v>-1.0231526884705078</v>
      </c>
      <c r="Z110" s="575">
        <f t="shared" si="741"/>
        <v>0.68915475576984297</v>
      </c>
      <c r="AA110" s="572">
        <f t="shared" si="742"/>
        <v>0.69258062557955258</v>
      </c>
      <c r="AB110" s="572">
        <f t="shared" si="743"/>
        <v>-0.21306759413773824</v>
      </c>
      <c r="AC110" s="579">
        <f t="shared" si="826"/>
        <v>1</v>
      </c>
      <c r="AD110" s="580">
        <f t="shared" si="827"/>
        <v>0.68915475576984297</v>
      </c>
      <c r="AE110" s="572">
        <f t="shared" si="828"/>
        <v>0.69258062557955258</v>
      </c>
      <c r="AF110" s="576">
        <f t="shared" si="829"/>
        <v>-0.21306759413773824</v>
      </c>
      <c r="AG110" s="545">
        <f t="shared" si="830"/>
        <v>72.899850891426013</v>
      </c>
      <c r="AH110" s="546">
        <f t="shared" si="831"/>
        <v>46.436762347197515</v>
      </c>
      <c r="AI110" s="528">
        <f t="shared" si="832"/>
        <v>-77.697818052291581</v>
      </c>
      <c r="AJ110" s="529">
        <f t="shared" si="833"/>
        <v>135.14205866165702</v>
      </c>
      <c r="AK110" s="578">
        <f t="shared" si="834"/>
        <v>0.95051574579803733</v>
      </c>
      <c r="AL110" s="572">
        <f t="shared" si="835"/>
        <v>-0.22610178530555025</v>
      </c>
      <c r="AM110" s="577">
        <f t="shared" si="836"/>
        <v>-0.21306759413773824</v>
      </c>
      <c r="AN110" s="524">
        <f t="shared" si="837"/>
        <v>-46.699993257355175</v>
      </c>
      <c r="AO110" s="525">
        <f t="shared" si="525"/>
        <v>18.099997386683679</v>
      </c>
      <c r="AP110" s="528">
        <f t="shared" si="838"/>
        <v>-13.380432888740613</v>
      </c>
      <c r="AQ110" s="529">
        <f t="shared" si="744"/>
        <v>0.38784003417483459</v>
      </c>
      <c r="AS110" s="932">
        <f t="shared" si="842"/>
        <v>-301.47751002458074</v>
      </c>
      <c r="AT110" s="928">
        <f t="shared" si="745"/>
        <v>-0.81379329600710104</v>
      </c>
      <c r="AU110" s="418"/>
      <c r="AV110" s="164">
        <f t="shared" si="746"/>
        <v>6.1239999999999997</v>
      </c>
      <c r="AW110" s="797">
        <f>IFERROR(INDEX(MassProp!C$9:C$150,MATCH($M110,MassProp!$B$9:$B$150,0)),"")</f>
        <v>4.0052000000000003</v>
      </c>
      <c r="AX110" s="744">
        <f>IFERROR(INDEX(MassProp!D$9:D$150,MATCH($M110,MassProp!$B$9:$B$150,0)),"")</f>
        <v>-0.1827</v>
      </c>
      <c r="AY110" s="731">
        <f>IFERROR(INDEX(MassProp!E$9:E$150,MATCH($M110,MassProp!$B$9:$B$150,0)),"")</f>
        <v>2.5600000000000001E-2</v>
      </c>
      <c r="AZ110" s="297">
        <f t="shared" si="633"/>
        <v>0.64426638196104979</v>
      </c>
      <c r="BA110" s="296">
        <f t="shared" si="747"/>
        <v>7.3415689565842476E-2</v>
      </c>
      <c r="BB110" s="177">
        <f t="shared" si="610"/>
        <v>0.38109329600710107</v>
      </c>
      <c r="BC110" s="9"/>
      <c r="BD110" s="5">
        <f t="shared" si="611"/>
        <v>4.0052000000000003</v>
      </c>
      <c r="BE110" s="6">
        <f t="shared" si="748"/>
        <v>-0.64205939246340671</v>
      </c>
      <c r="BF110" s="4">
        <f t="shared" si="749"/>
        <v>-5.0129539572163626</v>
      </c>
      <c r="BG110" s="5">
        <f t="shared" si="750"/>
        <v>3.0692359696857419</v>
      </c>
      <c r="BH110" s="10">
        <f t="shared" si="751"/>
        <v>-1.0231526884705078</v>
      </c>
      <c r="BI110" s="9">
        <f t="shared" si="634"/>
        <v>-5.0129539572163626</v>
      </c>
      <c r="BJ110" s="5">
        <f t="shared" si="752"/>
        <v>3.3632787823067787</v>
      </c>
      <c r="BK110" s="8">
        <f t="shared" si="753"/>
        <v>-6.7360438896412411E-2</v>
      </c>
      <c r="BL110" s="173">
        <f t="shared" si="754"/>
        <v>-4.2883397684235902</v>
      </c>
      <c r="BM110" s="5">
        <f t="shared" si="755"/>
        <v>2.4105471953637974</v>
      </c>
      <c r="BN110" s="6">
        <f t="shared" si="756"/>
        <v>-0.82051168575277933</v>
      </c>
      <c r="BO110" s="4">
        <f t="shared" si="635"/>
        <v>0.6891547557698432</v>
      </c>
      <c r="BP110" s="5">
        <f t="shared" si="734"/>
        <v>0.69258062557955191</v>
      </c>
      <c r="BQ110" s="5">
        <f t="shared" si="636"/>
        <v>-0.2130675941377369</v>
      </c>
      <c r="BR110" s="6">
        <f t="shared" si="637"/>
        <v>1.1110070103667264</v>
      </c>
      <c r="BS110" s="4">
        <f t="shared" si="839"/>
        <v>0</v>
      </c>
      <c r="BT110" s="5">
        <f t="shared" si="839"/>
        <v>0</v>
      </c>
      <c r="BU110" s="10">
        <f t="shared" si="613"/>
        <v>-0.64205939246340671</v>
      </c>
      <c r="BV110" s="9">
        <f t="shared" si="614"/>
        <v>0</v>
      </c>
      <c r="BW110" s="5">
        <f t="shared" si="615"/>
        <v>1</v>
      </c>
      <c r="BX110" s="8">
        <f t="shared" si="616"/>
        <v>-0.64205939246340671</v>
      </c>
      <c r="BY110" s="173">
        <f t="shared" si="617"/>
        <v>1</v>
      </c>
      <c r="BZ110" s="5">
        <f t="shared" si="618"/>
        <v>0</v>
      </c>
      <c r="CA110" s="6">
        <f t="shared" si="619"/>
        <v>-0.64205939246340671</v>
      </c>
      <c r="CB110" s="4">
        <f t="shared" si="638"/>
        <v>0</v>
      </c>
      <c r="CC110" s="5">
        <f t="shared" si="639"/>
        <v>0</v>
      </c>
      <c r="CD110" s="5">
        <f t="shared" si="640"/>
        <v>-1</v>
      </c>
      <c r="CE110" s="6">
        <f t="shared" si="641"/>
        <v>-0.64205939246340671</v>
      </c>
      <c r="CF110" s="4">
        <f t="shared" si="642"/>
        <v>-0.69258062557955191</v>
      </c>
      <c r="CG110" s="5">
        <f t="shared" si="643"/>
        <v>0.6891547557698432</v>
      </c>
      <c r="CH110" s="5">
        <f t="shared" si="644"/>
        <v>0</v>
      </c>
      <c r="CI110" s="4">
        <f t="shared" si="620"/>
        <v>0</v>
      </c>
      <c r="CJ110" s="5">
        <f t="shared" si="621"/>
        <v>-1.8016805759882093</v>
      </c>
      <c r="CK110" s="8">
        <f t="shared" si="622"/>
        <v>-0.64205939246340671</v>
      </c>
      <c r="CL110" s="173">
        <f t="shared" si="623"/>
        <v>-0.69258062557955191</v>
      </c>
      <c r="CM110" s="5">
        <f t="shared" si="624"/>
        <v>-1.1125258202183661</v>
      </c>
      <c r="CN110" s="6">
        <f t="shared" si="625"/>
        <v>-0.64205939246340671</v>
      </c>
      <c r="CO110" s="167">
        <f t="shared" si="757"/>
        <v>0.3125</v>
      </c>
      <c r="CP110" s="4">
        <f t="shared" si="645"/>
        <v>0.95460220032835563</v>
      </c>
      <c r="CQ110" s="5">
        <f t="shared" si="646"/>
        <v>-13.657380180199238</v>
      </c>
      <c r="CR110" s="5">
        <f t="shared" si="647"/>
        <v>48.903111222353004</v>
      </c>
      <c r="CS110" s="8">
        <f t="shared" si="648"/>
        <v>-0.20803691654293743</v>
      </c>
      <c r="CT110" s="9" t="e">
        <f t="shared" si="649"/>
        <v>#NUM!</v>
      </c>
      <c r="CU110" s="6" t="e">
        <f t="shared" si="650"/>
        <v>#NUM!</v>
      </c>
      <c r="CV110" s="4" t="e">
        <f t="shared" si="651"/>
        <v>#NUM!</v>
      </c>
      <c r="CW110" s="5" t="e">
        <f t="shared" si="652"/>
        <v>#NUM!</v>
      </c>
      <c r="CX110" s="8" t="e">
        <f t="shared" si="653"/>
        <v>#NUM!</v>
      </c>
      <c r="CY110" s="9" t="e">
        <f t="shared" si="654"/>
        <v>#NUM!</v>
      </c>
      <c r="CZ110" s="5" t="e">
        <f t="shared" si="655"/>
        <v>#NUM!</v>
      </c>
      <c r="DA110" s="6" t="e">
        <f t="shared" si="656"/>
        <v>#NUM!</v>
      </c>
      <c r="DB110" s="4">
        <f t="shared" si="843"/>
        <v>0</v>
      </c>
      <c r="DC110" s="5">
        <f t="shared" si="843"/>
        <v>0</v>
      </c>
      <c r="DD110" s="10">
        <f t="shared" si="658"/>
        <v>-10</v>
      </c>
      <c r="DE110" s="9">
        <f t="shared" si="844"/>
        <v>0</v>
      </c>
      <c r="DF110" s="5">
        <f t="shared" si="844"/>
        <v>0</v>
      </c>
      <c r="DG110" s="10">
        <f t="shared" si="660"/>
        <v>10</v>
      </c>
      <c r="DH110" s="70">
        <f t="shared" si="661"/>
        <v>4.0052000000000003</v>
      </c>
      <c r="DI110" s="4">
        <f t="shared" si="662"/>
        <v>0</v>
      </c>
      <c r="DJ110" s="5">
        <f t="shared" si="663"/>
        <v>0</v>
      </c>
      <c r="DK110" s="10">
        <f t="shared" si="664"/>
        <v>20</v>
      </c>
      <c r="DL110" s="9" t="e">
        <f t="shared" si="665"/>
        <v>#NUM!</v>
      </c>
      <c r="DM110" s="173" t="e">
        <f t="shared" si="666"/>
        <v>#NUM!</v>
      </c>
      <c r="DN110" s="178" t="e">
        <f t="shared" si="667"/>
        <v>#NUM!</v>
      </c>
      <c r="DO110" s="9" t="e">
        <f t="shared" si="668"/>
        <v>#NUM!</v>
      </c>
      <c r="DP110" s="173" t="e">
        <f t="shared" si="669"/>
        <v>#NUM!</v>
      </c>
      <c r="DQ110" s="11" t="e">
        <f t="shared" si="670"/>
        <v>#NUM!</v>
      </c>
      <c r="DR110" s="173" t="e">
        <f t="shared" si="671"/>
        <v>#NUM!</v>
      </c>
      <c r="DS110" s="5" t="e">
        <f t="shared" si="672"/>
        <v>#NUM!</v>
      </c>
      <c r="DT110" s="5">
        <f t="shared" si="673"/>
        <v>400</v>
      </c>
      <c r="DU110" s="5" t="e">
        <f t="shared" si="674"/>
        <v>#NUM!</v>
      </c>
      <c r="DV110" s="5" t="e">
        <f t="shared" si="675"/>
        <v>#NUM!</v>
      </c>
      <c r="DW110" s="5" t="e">
        <f t="shared" si="676"/>
        <v>#NUM!</v>
      </c>
      <c r="DX110" s="167" t="e">
        <f t="shared" si="677"/>
        <v>#NUM!</v>
      </c>
      <c r="DY110" s="9" t="e">
        <f t="shared" si="678"/>
        <v>#NUM!</v>
      </c>
      <c r="DZ110" s="5" t="e">
        <f t="shared" si="679"/>
        <v>#NUM!</v>
      </c>
      <c r="EA110" s="10" t="e">
        <f t="shared" si="680"/>
        <v>#NUM!</v>
      </c>
      <c r="EB110" s="6" t="e">
        <f t="shared" si="681"/>
        <v>#NUM!</v>
      </c>
      <c r="EC110" s="173" t="e">
        <f t="shared" si="682"/>
        <v>#NUM!</v>
      </c>
      <c r="ED110" s="5" t="e">
        <f t="shared" si="683"/>
        <v>#NUM!</v>
      </c>
      <c r="EE110" s="4" t="e">
        <f t="shared" si="684"/>
        <v>#NUM!</v>
      </c>
      <c r="EF110" s="5" t="e">
        <f t="shared" si="685"/>
        <v>#NUM!</v>
      </c>
      <c r="EG110" s="10" t="e">
        <f t="shared" si="686"/>
        <v>#NUM!</v>
      </c>
      <c r="EH110" s="9" t="e">
        <f t="shared" si="687"/>
        <v>#NUM!</v>
      </c>
      <c r="EI110" s="5" t="e">
        <f t="shared" si="688"/>
        <v>#NUM!</v>
      </c>
      <c r="EJ110" s="6" t="e">
        <f t="shared" si="689"/>
        <v>#NUM!</v>
      </c>
      <c r="EK110" s="236" t="e">
        <f t="shared" si="690"/>
        <v>#NUM!</v>
      </c>
      <c r="EL110" s="238" t="e">
        <f t="shared" si="691"/>
        <v>#NUM!</v>
      </c>
      <c r="EM110" s="4" t="e">
        <f t="shared" si="692"/>
        <v>#NUM!</v>
      </c>
      <c r="EN110" s="5" t="e">
        <f t="shared" si="693"/>
        <v>#NUM!</v>
      </c>
      <c r="EO110" s="10" t="e">
        <f t="shared" si="694"/>
        <v>#NUM!</v>
      </c>
      <c r="EP110" s="9" t="e">
        <f t="shared" si="695"/>
        <v>#NUM!</v>
      </c>
      <c r="EQ110" s="5" t="e">
        <f t="shared" si="696"/>
        <v>#NUM!</v>
      </c>
      <c r="ER110" s="7" t="e">
        <f t="shared" si="697"/>
        <v>#NUM!</v>
      </c>
      <c r="ES110" s="21">
        <f t="shared" si="758"/>
        <v>0.68915475576984297</v>
      </c>
      <c r="ET110" s="5">
        <f t="shared" si="759"/>
        <v>0.69258062557955258</v>
      </c>
      <c r="EU110" s="10">
        <f t="shared" si="760"/>
        <v>-0.21306759413773824</v>
      </c>
      <c r="EV110" s="174" t="e">
        <f t="shared" si="761"/>
        <v>#NUM!</v>
      </c>
      <c r="EW110" s="9" t="e">
        <f t="shared" si="762"/>
        <v>#NUM!</v>
      </c>
      <c r="EX110" s="5" t="e">
        <f t="shared" si="763"/>
        <v>#NUM!</v>
      </c>
      <c r="EY110" s="6">
        <f t="shared" si="698"/>
        <v>-0.21306759413773824</v>
      </c>
      <c r="EZ110" s="51" t="e">
        <f t="shared" si="699"/>
        <v>#NUM!</v>
      </c>
      <c r="FA110" s="173" t="e">
        <f t="shared" si="764"/>
        <v>#NUM!</v>
      </c>
      <c r="FB110" s="5" t="e">
        <f t="shared" si="765"/>
        <v>#NUM!</v>
      </c>
      <c r="FC110" s="6" t="e">
        <f t="shared" si="766"/>
        <v>#NUM!</v>
      </c>
      <c r="FD110" s="4" t="e">
        <f t="shared" si="767"/>
        <v>#NUM!</v>
      </c>
      <c r="FE110" s="5" t="e">
        <f t="shared" si="768"/>
        <v>#NUM!</v>
      </c>
      <c r="FF110" s="7" t="e">
        <f t="shared" si="700"/>
        <v>#NUM!</v>
      </c>
      <c r="FG110" s="173" t="e">
        <f t="shared" si="769"/>
        <v>#NUM!</v>
      </c>
      <c r="FH110" s="5" t="e">
        <f t="shared" si="770"/>
        <v>#NUM!</v>
      </c>
      <c r="FI110" s="10" t="e">
        <f t="shared" si="771"/>
        <v>#NUM!</v>
      </c>
      <c r="FJ110" s="279" t="e">
        <f t="shared" si="701"/>
        <v>#NUM!</v>
      </c>
      <c r="FK110" s="4">
        <f t="shared" si="772"/>
        <v>0.97703746106705458</v>
      </c>
      <c r="FL110" s="5" t="e">
        <f t="shared" si="626"/>
        <v>#NUM!</v>
      </c>
      <c r="FM110" s="8" t="e">
        <f t="shared" si="627"/>
        <v>#NUM!</v>
      </c>
      <c r="FN110" s="9" t="e">
        <f t="shared" si="628"/>
        <v>#NUM!</v>
      </c>
      <c r="FO110" s="10" t="e">
        <f t="shared" si="773"/>
        <v>#NUM!</v>
      </c>
      <c r="FP110" s="277" t="e">
        <f t="shared" si="629"/>
        <v>#NUM!</v>
      </c>
      <c r="FQ110" s="173" t="e">
        <f t="shared" si="702"/>
        <v>#NUM!</v>
      </c>
      <c r="FR110" s="10" t="e">
        <f t="shared" si="703"/>
        <v>#NUM!</v>
      </c>
      <c r="FS110" s="9" t="e">
        <f t="shared" si="704"/>
        <v>#NUM!</v>
      </c>
      <c r="FT110" s="6" t="e">
        <f t="shared" si="705"/>
        <v>#NUM!</v>
      </c>
      <c r="FU110" s="4" t="e">
        <f t="shared" si="706"/>
        <v>#NUM!</v>
      </c>
      <c r="FV110" s="5" t="e">
        <f t="shared" si="707"/>
        <v>#NUM!</v>
      </c>
      <c r="FW110" s="8" t="e">
        <f t="shared" si="708"/>
        <v>#NUM!</v>
      </c>
      <c r="FX110" s="9" t="e">
        <f t="shared" si="709"/>
        <v>#NUM!</v>
      </c>
      <c r="FY110" s="10" t="e">
        <f t="shared" si="774"/>
        <v>#NUM!</v>
      </c>
      <c r="FZ110" s="277" t="e">
        <f t="shared" si="710"/>
        <v>#NUM!</v>
      </c>
      <c r="GA110" s="177" t="e">
        <f t="shared" si="711"/>
        <v>#NUM!</v>
      </c>
      <c r="GB110" s="4" t="e">
        <f t="shared" si="712"/>
        <v>#NUM!</v>
      </c>
      <c r="GC110" s="5" t="e">
        <f t="shared" si="713"/>
        <v>#NUM!</v>
      </c>
      <c r="GD110" s="10" t="e">
        <f t="shared" si="714"/>
        <v>#NUM!</v>
      </c>
      <c r="GE110" s="311" t="e">
        <f t="shared" si="715"/>
        <v>#NUM!</v>
      </c>
      <c r="GF110" s="341" t="e">
        <f t="shared" si="716"/>
        <v>#NUM!</v>
      </c>
      <c r="GG110" s="285" t="e">
        <f t="shared" si="775"/>
        <v>#NUM!</v>
      </c>
      <c r="GH110" s="286" t="e">
        <f t="shared" si="776"/>
        <v>#NUM!</v>
      </c>
      <c r="GI110" s="281" t="e">
        <f t="shared" si="777"/>
        <v>#NUM!</v>
      </c>
      <c r="GJ110" s="167">
        <f t="shared" si="717"/>
        <v>4.0052000000000003</v>
      </c>
      <c r="GK110" s="174">
        <f t="shared" si="778"/>
        <v>2.0972212954461256</v>
      </c>
      <c r="GL110" s="174">
        <f t="shared" si="718"/>
        <v>2.5600000000000001E-2</v>
      </c>
      <c r="GM110" s="177">
        <f t="shared" si="719"/>
        <v>0.64426638196104979</v>
      </c>
      <c r="GN110" s="280">
        <f t="shared" si="720"/>
        <v>7.3415689565842476E-2</v>
      </c>
      <c r="GO110" s="4" t="e">
        <f t="shared" si="721"/>
        <v>#NUM!</v>
      </c>
      <c r="GP110" s="8" t="e">
        <f t="shared" si="722"/>
        <v>#NUM!</v>
      </c>
      <c r="GQ110" s="177" t="e">
        <f t="shared" si="723"/>
        <v>#NUM!</v>
      </c>
      <c r="GR110" s="371" t="e">
        <f t="shared" si="724"/>
        <v>#NUM!</v>
      </c>
      <c r="GS110" s="342" t="e">
        <f t="shared" si="779"/>
        <v>#NUM!</v>
      </c>
      <c r="GT110" s="343" t="e">
        <f t="shared" si="780"/>
        <v>#NUM!</v>
      </c>
      <c r="GU110" s="344">
        <f t="shared" si="781"/>
        <v>1583.821522320914</v>
      </c>
      <c r="GV110" s="343">
        <f t="shared" si="725"/>
        <v>755.2</v>
      </c>
      <c r="GW110" s="345">
        <f t="shared" si="782"/>
        <v>29500</v>
      </c>
      <c r="GX110" s="346">
        <f t="shared" si="783"/>
        <v>252.06058666666672</v>
      </c>
      <c r="GY110" s="344" t="e">
        <f t="shared" si="784"/>
        <v>#NUM!</v>
      </c>
      <c r="GZ110" s="345" t="e">
        <f t="shared" si="785"/>
        <v>#NUM!</v>
      </c>
      <c r="HA110" s="342" t="e">
        <f t="shared" si="786"/>
        <v>#NUM!</v>
      </c>
      <c r="HB110" s="5" t="e">
        <f t="shared" si="726"/>
        <v>#NUM!</v>
      </c>
      <c r="HC110" s="343" t="e">
        <f t="shared" si="727"/>
        <v>#NUM!</v>
      </c>
      <c r="HD110" s="363" t="e">
        <f t="shared" si="728"/>
        <v>#NUM!</v>
      </c>
      <c r="HE110" s="344" t="e">
        <f t="shared" si="787"/>
        <v>#NUM!</v>
      </c>
      <c r="HF110" s="5" t="e">
        <f t="shared" si="788"/>
        <v>#NUM!</v>
      </c>
      <c r="HG110" s="343" t="e">
        <f t="shared" si="729"/>
        <v>#NUM!</v>
      </c>
      <c r="HH110" s="349" t="e">
        <f t="shared" si="730"/>
        <v>#NUM!</v>
      </c>
      <c r="HI110" s="317">
        <f t="shared" si="789"/>
        <v>6.1239999999999997</v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>
        <f t="shared" si="731"/>
        <v>6.1239999999999997</v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>
        <f t="shared" si="807"/>
        <v>1613</v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>
        <f t="shared" si="736"/>
        <v>0</v>
      </c>
      <c r="B111" s="578">
        <f t="shared" si="515"/>
        <v>-5.4064239873067219</v>
      </c>
      <c r="C111" s="572">
        <f t="shared" si="516"/>
        <v>3.3860032158807805</v>
      </c>
      <c r="D111" s="576">
        <f t="shared" si="517"/>
        <v>-1.5920544042780838</v>
      </c>
      <c r="E111" s="580">
        <f t="shared" si="518"/>
        <v>-0.75952589564283579</v>
      </c>
      <c r="F111" s="572">
        <f t="shared" si="519"/>
        <v>-0.62138875122278303</v>
      </c>
      <c r="G111" s="579">
        <f t="shared" si="520"/>
        <v>0.1923445702424123</v>
      </c>
      <c r="H111" s="580">
        <f t="shared" si="521"/>
        <v>0.3125</v>
      </c>
      <c r="I111" s="572">
        <f t="shared" si="522"/>
        <v>0.52</v>
      </c>
      <c r="J111" s="483">
        <f t="shared" si="523"/>
        <v>6.1269999999999998</v>
      </c>
      <c r="K111" s="806">
        <f t="shared" si="524"/>
        <v>1613</v>
      </c>
      <c r="L111" s="309"/>
      <c r="M111" s="164">
        <f t="shared" si="737"/>
        <v>6.1269999999999998</v>
      </c>
      <c r="N111" s="575">
        <f t="shared" si="738"/>
        <v>-5.4064239873067219</v>
      </c>
      <c r="O111" s="572">
        <f t="shared" si="739"/>
        <v>3.3860032158807805</v>
      </c>
      <c r="P111" s="576">
        <f t="shared" si="740"/>
        <v>-1.5920544042780838</v>
      </c>
      <c r="Q111" s="528">
        <f t="shared" si="609"/>
        <v>147.94139163429807</v>
      </c>
      <c r="R111" s="572">
        <f t="shared" si="820"/>
        <v>6.3792192397252263</v>
      </c>
      <c r="S111" s="577">
        <f t="shared" si="821"/>
        <v>-1.5920544042780838</v>
      </c>
      <c r="T111" s="578">
        <f t="shared" si="822"/>
        <v>3.3860033644955791</v>
      </c>
      <c r="U111" s="572">
        <f t="shared" si="823"/>
        <v>5.4064238942303735</v>
      </c>
      <c r="V111" s="579">
        <f t="shared" si="824"/>
        <v>-1.5920544042780838</v>
      </c>
      <c r="W111" s="528">
        <f t="shared" si="735"/>
        <v>57.94139005931973</v>
      </c>
      <c r="X111" s="572">
        <f t="shared" si="825"/>
        <v>6.3792192397252263</v>
      </c>
      <c r="Y111" s="573">
        <f t="shared" si="733"/>
        <v>-1.5920544042780838</v>
      </c>
      <c r="Z111" s="575">
        <f t="shared" si="741"/>
        <v>0.75952589564283579</v>
      </c>
      <c r="AA111" s="572">
        <f t="shared" si="742"/>
        <v>0.62138875122278303</v>
      </c>
      <c r="AB111" s="572">
        <f t="shared" si="743"/>
        <v>-0.1923445702424123</v>
      </c>
      <c r="AC111" s="579">
        <f t="shared" si="826"/>
        <v>1</v>
      </c>
      <c r="AD111" s="580">
        <f t="shared" si="827"/>
        <v>0.75952589564283579</v>
      </c>
      <c r="AE111" s="572">
        <f t="shared" si="828"/>
        <v>0.62138875122278303</v>
      </c>
      <c r="AF111" s="576">
        <f t="shared" si="829"/>
        <v>-0.1923445702424123</v>
      </c>
      <c r="AG111" s="545">
        <f t="shared" si="830"/>
        <v>72.80062097594373</v>
      </c>
      <c r="AH111" s="546">
        <f t="shared" si="831"/>
        <v>40.577580294357077</v>
      </c>
      <c r="AI111" s="528">
        <f t="shared" si="832"/>
        <v>-78.91035764205175</v>
      </c>
      <c r="AJ111" s="529">
        <f t="shared" si="833"/>
        <v>129.28753032796504</v>
      </c>
      <c r="AK111" s="578">
        <f t="shared" si="834"/>
        <v>0.92977650592555483</v>
      </c>
      <c r="AL111" s="572">
        <f t="shared" si="835"/>
        <v>-0.31387770759824307</v>
      </c>
      <c r="AM111" s="577">
        <f t="shared" si="836"/>
        <v>-0.1923445702424123</v>
      </c>
      <c r="AN111" s="524">
        <f t="shared" si="837"/>
        <v>-58.499991553646176</v>
      </c>
      <c r="AO111" s="525">
        <f t="shared" si="525"/>
        <v>21.599996881346296</v>
      </c>
      <c r="AP111" s="528">
        <f t="shared" si="838"/>
        <v>-18.653861306333024</v>
      </c>
      <c r="AQ111" s="529">
        <f t="shared" si="744"/>
        <v>0.35736302266681558</v>
      </c>
      <c r="AS111" s="932">
        <f t="shared" si="842"/>
        <v>-302.0586099406803</v>
      </c>
      <c r="AT111" s="928">
        <f t="shared" si="745"/>
        <v>-1.3822914702062745</v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>
        <f t="shared" si="731"/>
        <v>6.1269999999999998</v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>
        <f t="shared" si="807"/>
        <v>1613</v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>
        <f t="shared" si="736"/>
        <v>0</v>
      </c>
      <c r="B112" s="578">
        <f t="shared" si="515"/>
        <v>-5.6763250107300038</v>
      </c>
      <c r="C112" s="572">
        <f t="shared" si="516"/>
        <v>3.6155922862747989</v>
      </c>
      <c r="D112" s="576">
        <f t="shared" si="517"/>
        <v>-2.2586564147497463</v>
      </c>
      <c r="E112" s="580">
        <f t="shared" si="518"/>
        <v>-0.8205531756331732</v>
      </c>
      <c r="F112" s="572">
        <f t="shared" si="519"/>
        <v>-0.55362849987237917</v>
      </c>
      <c r="G112" s="579">
        <f t="shared" si="520"/>
        <v>0.14208437664772949</v>
      </c>
      <c r="H112" s="580">
        <f t="shared" si="521"/>
        <v>0.3125</v>
      </c>
      <c r="I112" s="572">
        <f t="shared" si="522"/>
        <v>0.52</v>
      </c>
      <c r="J112" s="483">
        <f t="shared" si="523"/>
        <v>6.13</v>
      </c>
      <c r="K112" s="806">
        <f t="shared" si="524"/>
        <v>1613</v>
      </c>
      <c r="L112" s="309"/>
      <c r="M112" s="164">
        <f t="shared" si="737"/>
        <v>6.13</v>
      </c>
      <c r="N112" s="575">
        <f t="shared" si="738"/>
        <v>-5.6763250107300038</v>
      </c>
      <c r="O112" s="572">
        <f t="shared" si="739"/>
        <v>3.6155922862747989</v>
      </c>
      <c r="P112" s="576">
        <f t="shared" si="740"/>
        <v>-2.2586564147497463</v>
      </c>
      <c r="Q112" s="528">
        <f t="shared" si="609"/>
        <v>147.50449169737863</v>
      </c>
      <c r="R112" s="572">
        <f t="shared" si="820"/>
        <v>6.7300202977412189</v>
      </c>
      <c r="S112" s="577">
        <f t="shared" si="821"/>
        <v>-2.2586564147497463</v>
      </c>
      <c r="T112" s="578">
        <f t="shared" si="822"/>
        <v>3.6155924423087868</v>
      </c>
      <c r="U112" s="572">
        <f t="shared" si="823"/>
        <v>5.6763249113425838</v>
      </c>
      <c r="V112" s="579">
        <f t="shared" si="824"/>
        <v>-2.2586564147497463</v>
      </c>
      <c r="W112" s="528">
        <f t="shared" si="735"/>
        <v>57.504490122400284</v>
      </c>
      <c r="X112" s="572">
        <f t="shared" si="825"/>
        <v>6.7300202977412189</v>
      </c>
      <c r="Y112" s="573">
        <f t="shared" si="733"/>
        <v>-2.2586564147497463</v>
      </c>
      <c r="Z112" s="575">
        <f t="shared" si="741"/>
        <v>0.8205531756331732</v>
      </c>
      <c r="AA112" s="572">
        <f t="shared" si="742"/>
        <v>0.55362849987237917</v>
      </c>
      <c r="AB112" s="572">
        <f t="shared" si="743"/>
        <v>-0.14208437664772949</v>
      </c>
      <c r="AC112" s="579">
        <f t="shared" si="826"/>
        <v>1</v>
      </c>
      <c r="AD112" s="580">
        <f t="shared" si="827"/>
        <v>0.8205531756331732</v>
      </c>
      <c r="AE112" s="572">
        <f t="shared" si="828"/>
        <v>0.55362849987237917</v>
      </c>
      <c r="AF112" s="576">
        <f t="shared" si="829"/>
        <v>-0.14208437664772949</v>
      </c>
      <c r="AG112" s="545">
        <f t="shared" si="830"/>
        <v>75.606142324032859</v>
      </c>
      <c r="AH112" s="546">
        <f t="shared" si="831"/>
        <v>34.859792850241945</v>
      </c>
      <c r="AI112" s="528">
        <f t="shared" si="832"/>
        <v>-81.83152185814734</v>
      </c>
      <c r="AJ112" s="529">
        <f t="shared" si="833"/>
        <v>124.00760090400155</v>
      </c>
      <c r="AK112" s="578">
        <f t="shared" si="834"/>
        <v>0.90777750474639451</v>
      </c>
      <c r="AL112" s="572">
        <f t="shared" si="835"/>
        <v>-0.39465431935940581</v>
      </c>
      <c r="AM112" s="577">
        <f t="shared" si="836"/>
        <v>-0.14208437664772949</v>
      </c>
      <c r="AN112" s="524">
        <f t="shared" si="837"/>
        <v>-70.19998986437551</v>
      </c>
      <c r="AO112" s="525">
        <f t="shared" si="525"/>
        <v>24.799996419323509</v>
      </c>
      <c r="AP112" s="528">
        <f t="shared" si="838"/>
        <v>-23.496890793377069</v>
      </c>
      <c r="AQ112" s="529">
        <f t="shared" si="744"/>
        <v>0.33873598746673494</v>
      </c>
      <c r="AS112" s="932">
        <f t="shared" si="842"/>
        <v>-302.49550987759972</v>
      </c>
      <c r="AT112" s="928">
        <f t="shared" si="745"/>
        <v>-2.0485900779439654</v>
      </c>
      <c r="AU112" s="418"/>
      <c r="AV112" s="164">
        <f t="shared" si="746"/>
        <v>6.13</v>
      </c>
      <c r="AW112" s="797">
        <f>IFERROR(INDEX(MassProp!C$9:C$150,MATCH($M112,MassProp!$B$9:$B$150,0)),"")</f>
        <v>4.5156999999999998</v>
      </c>
      <c r="AX112" s="744">
        <f>IFERROR(INDEX(MassProp!D$9:D$150,MATCH($M112,MassProp!$B$9:$B$150,0)),"")</f>
        <v>-0.84099999999999997</v>
      </c>
      <c r="AY112" s="731">
        <f>IFERROR(INDEX(MassProp!E$9:E$150,MATCH($M112,MassProp!$B$9:$B$150,0)),"")</f>
        <v>1.7399999999999999E-2</v>
      </c>
      <c r="AZ112" s="297">
        <f t="shared" si="633"/>
        <v>0.49370901410239199</v>
      </c>
      <c r="BA112" s="296">
        <f t="shared" si="747"/>
        <v>5.6259318707383169E-2</v>
      </c>
      <c r="BB112" s="177">
        <f t="shared" si="610"/>
        <v>0.95759007794396545</v>
      </c>
      <c r="BC112" s="9"/>
      <c r="BD112" s="5">
        <f t="shared" si="611"/>
        <v>4.5156999999999998</v>
      </c>
      <c r="BE112" s="6">
        <f t="shared" si="748"/>
        <v>-1.3010663368057809</v>
      </c>
      <c r="BF112" s="4">
        <f t="shared" si="749"/>
        <v>-5.6763250107300038</v>
      </c>
      <c r="BG112" s="5">
        <f t="shared" si="750"/>
        <v>3.6155922862747989</v>
      </c>
      <c r="BH112" s="10">
        <f t="shared" si="751"/>
        <v>-2.2586564147497463</v>
      </c>
      <c r="BI112" s="9">
        <f t="shared" si="634"/>
        <v>-5.6763250107300038</v>
      </c>
      <c r="BJ112" s="5">
        <f t="shared" si="752"/>
        <v>3.8641783362365247</v>
      </c>
      <c r="BK112" s="8">
        <f t="shared" si="753"/>
        <v>-1.2900465986914811</v>
      </c>
      <c r="BL112" s="173">
        <f t="shared" si="754"/>
        <v>-5.1047548173518722</v>
      </c>
      <c r="BM112" s="5">
        <f t="shared" si="755"/>
        <v>2.8207964257587257</v>
      </c>
      <c r="BN112" s="6">
        <f t="shared" si="756"/>
        <v>-2.0546783420355457</v>
      </c>
      <c r="BO112" s="4">
        <f t="shared" si="635"/>
        <v>0.82055317563317276</v>
      </c>
      <c r="BP112" s="5">
        <f t="shared" si="734"/>
        <v>0.5536284998723795</v>
      </c>
      <c r="BQ112" s="5">
        <f t="shared" si="636"/>
        <v>-0.14208437664773044</v>
      </c>
      <c r="BR112" s="6">
        <f t="shared" si="637"/>
        <v>2.335111791128929</v>
      </c>
      <c r="BS112" s="4">
        <f t="shared" si="839"/>
        <v>0</v>
      </c>
      <c r="BT112" s="5">
        <f t="shared" si="839"/>
        <v>0</v>
      </c>
      <c r="BU112" s="10">
        <f t="shared" si="613"/>
        <v>-1.3010663368057809</v>
      </c>
      <c r="BV112" s="9">
        <f t="shared" si="614"/>
        <v>0</v>
      </c>
      <c r="BW112" s="5">
        <f t="shared" si="615"/>
        <v>1</v>
      </c>
      <c r="BX112" s="8">
        <f t="shared" si="616"/>
        <v>-1.3010663368057809</v>
      </c>
      <c r="BY112" s="173">
        <f t="shared" si="617"/>
        <v>1</v>
      </c>
      <c r="BZ112" s="5">
        <f t="shared" si="618"/>
        <v>0</v>
      </c>
      <c r="CA112" s="6">
        <f t="shared" si="619"/>
        <v>-1.3010663368057809</v>
      </c>
      <c r="CB112" s="4">
        <f t="shared" si="638"/>
        <v>0</v>
      </c>
      <c r="CC112" s="5">
        <f t="shared" si="639"/>
        <v>0</v>
      </c>
      <c r="CD112" s="5">
        <f t="shared" si="640"/>
        <v>-1</v>
      </c>
      <c r="CE112" s="6">
        <f t="shared" si="641"/>
        <v>-1.3010663368057809</v>
      </c>
      <c r="CF112" s="4">
        <f t="shared" si="642"/>
        <v>-0.5536284998723795</v>
      </c>
      <c r="CG112" s="5">
        <f t="shared" si="643"/>
        <v>0.82055317563317276</v>
      </c>
      <c r="CH112" s="5">
        <f t="shared" si="644"/>
        <v>0</v>
      </c>
      <c r="CI112" s="4">
        <f t="shared" si="620"/>
        <v>0</v>
      </c>
      <c r="CJ112" s="5">
        <f t="shared" si="621"/>
        <v>-4.5517400046280496</v>
      </c>
      <c r="CK112" s="8">
        <f t="shared" si="622"/>
        <v>-1.3010663368057809</v>
      </c>
      <c r="CL112" s="173">
        <f t="shared" si="623"/>
        <v>-0.5536284998723795</v>
      </c>
      <c r="CM112" s="5">
        <f t="shared" si="624"/>
        <v>-3.7311868289948769</v>
      </c>
      <c r="CN112" s="6">
        <f t="shared" si="625"/>
        <v>-1.3010663368057809</v>
      </c>
      <c r="CO112" s="167">
        <f t="shared" si="757"/>
        <v>0.3125</v>
      </c>
      <c r="CP112" s="4">
        <f t="shared" si="645"/>
        <v>0.97981202991262573</v>
      </c>
      <c r="CQ112" s="5">
        <f t="shared" si="646"/>
        <v>-19.688611496460418</v>
      </c>
      <c r="CR112" s="5">
        <f t="shared" si="647"/>
        <v>99.745304884840067</v>
      </c>
      <c r="CS112" s="8">
        <f t="shared" si="648"/>
        <v>-3.285175955322245</v>
      </c>
      <c r="CT112" s="9" t="e">
        <f t="shared" si="649"/>
        <v>#NUM!</v>
      </c>
      <c r="CU112" s="6" t="e">
        <f t="shared" si="650"/>
        <v>#NUM!</v>
      </c>
      <c r="CV112" s="4" t="e">
        <f t="shared" si="651"/>
        <v>#NUM!</v>
      </c>
      <c r="CW112" s="5" t="e">
        <f t="shared" si="652"/>
        <v>#NUM!</v>
      </c>
      <c r="CX112" s="8" t="e">
        <f t="shared" si="653"/>
        <v>#NUM!</v>
      </c>
      <c r="CY112" s="9" t="e">
        <f t="shared" si="654"/>
        <v>#NUM!</v>
      </c>
      <c r="CZ112" s="5" t="e">
        <f t="shared" si="655"/>
        <v>#NUM!</v>
      </c>
      <c r="DA112" s="6" t="e">
        <f t="shared" si="656"/>
        <v>#NUM!</v>
      </c>
      <c r="DB112" s="4">
        <f t="shared" si="843"/>
        <v>0</v>
      </c>
      <c r="DC112" s="5">
        <f t="shared" si="843"/>
        <v>0</v>
      </c>
      <c r="DD112" s="10">
        <f t="shared" si="658"/>
        <v>-10</v>
      </c>
      <c r="DE112" s="9">
        <f t="shared" si="844"/>
        <v>0</v>
      </c>
      <c r="DF112" s="5">
        <f t="shared" si="844"/>
        <v>0</v>
      </c>
      <c r="DG112" s="10">
        <f t="shared" si="660"/>
        <v>10</v>
      </c>
      <c r="DH112" s="70">
        <f t="shared" si="661"/>
        <v>4.5156999999999998</v>
      </c>
      <c r="DI112" s="4">
        <f t="shared" si="662"/>
        <v>0</v>
      </c>
      <c r="DJ112" s="5">
        <f t="shared" si="663"/>
        <v>0</v>
      </c>
      <c r="DK112" s="10">
        <f t="shared" si="664"/>
        <v>20</v>
      </c>
      <c r="DL112" s="9" t="e">
        <f t="shared" si="665"/>
        <v>#NUM!</v>
      </c>
      <c r="DM112" s="173" t="e">
        <f t="shared" si="666"/>
        <v>#NUM!</v>
      </c>
      <c r="DN112" s="178" t="e">
        <f t="shared" si="667"/>
        <v>#NUM!</v>
      </c>
      <c r="DO112" s="9" t="e">
        <f t="shared" si="668"/>
        <v>#NUM!</v>
      </c>
      <c r="DP112" s="173" t="e">
        <f t="shared" si="669"/>
        <v>#NUM!</v>
      </c>
      <c r="DQ112" s="11" t="e">
        <f t="shared" si="670"/>
        <v>#NUM!</v>
      </c>
      <c r="DR112" s="173" t="e">
        <f t="shared" si="671"/>
        <v>#NUM!</v>
      </c>
      <c r="DS112" s="5" t="e">
        <f t="shared" si="672"/>
        <v>#NUM!</v>
      </c>
      <c r="DT112" s="5">
        <f t="shared" si="673"/>
        <v>400</v>
      </c>
      <c r="DU112" s="5" t="e">
        <f t="shared" si="674"/>
        <v>#NUM!</v>
      </c>
      <c r="DV112" s="5" t="e">
        <f t="shared" si="675"/>
        <v>#NUM!</v>
      </c>
      <c r="DW112" s="5" t="e">
        <f t="shared" si="676"/>
        <v>#NUM!</v>
      </c>
      <c r="DX112" s="167" t="e">
        <f t="shared" si="677"/>
        <v>#NUM!</v>
      </c>
      <c r="DY112" s="9" t="e">
        <f t="shared" si="678"/>
        <v>#NUM!</v>
      </c>
      <c r="DZ112" s="5" t="e">
        <f t="shared" si="679"/>
        <v>#NUM!</v>
      </c>
      <c r="EA112" s="10" t="e">
        <f t="shared" si="680"/>
        <v>#NUM!</v>
      </c>
      <c r="EB112" s="6" t="e">
        <f t="shared" si="681"/>
        <v>#NUM!</v>
      </c>
      <c r="EC112" s="173" t="e">
        <f t="shared" si="682"/>
        <v>#NUM!</v>
      </c>
      <c r="ED112" s="5" t="e">
        <f t="shared" si="683"/>
        <v>#NUM!</v>
      </c>
      <c r="EE112" s="4" t="e">
        <f t="shared" si="684"/>
        <v>#NUM!</v>
      </c>
      <c r="EF112" s="5" t="e">
        <f t="shared" si="685"/>
        <v>#NUM!</v>
      </c>
      <c r="EG112" s="10" t="e">
        <f t="shared" si="686"/>
        <v>#NUM!</v>
      </c>
      <c r="EH112" s="9" t="e">
        <f t="shared" si="687"/>
        <v>#NUM!</v>
      </c>
      <c r="EI112" s="5" t="e">
        <f t="shared" si="688"/>
        <v>#NUM!</v>
      </c>
      <c r="EJ112" s="6" t="e">
        <f t="shared" si="689"/>
        <v>#NUM!</v>
      </c>
      <c r="EK112" s="236" t="e">
        <f t="shared" si="690"/>
        <v>#NUM!</v>
      </c>
      <c r="EL112" s="238" t="e">
        <f t="shared" si="691"/>
        <v>#NUM!</v>
      </c>
      <c r="EM112" s="4" t="e">
        <f t="shared" si="692"/>
        <v>#NUM!</v>
      </c>
      <c r="EN112" s="5" t="e">
        <f t="shared" si="693"/>
        <v>#NUM!</v>
      </c>
      <c r="EO112" s="10" t="e">
        <f t="shared" si="694"/>
        <v>#NUM!</v>
      </c>
      <c r="EP112" s="9" t="e">
        <f t="shared" si="695"/>
        <v>#NUM!</v>
      </c>
      <c r="EQ112" s="5" t="e">
        <f t="shared" si="696"/>
        <v>#NUM!</v>
      </c>
      <c r="ER112" s="7" t="e">
        <f t="shared" si="697"/>
        <v>#NUM!</v>
      </c>
      <c r="ES112" s="21">
        <f t="shared" si="758"/>
        <v>0.8205531756331732</v>
      </c>
      <c r="ET112" s="5">
        <f t="shared" si="759"/>
        <v>0.55362849987237917</v>
      </c>
      <c r="EU112" s="10">
        <f t="shared" si="760"/>
        <v>-0.14208437664772949</v>
      </c>
      <c r="EV112" s="174" t="e">
        <f t="shared" si="761"/>
        <v>#NUM!</v>
      </c>
      <c r="EW112" s="9" t="e">
        <f t="shared" si="762"/>
        <v>#NUM!</v>
      </c>
      <c r="EX112" s="5" t="e">
        <f t="shared" si="763"/>
        <v>#NUM!</v>
      </c>
      <c r="EY112" s="6">
        <f t="shared" si="698"/>
        <v>-0.14208437664772949</v>
      </c>
      <c r="EZ112" s="51" t="e">
        <f t="shared" si="699"/>
        <v>#NUM!</v>
      </c>
      <c r="FA112" s="173" t="e">
        <f t="shared" si="764"/>
        <v>#NUM!</v>
      </c>
      <c r="FB112" s="5" t="e">
        <f t="shared" si="765"/>
        <v>#NUM!</v>
      </c>
      <c r="FC112" s="6" t="e">
        <f t="shared" si="766"/>
        <v>#NUM!</v>
      </c>
      <c r="FD112" s="4" t="e">
        <f t="shared" si="767"/>
        <v>#NUM!</v>
      </c>
      <c r="FE112" s="5" t="e">
        <f t="shared" si="768"/>
        <v>#NUM!</v>
      </c>
      <c r="FF112" s="7" t="e">
        <f t="shared" si="700"/>
        <v>#NUM!</v>
      </c>
      <c r="FG112" s="173" t="e">
        <f t="shared" si="769"/>
        <v>#NUM!</v>
      </c>
      <c r="FH112" s="5" t="e">
        <f t="shared" si="770"/>
        <v>#NUM!</v>
      </c>
      <c r="FI112" s="10" t="e">
        <f t="shared" si="771"/>
        <v>#NUM!</v>
      </c>
      <c r="FJ112" s="279" t="e">
        <f t="shared" si="701"/>
        <v>#NUM!</v>
      </c>
      <c r="FK112" s="4">
        <f t="shared" si="772"/>
        <v>0.98985454987721611</v>
      </c>
      <c r="FL112" s="5" t="e">
        <f t="shared" si="626"/>
        <v>#NUM!</v>
      </c>
      <c r="FM112" s="8" t="e">
        <f t="shared" si="627"/>
        <v>#NUM!</v>
      </c>
      <c r="FN112" s="9" t="e">
        <f t="shared" si="628"/>
        <v>#NUM!</v>
      </c>
      <c r="FO112" s="10" t="e">
        <f t="shared" si="773"/>
        <v>#NUM!</v>
      </c>
      <c r="FP112" s="277" t="e">
        <f t="shared" si="629"/>
        <v>#NUM!</v>
      </c>
      <c r="FQ112" s="173" t="e">
        <f t="shared" si="702"/>
        <v>#NUM!</v>
      </c>
      <c r="FR112" s="10" t="e">
        <f t="shared" si="703"/>
        <v>#NUM!</v>
      </c>
      <c r="FS112" s="9" t="e">
        <f t="shared" si="704"/>
        <v>#NUM!</v>
      </c>
      <c r="FT112" s="6" t="e">
        <f t="shared" si="705"/>
        <v>#NUM!</v>
      </c>
      <c r="FU112" s="4" t="e">
        <f t="shared" si="706"/>
        <v>#NUM!</v>
      </c>
      <c r="FV112" s="5" t="e">
        <f t="shared" si="707"/>
        <v>#NUM!</v>
      </c>
      <c r="FW112" s="8" t="e">
        <f t="shared" si="708"/>
        <v>#NUM!</v>
      </c>
      <c r="FX112" s="9" t="e">
        <f t="shared" si="709"/>
        <v>#NUM!</v>
      </c>
      <c r="FY112" s="10" t="e">
        <f t="shared" si="774"/>
        <v>#NUM!</v>
      </c>
      <c r="FZ112" s="277" t="e">
        <f t="shared" si="710"/>
        <v>#NUM!</v>
      </c>
      <c r="GA112" s="177" t="e">
        <f t="shared" si="711"/>
        <v>#NUM!</v>
      </c>
      <c r="GB112" s="4" t="e">
        <f t="shared" si="712"/>
        <v>#NUM!</v>
      </c>
      <c r="GC112" s="5" t="e">
        <f t="shared" si="713"/>
        <v>#NUM!</v>
      </c>
      <c r="GD112" s="10" t="e">
        <f t="shared" si="714"/>
        <v>#NUM!</v>
      </c>
      <c r="GE112" s="311" t="e">
        <f t="shared" si="715"/>
        <v>#NUM!</v>
      </c>
      <c r="GF112" s="341" t="e">
        <f t="shared" si="716"/>
        <v>#NUM!</v>
      </c>
      <c r="GG112" s="285" t="e">
        <f t="shared" si="775"/>
        <v>#NUM!</v>
      </c>
      <c r="GH112" s="286" t="e">
        <f t="shared" si="776"/>
        <v>#NUM!</v>
      </c>
      <c r="GI112" s="281" t="e">
        <f t="shared" si="777"/>
        <v>#NUM!</v>
      </c>
      <c r="GJ112" s="167">
        <f t="shared" si="717"/>
        <v>4.5156999999999998</v>
      </c>
      <c r="GK112" s="174">
        <f t="shared" si="778"/>
        <v>2.3645067725210347</v>
      </c>
      <c r="GL112" s="174">
        <f t="shared" si="718"/>
        <v>1.7399999999999999E-2</v>
      </c>
      <c r="GM112" s="177">
        <f t="shared" si="719"/>
        <v>0.49370901410239199</v>
      </c>
      <c r="GN112" s="280">
        <f t="shared" si="720"/>
        <v>5.6259318707383169E-2</v>
      </c>
      <c r="GO112" s="4" t="e">
        <f t="shared" si="721"/>
        <v>#NUM!</v>
      </c>
      <c r="GP112" s="8" t="e">
        <f t="shared" si="722"/>
        <v>#NUM!</v>
      </c>
      <c r="GQ112" s="177" t="e">
        <f t="shared" si="723"/>
        <v>#NUM!</v>
      </c>
      <c r="GR112" s="371" t="e">
        <f t="shared" si="724"/>
        <v>#NUM!</v>
      </c>
      <c r="GS112" s="342" t="e">
        <f t="shared" si="779"/>
        <v>#NUM!</v>
      </c>
      <c r="GT112" s="343" t="e">
        <f t="shared" si="780"/>
        <v>#NUM!</v>
      </c>
      <c r="GU112" s="344">
        <f t="shared" si="781"/>
        <v>1213.701326335047</v>
      </c>
      <c r="GV112" s="343">
        <f t="shared" si="725"/>
        <v>513.29999999999995</v>
      </c>
      <c r="GW112" s="345">
        <f t="shared" si="782"/>
        <v>29500</v>
      </c>
      <c r="GX112" s="346">
        <f t="shared" si="783"/>
        <v>193.15906749999996</v>
      </c>
      <c r="GY112" s="344" t="e">
        <f t="shared" si="784"/>
        <v>#NUM!</v>
      </c>
      <c r="GZ112" s="345" t="e">
        <f t="shared" si="785"/>
        <v>#NUM!</v>
      </c>
      <c r="HA112" s="342" t="e">
        <f t="shared" si="786"/>
        <v>#NUM!</v>
      </c>
      <c r="HB112" s="5" t="e">
        <f t="shared" si="726"/>
        <v>#NUM!</v>
      </c>
      <c r="HC112" s="343" t="e">
        <f t="shared" si="727"/>
        <v>#NUM!</v>
      </c>
      <c r="HD112" s="363" t="e">
        <f t="shared" si="728"/>
        <v>#NUM!</v>
      </c>
      <c r="HE112" s="344" t="e">
        <f t="shared" si="787"/>
        <v>#NUM!</v>
      </c>
      <c r="HF112" s="5" t="e">
        <f t="shared" si="788"/>
        <v>#NUM!</v>
      </c>
      <c r="HG112" s="343" t="e">
        <f t="shared" si="729"/>
        <v>#NUM!</v>
      </c>
      <c r="HH112" s="349" t="e">
        <f t="shared" si="730"/>
        <v>#NUM!</v>
      </c>
      <c r="HI112" s="317">
        <f t="shared" si="789"/>
        <v>6.13</v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>
        <f t="shared" si="731"/>
        <v>6.13</v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>
        <f t="shared" si="807"/>
        <v>1613</v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>
        <f t="shared" si="736"/>
        <v>0</v>
      </c>
      <c r="B113" s="578">
        <f t="shared" si="515"/>
        <v>-5.8317667890985279</v>
      </c>
      <c r="C113" s="572">
        <f t="shared" si="516"/>
        <v>3.7526307101169007</v>
      </c>
      <c r="D113" s="576">
        <f t="shared" si="517"/>
        <v>-2.9705585618466226</v>
      </c>
      <c r="E113" s="580">
        <f t="shared" si="518"/>
        <v>-0.85741954830871925</v>
      </c>
      <c r="F113" s="572">
        <f t="shared" si="519"/>
        <v>-0.50591264423791926</v>
      </c>
      <c r="G113" s="579">
        <f t="shared" si="520"/>
        <v>9.4255581151825335E-2</v>
      </c>
      <c r="H113" s="580">
        <f t="shared" si="521"/>
        <v>0.3125</v>
      </c>
      <c r="I113" s="572">
        <f t="shared" si="522"/>
        <v>0.52</v>
      </c>
      <c r="J113" s="483">
        <f t="shared" si="523"/>
        <v>6.133</v>
      </c>
      <c r="K113" s="806">
        <f t="shared" si="524"/>
        <v>1613</v>
      </c>
      <c r="L113" s="309"/>
      <c r="M113" s="164">
        <f t="shared" si="737"/>
        <v>6.133</v>
      </c>
      <c r="N113" s="575">
        <f t="shared" si="738"/>
        <v>-5.8317667890985279</v>
      </c>
      <c r="O113" s="572">
        <f t="shared" si="739"/>
        <v>3.7526307101169007</v>
      </c>
      <c r="P113" s="576">
        <f t="shared" si="740"/>
        <v>-2.9705585618466226</v>
      </c>
      <c r="Q113" s="528">
        <f t="shared" si="609"/>
        <v>147.23949173563992</v>
      </c>
      <c r="R113" s="572">
        <f t="shared" si="820"/>
        <v>6.9348209154198805</v>
      </c>
      <c r="S113" s="577">
        <f t="shared" si="821"/>
        <v>-2.9705585618466226</v>
      </c>
      <c r="T113" s="578">
        <f t="shared" si="822"/>
        <v>3.752630870423757</v>
      </c>
      <c r="U113" s="572">
        <f t="shared" si="823"/>
        <v>5.8317666859441202</v>
      </c>
      <c r="V113" s="579">
        <f t="shared" si="824"/>
        <v>-2.9705585618466226</v>
      </c>
      <c r="W113" s="528">
        <f t="shared" si="735"/>
        <v>57.239490160661575</v>
      </c>
      <c r="X113" s="572">
        <f t="shared" si="825"/>
        <v>6.9348209154198805</v>
      </c>
      <c r="Y113" s="573">
        <f t="shared" si="733"/>
        <v>-2.9705585618466226</v>
      </c>
      <c r="Z113" s="575">
        <f t="shared" si="741"/>
        <v>0.85741954830871925</v>
      </c>
      <c r="AA113" s="572">
        <f t="shared" si="742"/>
        <v>0.50591264423791926</v>
      </c>
      <c r="AB113" s="572">
        <f t="shared" si="743"/>
        <v>-9.4255581151825335E-2</v>
      </c>
      <c r="AC113" s="579">
        <f t="shared" si="826"/>
        <v>1</v>
      </c>
      <c r="AD113" s="580">
        <f t="shared" si="827"/>
        <v>0.85741954830871925</v>
      </c>
      <c r="AE113" s="572">
        <f t="shared" si="828"/>
        <v>0.50591264423791926</v>
      </c>
      <c r="AF113" s="576">
        <f t="shared" si="829"/>
        <v>-9.4255581151825335E-2</v>
      </c>
      <c r="AG113" s="545">
        <f t="shared" si="830"/>
        <v>79.446335105161609</v>
      </c>
      <c r="AH113" s="546">
        <f t="shared" si="831"/>
        <v>30.971927087356601</v>
      </c>
      <c r="AI113" s="528">
        <f t="shared" si="832"/>
        <v>-84.59152450110463</v>
      </c>
      <c r="AJ113" s="529">
        <f t="shared" si="833"/>
        <v>120.54234521047167</v>
      </c>
      <c r="AK113" s="578">
        <f t="shared" si="834"/>
        <v>0.88941640462191063</v>
      </c>
      <c r="AL113" s="572">
        <f t="shared" si="835"/>
        <v>-0.44727435049549319</v>
      </c>
      <c r="AM113" s="577">
        <f t="shared" si="836"/>
        <v>-9.4255581151825335E-2</v>
      </c>
      <c r="AN113" s="524">
        <f t="shared" si="837"/>
        <v>-78.099988723756766</v>
      </c>
      <c r="AO113" s="525">
        <f t="shared" si="525"/>
        <v>27.199996072806467</v>
      </c>
      <c r="AP113" s="528">
        <f t="shared" si="838"/>
        <v>-26.69714652516825</v>
      </c>
      <c r="AQ113" s="529">
        <f t="shared" si="744"/>
        <v>0.32873258655549775</v>
      </c>
      <c r="AS113" s="932">
        <f t="shared" si="842"/>
        <v>-302.7605098393384</v>
      </c>
      <c r="AT113" s="928">
        <f t="shared" si="745"/>
        <v>-2.7603081972896342</v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>
        <f t="shared" si="731"/>
        <v>6.133</v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>
        <f t="shared" si="807"/>
        <v>1613</v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>
        <f t="shared" si="736"/>
        <v>0</v>
      </c>
      <c r="B114" s="578">
        <f t="shared" si="515"/>
        <v>-5.9337259555835518</v>
      </c>
      <c r="C114" s="572">
        <f t="shared" si="516"/>
        <v>3.8445207646601816</v>
      </c>
      <c r="D114" s="576">
        <f t="shared" si="517"/>
        <v>-3.7099607918837489</v>
      </c>
      <c r="E114" s="580">
        <f t="shared" si="518"/>
        <v>-0.88901442959639865</v>
      </c>
      <c r="F114" s="572">
        <f t="shared" si="519"/>
        <v>-0.45486838993085804</v>
      </c>
      <c r="G114" s="579">
        <f t="shared" si="520"/>
        <v>5.2422245383987522E-2</v>
      </c>
      <c r="H114" s="580">
        <f t="shared" si="521"/>
        <v>0.3125</v>
      </c>
      <c r="I114" s="572">
        <f t="shared" si="522"/>
        <v>0.52</v>
      </c>
      <c r="J114" s="483">
        <f t="shared" si="523"/>
        <v>6.1360000000000001</v>
      </c>
      <c r="K114" s="806">
        <f t="shared" si="524"/>
        <v>1613</v>
      </c>
      <c r="L114" s="309"/>
      <c r="M114" s="164">
        <f t="shared" si="737"/>
        <v>6.1360000000000001</v>
      </c>
      <c r="N114" s="575">
        <f t="shared" si="738"/>
        <v>-5.9337259555835518</v>
      </c>
      <c r="O114" s="572">
        <f t="shared" si="739"/>
        <v>3.8445207646601816</v>
      </c>
      <c r="P114" s="576">
        <f t="shared" si="740"/>
        <v>-3.7099607918837489</v>
      </c>
      <c r="Q114" s="528">
        <f t="shared" si="609"/>
        <v>147.06039176149875</v>
      </c>
      <c r="R114" s="572">
        <f t="shared" si="820"/>
        <v>7.0703213240891136</v>
      </c>
      <c r="S114" s="577">
        <f t="shared" si="821"/>
        <v>-3.7099607918837489</v>
      </c>
      <c r="T114" s="578">
        <f t="shared" si="822"/>
        <v>3.844520927769747</v>
      </c>
      <c r="U114" s="572">
        <f t="shared" si="823"/>
        <v>5.9337258499032197</v>
      </c>
      <c r="V114" s="579">
        <f t="shared" si="824"/>
        <v>-3.7099607918837489</v>
      </c>
      <c r="W114" s="528">
        <f t="shared" si="735"/>
        <v>57.060390186520408</v>
      </c>
      <c r="X114" s="572">
        <f t="shared" si="825"/>
        <v>7.0703213240891136</v>
      </c>
      <c r="Y114" s="573">
        <f t="shared" si="733"/>
        <v>-3.7099607918837489</v>
      </c>
      <c r="Z114" s="575">
        <f t="shared" si="741"/>
        <v>0.88901442959639865</v>
      </c>
      <c r="AA114" s="572">
        <f t="shared" si="742"/>
        <v>0.45486838993085804</v>
      </c>
      <c r="AB114" s="572">
        <f t="shared" si="743"/>
        <v>-5.2422245383987522E-2</v>
      </c>
      <c r="AC114" s="579">
        <f t="shared" si="826"/>
        <v>1</v>
      </c>
      <c r="AD114" s="580">
        <f t="shared" si="827"/>
        <v>0.88901442959639865</v>
      </c>
      <c r="AE114" s="572">
        <f t="shared" si="828"/>
        <v>0.45486838993085804</v>
      </c>
      <c r="AF114" s="576">
        <f t="shared" si="829"/>
        <v>-5.2422245383987522E-2</v>
      </c>
      <c r="AG114" s="545">
        <f t="shared" si="830"/>
        <v>83.42583316492977</v>
      </c>
      <c r="AH114" s="546">
        <f t="shared" si="831"/>
        <v>27.250339348705012</v>
      </c>
      <c r="AI114" s="528">
        <f t="shared" si="832"/>
        <v>-86.995049200300983</v>
      </c>
      <c r="AJ114" s="529">
        <f t="shared" si="833"/>
        <v>117.09676804297403</v>
      </c>
      <c r="AK114" s="578">
        <f t="shared" si="834"/>
        <v>0.86515145860943843</v>
      </c>
      <c r="AL114" s="572">
        <f t="shared" si="835"/>
        <v>-0.49876333250837757</v>
      </c>
      <c r="AM114" s="577">
        <f t="shared" si="836"/>
        <v>-5.2422245383987522E-2</v>
      </c>
      <c r="AN114" s="524">
        <f t="shared" si="837"/>
        <v>-83.999987871902363</v>
      </c>
      <c r="AO114" s="525">
        <f t="shared" si="525"/>
        <v>30.099995654098326</v>
      </c>
      <c r="AP114" s="528">
        <f t="shared" si="838"/>
        <v>-29.963623718524712</v>
      </c>
      <c r="AQ114" s="529">
        <f t="shared" si="744"/>
        <v>0.32243266775809315</v>
      </c>
      <c r="AS114" s="932">
        <f t="shared" si="842"/>
        <v>-302.93960981347959</v>
      </c>
      <c r="AT114" s="928">
        <f t="shared" si="745"/>
        <v>-3.4995860523447182</v>
      </c>
      <c r="AU114" s="418"/>
      <c r="AV114" s="164">
        <f t="shared" si="746"/>
        <v>6.1360000000000001</v>
      </c>
      <c r="AW114" s="797">
        <f>IFERROR(INDEX(MassProp!C$9:C$150,MATCH($M114,MassProp!$B$9:$B$150,0)),"")</f>
        <v>4.8231999999999999</v>
      </c>
      <c r="AX114" s="744">
        <f>IFERROR(INDEX(MassProp!D$9:D$150,MATCH($M114,MassProp!$B$9:$B$150,0)),"")</f>
        <v>-1.6242000000000001</v>
      </c>
      <c r="AY114" s="731">
        <f>IFERROR(INDEX(MassProp!E$9:E$150,MATCH($M114,MassProp!$B$9:$B$150,0)),"")</f>
        <v>8.5000000000000006E-3</v>
      </c>
      <c r="AZ114" s="297">
        <f t="shared" si="633"/>
        <v>0.25760176956448433</v>
      </c>
      <c r="BA114" s="296">
        <f t="shared" si="747"/>
        <v>2.935433552871804E-2</v>
      </c>
      <c r="BB114" s="177">
        <f t="shared" si="610"/>
        <v>1.6253860523447181</v>
      </c>
      <c r="BC114" s="9"/>
      <c r="BD114" s="5">
        <f t="shared" si="611"/>
        <v>4.8231999999999999</v>
      </c>
      <c r="BE114" s="6">
        <f t="shared" si="748"/>
        <v>-2.0845747395390308</v>
      </c>
      <c r="BF114" s="4">
        <f t="shared" si="749"/>
        <v>-5.9337259555835518</v>
      </c>
      <c r="BG114" s="5">
        <f t="shared" si="750"/>
        <v>3.8445207646601816</v>
      </c>
      <c r="BH114" s="10">
        <f t="shared" si="751"/>
        <v>-3.7099607918837489</v>
      </c>
      <c r="BI114" s="9">
        <f t="shared" si="634"/>
        <v>-5.9337259555835518</v>
      </c>
      <c r="BJ114" s="5">
        <f t="shared" si="752"/>
        <v>3.9590100177476168</v>
      </c>
      <c r="BK114" s="8">
        <f t="shared" si="753"/>
        <v>-2.7165363051070832</v>
      </c>
      <c r="BL114" s="173">
        <f t="shared" si="754"/>
        <v>-5.4758467750463824</v>
      </c>
      <c r="BM114" s="5">
        <f t="shared" si="755"/>
        <v>2.9613520612013291</v>
      </c>
      <c r="BN114" s="6">
        <f t="shared" si="756"/>
        <v>-3.6081781938553048</v>
      </c>
      <c r="BO114" s="4">
        <f t="shared" si="635"/>
        <v>0.88901442959639887</v>
      </c>
      <c r="BP114" s="5">
        <f t="shared" si="734"/>
        <v>0.45486838993085899</v>
      </c>
      <c r="BQ114" s="5">
        <f t="shared" si="636"/>
        <v>-5.2422245383988653E-2</v>
      </c>
      <c r="BR114" s="6">
        <f t="shared" si="637"/>
        <v>3.3319325505106239</v>
      </c>
      <c r="BS114" s="4">
        <f t="shared" si="839"/>
        <v>0</v>
      </c>
      <c r="BT114" s="5">
        <f t="shared" si="839"/>
        <v>0</v>
      </c>
      <c r="BU114" s="10">
        <f t="shared" si="613"/>
        <v>-2.0845747395390308</v>
      </c>
      <c r="BV114" s="9">
        <f t="shared" si="614"/>
        <v>0</v>
      </c>
      <c r="BW114" s="5">
        <f t="shared" si="615"/>
        <v>1</v>
      </c>
      <c r="BX114" s="8">
        <f t="shared" si="616"/>
        <v>-2.0845747395390308</v>
      </c>
      <c r="BY114" s="173">
        <f t="shared" si="617"/>
        <v>1</v>
      </c>
      <c r="BZ114" s="5">
        <f t="shared" si="618"/>
        <v>0</v>
      </c>
      <c r="CA114" s="6">
        <f t="shared" si="619"/>
        <v>-2.0845747395390308</v>
      </c>
      <c r="CB114" s="4">
        <f t="shared" si="638"/>
        <v>0</v>
      </c>
      <c r="CC114" s="5">
        <f t="shared" si="639"/>
        <v>0</v>
      </c>
      <c r="CD114" s="5">
        <f t="shared" si="640"/>
        <v>-1</v>
      </c>
      <c r="CE114" s="6">
        <f t="shared" si="641"/>
        <v>-2.0845747395390308</v>
      </c>
      <c r="CF114" s="4">
        <f t="shared" si="642"/>
        <v>-0.45486838993085899</v>
      </c>
      <c r="CG114" s="5">
        <f t="shared" si="643"/>
        <v>0.88901442959639887</v>
      </c>
      <c r="CH114" s="5">
        <f t="shared" si="644"/>
        <v>0</v>
      </c>
      <c r="CI114" s="4">
        <f t="shared" si="620"/>
        <v>0</v>
      </c>
      <c r="CJ114" s="5">
        <f t="shared" si="621"/>
        <v>-7.5652885872132707</v>
      </c>
      <c r="CK114" s="8">
        <f t="shared" si="622"/>
        <v>-2.0845747395390308</v>
      </c>
      <c r="CL114" s="173">
        <f t="shared" si="623"/>
        <v>-0.45486838993085899</v>
      </c>
      <c r="CM114" s="5">
        <f t="shared" si="624"/>
        <v>-6.6762741576168718</v>
      </c>
      <c r="CN114" s="6">
        <f t="shared" si="625"/>
        <v>-2.0845747395390308</v>
      </c>
      <c r="CO114" s="167">
        <f t="shared" si="757"/>
        <v>0.3125</v>
      </c>
      <c r="CP114" s="4">
        <f t="shared" si="645"/>
        <v>0.99725190818890241</v>
      </c>
      <c r="CQ114" s="5">
        <f t="shared" si="646"/>
        <v>-25.685099048933346</v>
      </c>
      <c r="CR114" s="5">
        <f t="shared" si="647"/>
        <v>167.93707673122157</v>
      </c>
      <c r="CS114" s="8">
        <f t="shared" si="648"/>
        <v>-10.177967749990671</v>
      </c>
      <c r="CT114" s="9" t="e">
        <f t="shared" si="649"/>
        <v>#NUM!</v>
      </c>
      <c r="CU114" s="6" t="e">
        <f t="shared" si="650"/>
        <v>#NUM!</v>
      </c>
      <c r="CV114" s="4" t="e">
        <f t="shared" si="651"/>
        <v>#NUM!</v>
      </c>
      <c r="CW114" s="5" t="e">
        <f t="shared" si="652"/>
        <v>#NUM!</v>
      </c>
      <c r="CX114" s="8" t="e">
        <f t="shared" si="653"/>
        <v>#NUM!</v>
      </c>
      <c r="CY114" s="9" t="e">
        <f t="shared" si="654"/>
        <v>#NUM!</v>
      </c>
      <c r="CZ114" s="5" t="e">
        <f t="shared" si="655"/>
        <v>#NUM!</v>
      </c>
      <c r="DA114" s="6" t="e">
        <f t="shared" si="656"/>
        <v>#NUM!</v>
      </c>
      <c r="DB114" s="4">
        <f t="shared" si="843"/>
        <v>0</v>
      </c>
      <c r="DC114" s="5">
        <f t="shared" si="843"/>
        <v>0</v>
      </c>
      <c r="DD114" s="10">
        <f t="shared" si="658"/>
        <v>-10</v>
      </c>
      <c r="DE114" s="9">
        <f t="shared" si="844"/>
        <v>0</v>
      </c>
      <c r="DF114" s="5">
        <f t="shared" si="844"/>
        <v>0</v>
      </c>
      <c r="DG114" s="10">
        <f t="shared" si="660"/>
        <v>10</v>
      </c>
      <c r="DH114" s="70">
        <f t="shared" si="661"/>
        <v>4.8231999999999999</v>
      </c>
      <c r="DI114" s="4">
        <f t="shared" si="662"/>
        <v>0</v>
      </c>
      <c r="DJ114" s="5">
        <f t="shared" si="663"/>
        <v>0</v>
      </c>
      <c r="DK114" s="10">
        <f t="shared" si="664"/>
        <v>20</v>
      </c>
      <c r="DL114" s="9" t="e">
        <f t="shared" si="665"/>
        <v>#NUM!</v>
      </c>
      <c r="DM114" s="173" t="e">
        <f t="shared" si="666"/>
        <v>#NUM!</v>
      </c>
      <c r="DN114" s="178" t="e">
        <f t="shared" si="667"/>
        <v>#NUM!</v>
      </c>
      <c r="DO114" s="9" t="e">
        <f t="shared" si="668"/>
        <v>#NUM!</v>
      </c>
      <c r="DP114" s="173" t="e">
        <f t="shared" si="669"/>
        <v>#NUM!</v>
      </c>
      <c r="DQ114" s="11" t="e">
        <f t="shared" si="670"/>
        <v>#NUM!</v>
      </c>
      <c r="DR114" s="173" t="e">
        <f t="shared" si="671"/>
        <v>#NUM!</v>
      </c>
      <c r="DS114" s="5" t="e">
        <f t="shared" si="672"/>
        <v>#NUM!</v>
      </c>
      <c r="DT114" s="5">
        <f t="shared" si="673"/>
        <v>400</v>
      </c>
      <c r="DU114" s="5" t="e">
        <f t="shared" si="674"/>
        <v>#NUM!</v>
      </c>
      <c r="DV114" s="5" t="e">
        <f t="shared" si="675"/>
        <v>#NUM!</v>
      </c>
      <c r="DW114" s="5" t="e">
        <f t="shared" si="676"/>
        <v>#NUM!</v>
      </c>
      <c r="DX114" s="167" t="e">
        <f t="shared" si="677"/>
        <v>#NUM!</v>
      </c>
      <c r="DY114" s="9" t="e">
        <f t="shared" si="678"/>
        <v>#NUM!</v>
      </c>
      <c r="DZ114" s="5" t="e">
        <f t="shared" si="679"/>
        <v>#NUM!</v>
      </c>
      <c r="EA114" s="10" t="e">
        <f t="shared" si="680"/>
        <v>#NUM!</v>
      </c>
      <c r="EB114" s="6" t="e">
        <f t="shared" si="681"/>
        <v>#NUM!</v>
      </c>
      <c r="EC114" s="173" t="e">
        <f t="shared" si="682"/>
        <v>#NUM!</v>
      </c>
      <c r="ED114" s="5" t="e">
        <f t="shared" si="683"/>
        <v>#NUM!</v>
      </c>
      <c r="EE114" s="4" t="e">
        <f t="shared" si="684"/>
        <v>#NUM!</v>
      </c>
      <c r="EF114" s="5" t="e">
        <f t="shared" si="685"/>
        <v>#NUM!</v>
      </c>
      <c r="EG114" s="10" t="e">
        <f t="shared" si="686"/>
        <v>#NUM!</v>
      </c>
      <c r="EH114" s="9" t="e">
        <f t="shared" si="687"/>
        <v>#NUM!</v>
      </c>
      <c r="EI114" s="5" t="e">
        <f t="shared" si="688"/>
        <v>#NUM!</v>
      </c>
      <c r="EJ114" s="6" t="e">
        <f t="shared" si="689"/>
        <v>#NUM!</v>
      </c>
      <c r="EK114" s="236" t="e">
        <f t="shared" si="690"/>
        <v>#NUM!</v>
      </c>
      <c r="EL114" s="238" t="e">
        <f t="shared" si="691"/>
        <v>#NUM!</v>
      </c>
      <c r="EM114" s="4" t="e">
        <f t="shared" si="692"/>
        <v>#NUM!</v>
      </c>
      <c r="EN114" s="5" t="e">
        <f t="shared" si="693"/>
        <v>#NUM!</v>
      </c>
      <c r="EO114" s="10" t="e">
        <f t="shared" si="694"/>
        <v>#NUM!</v>
      </c>
      <c r="EP114" s="9" t="e">
        <f t="shared" si="695"/>
        <v>#NUM!</v>
      </c>
      <c r="EQ114" s="5" t="e">
        <f t="shared" si="696"/>
        <v>#NUM!</v>
      </c>
      <c r="ER114" s="7" t="e">
        <f t="shared" si="697"/>
        <v>#NUM!</v>
      </c>
      <c r="ES114" s="21">
        <f t="shared" si="758"/>
        <v>0.88901442959639865</v>
      </c>
      <c r="ET114" s="5">
        <f t="shared" si="759"/>
        <v>0.45486838993085804</v>
      </c>
      <c r="EU114" s="10">
        <f t="shared" si="760"/>
        <v>-5.2422245383987522E-2</v>
      </c>
      <c r="EV114" s="174" t="e">
        <f t="shared" si="761"/>
        <v>#NUM!</v>
      </c>
      <c r="EW114" s="9" t="e">
        <f t="shared" si="762"/>
        <v>#NUM!</v>
      </c>
      <c r="EX114" s="5" t="e">
        <f t="shared" si="763"/>
        <v>#NUM!</v>
      </c>
      <c r="EY114" s="6">
        <f t="shared" si="698"/>
        <v>-5.2422245383987522E-2</v>
      </c>
      <c r="EZ114" s="51" t="e">
        <f t="shared" si="699"/>
        <v>#NUM!</v>
      </c>
      <c r="FA114" s="173" t="e">
        <f t="shared" si="764"/>
        <v>#NUM!</v>
      </c>
      <c r="FB114" s="5" t="e">
        <f t="shared" si="765"/>
        <v>#NUM!</v>
      </c>
      <c r="FC114" s="6" t="e">
        <f t="shared" si="766"/>
        <v>#NUM!</v>
      </c>
      <c r="FD114" s="4" t="e">
        <f t="shared" si="767"/>
        <v>#NUM!</v>
      </c>
      <c r="FE114" s="5" t="e">
        <f t="shared" si="768"/>
        <v>#NUM!</v>
      </c>
      <c r="FF114" s="7" t="e">
        <f t="shared" si="700"/>
        <v>#NUM!</v>
      </c>
      <c r="FG114" s="173" t="e">
        <f t="shared" si="769"/>
        <v>#NUM!</v>
      </c>
      <c r="FH114" s="5" t="e">
        <f t="shared" si="770"/>
        <v>#NUM!</v>
      </c>
      <c r="FI114" s="10" t="e">
        <f t="shared" si="771"/>
        <v>#NUM!</v>
      </c>
      <c r="FJ114" s="279" t="e">
        <f t="shared" si="701"/>
        <v>#NUM!</v>
      </c>
      <c r="FK114" s="4">
        <f t="shared" si="772"/>
        <v>0.99862500879404237</v>
      </c>
      <c r="FL114" s="5" t="e">
        <f t="shared" si="626"/>
        <v>#NUM!</v>
      </c>
      <c r="FM114" s="8" t="e">
        <f t="shared" si="627"/>
        <v>#NUM!</v>
      </c>
      <c r="FN114" s="9" t="e">
        <f t="shared" si="628"/>
        <v>#NUM!</v>
      </c>
      <c r="FO114" s="10" t="e">
        <f t="shared" si="773"/>
        <v>#NUM!</v>
      </c>
      <c r="FP114" s="277" t="e">
        <f t="shared" si="629"/>
        <v>#NUM!</v>
      </c>
      <c r="FQ114" s="173" t="e">
        <f t="shared" si="702"/>
        <v>#NUM!</v>
      </c>
      <c r="FR114" s="10" t="e">
        <f t="shared" si="703"/>
        <v>#NUM!</v>
      </c>
      <c r="FS114" s="9" t="e">
        <f t="shared" si="704"/>
        <v>#NUM!</v>
      </c>
      <c r="FT114" s="6" t="e">
        <f t="shared" si="705"/>
        <v>#NUM!</v>
      </c>
      <c r="FU114" s="4" t="e">
        <f t="shared" si="706"/>
        <v>#NUM!</v>
      </c>
      <c r="FV114" s="5" t="e">
        <f t="shared" si="707"/>
        <v>#NUM!</v>
      </c>
      <c r="FW114" s="8" t="e">
        <f t="shared" si="708"/>
        <v>#NUM!</v>
      </c>
      <c r="FX114" s="9" t="e">
        <f t="shared" si="709"/>
        <v>#NUM!</v>
      </c>
      <c r="FY114" s="10" t="e">
        <f t="shared" si="774"/>
        <v>#NUM!</v>
      </c>
      <c r="FZ114" s="277" t="e">
        <f t="shared" si="710"/>
        <v>#NUM!</v>
      </c>
      <c r="GA114" s="177" t="e">
        <f t="shared" si="711"/>
        <v>#NUM!</v>
      </c>
      <c r="GB114" s="4" t="e">
        <f t="shared" si="712"/>
        <v>#NUM!</v>
      </c>
      <c r="GC114" s="5" t="e">
        <f t="shared" si="713"/>
        <v>#NUM!</v>
      </c>
      <c r="GD114" s="10" t="e">
        <f t="shared" si="714"/>
        <v>#NUM!</v>
      </c>
      <c r="GE114" s="311" t="e">
        <f t="shared" si="715"/>
        <v>#NUM!</v>
      </c>
      <c r="GF114" s="341" t="e">
        <f t="shared" si="716"/>
        <v>#NUM!</v>
      </c>
      <c r="GG114" s="285" t="e">
        <f t="shared" si="775"/>
        <v>#NUM!</v>
      </c>
      <c r="GH114" s="286" t="e">
        <f t="shared" si="776"/>
        <v>#NUM!</v>
      </c>
      <c r="GI114" s="281" t="e">
        <f t="shared" si="777"/>
        <v>#NUM!</v>
      </c>
      <c r="GJ114" s="167">
        <f t="shared" si="717"/>
        <v>4.8231999999999999</v>
      </c>
      <c r="GK114" s="174">
        <f t="shared" si="778"/>
        <v>2.5255075447498458</v>
      </c>
      <c r="GL114" s="174">
        <f t="shared" si="718"/>
        <v>8.5000000000000006E-3</v>
      </c>
      <c r="GM114" s="177">
        <f t="shared" si="719"/>
        <v>0.25760176956448433</v>
      </c>
      <c r="GN114" s="280">
        <f t="shared" si="720"/>
        <v>2.935433552871804E-2</v>
      </c>
      <c r="GO114" s="4" t="e">
        <f t="shared" si="721"/>
        <v>#NUM!</v>
      </c>
      <c r="GP114" s="8" t="e">
        <f t="shared" si="722"/>
        <v>#NUM!</v>
      </c>
      <c r="GQ114" s="177" t="e">
        <f t="shared" si="723"/>
        <v>#NUM!</v>
      </c>
      <c r="GR114" s="371" t="e">
        <f t="shared" si="724"/>
        <v>#NUM!</v>
      </c>
      <c r="GS114" s="342" t="e">
        <f t="shared" si="779"/>
        <v>#NUM!</v>
      </c>
      <c r="GT114" s="343" t="e">
        <f t="shared" si="780"/>
        <v>#NUM!</v>
      </c>
      <c r="GU114" s="344">
        <f t="shared" si="781"/>
        <v>633.27101684602394</v>
      </c>
      <c r="GV114" s="343">
        <f t="shared" si="725"/>
        <v>250.75000000000003</v>
      </c>
      <c r="GW114" s="345">
        <f t="shared" si="782"/>
        <v>29500</v>
      </c>
      <c r="GX114" s="346">
        <f t="shared" si="783"/>
        <v>100.78478333333334</v>
      </c>
      <c r="GY114" s="344" t="e">
        <f t="shared" si="784"/>
        <v>#NUM!</v>
      </c>
      <c r="GZ114" s="345" t="e">
        <f t="shared" si="785"/>
        <v>#NUM!</v>
      </c>
      <c r="HA114" s="342" t="e">
        <f t="shared" si="786"/>
        <v>#NUM!</v>
      </c>
      <c r="HB114" s="5" t="e">
        <f t="shared" si="726"/>
        <v>#NUM!</v>
      </c>
      <c r="HC114" s="343" t="e">
        <f t="shared" si="727"/>
        <v>#NUM!</v>
      </c>
      <c r="HD114" s="363" t="e">
        <f t="shared" si="728"/>
        <v>#NUM!</v>
      </c>
      <c r="HE114" s="344" t="e">
        <f t="shared" si="787"/>
        <v>#NUM!</v>
      </c>
      <c r="HF114" s="5" t="e">
        <f t="shared" si="788"/>
        <v>#NUM!</v>
      </c>
      <c r="HG114" s="343" t="e">
        <f t="shared" si="729"/>
        <v>#NUM!</v>
      </c>
      <c r="HH114" s="349" t="e">
        <f t="shared" si="730"/>
        <v>#NUM!</v>
      </c>
      <c r="HI114" s="317">
        <f t="shared" si="789"/>
        <v>6.1360000000000001</v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>
        <f t="shared" si="731"/>
        <v>6.1360000000000001</v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>
        <f t="shared" si="807"/>
        <v>1613</v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>
        <f t="shared" si="736"/>
        <v>0</v>
      </c>
      <c r="B115" s="578">
        <f t="shared" si="515"/>
        <v>-5.9820909039369008</v>
      </c>
      <c r="C115" s="572">
        <f t="shared" si="516"/>
        <v>3.8886621733226181</v>
      </c>
      <c r="D115" s="576">
        <f t="shared" si="517"/>
        <v>-4.4650630692722171</v>
      </c>
      <c r="E115" s="580">
        <f t="shared" si="518"/>
        <v>-0.90915054308349519</v>
      </c>
      <c r="F115" s="572">
        <f t="shared" si="519"/>
        <v>-0.41604758437383893</v>
      </c>
      <c r="G115" s="579">
        <f t="shared" si="520"/>
        <v>1.8700201808521031E-2</v>
      </c>
      <c r="H115" s="580">
        <f t="shared" si="521"/>
        <v>0.3125</v>
      </c>
      <c r="I115" s="572">
        <f t="shared" si="522"/>
        <v>0.52</v>
      </c>
      <c r="J115" s="483">
        <f t="shared" si="523"/>
        <v>6.1390000000000002</v>
      </c>
      <c r="K115" s="806">
        <f t="shared" si="524"/>
        <v>1613</v>
      </c>
      <c r="L115" s="309"/>
      <c r="M115" s="164">
        <f t="shared" si="737"/>
        <v>6.1390000000000002</v>
      </c>
      <c r="N115" s="575">
        <f t="shared" si="738"/>
        <v>-5.9820909039369008</v>
      </c>
      <c r="O115" s="572">
        <f t="shared" si="739"/>
        <v>3.8886621733226181</v>
      </c>
      <c r="P115" s="576">
        <f t="shared" si="740"/>
        <v>-4.4650630692722171</v>
      </c>
      <c r="Q115" s="528">
        <f t="shared" si="609"/>
        <v>146.97409177395892</v>
      </c>
      <c r="R115" s="572">
        <f t="shared" si="820"/>
        <v>7.134921518923302</v>
      </c>
      <c r="S115" s="577">
        <f t="shared" si="821"/>
        <v>-4.4650630692722171</v>
      </c>
      <c r="T115" s="578">
        <f t="shared" si="822"/>
        <v>3.8886623377616667</v>
      </c>
      <c r="U115" s="572">
        <f t="shared" si="823"/>
        <v>5.9820907970431847</v>
      </c>
      <c r="V115" s="579">
        <f t="shared" si="824"/>
        <v>-4.4650630692722171</v>
      </c>
      <c r="W115" s="528">
        <f t="shared" si="735"/>
        <v>56.974090198980576</v>
      </c>
      <c r="X115" s="572">
        <f t="shared" si="825"/>
        <v>7.134921518923302</v>
      </c>
      <c r="Y115" s="573">
        <f t="shared" si="733"/>
        <v>-4.4650630692722171</v>
      </c>
      <c r="Z115" s="575">
        <f t="shared" si="741"/>
        <v>0.90915054308349519</v>
      </c>
      <c r="AA115" s="572">
        <f t="shared" si="742"/>
        <v>0.41604758437383893</v>
      </c>
      <c r="AB115" s="572">
        <f t="shared" si="743"/>
        <v>-1.8700201808521031E-2</v>
      </c>
      <c r="AC115" s="579">
        <f t="shared" si="826"/>
        <v>1</v>
      </c>
      <c r="AD115" s="580">
        <f t="shared" si="827"/>
        <v>0.90915054308349519</v>
      </c>
      <c r="AE115" s="572">
        <f t="shared" si="828"/>
        <v>0.41604758437383893</v>
      </c>
      <c r="AF115" s="576">
        <f t="shared" si="829"/>
        <v>-1.8700201808521031E-2</v>
      </c>
      <c r="AG115" s="545">
        <f t="shared" si="830"/>
        <v>87.426443456297648</v>
      </c>
      <c r="AH115" s="546">
        <f t="shared" si="831"/>
        <v>24.611774428895902</v>
      </c>
      <c r="AI115" s="528">
        <f t="shared" si="832"/>
        <v>-88.928494903689327</v>
      </c>
      <c r="AJ115" s="529">
        <f t="shared" si="833"/>
        <v>114.58989002102777</v>
      </c>
      <c r="AK115" s="578">
        <f t="shared" si="834"/>
        <v>0.84432796925021414</v>
      </c>
      <c r="AL115" s="572">
        <f t="shared" si="835"/>
        <v>-0.53550031073205762</v>
      </c>
      <c r="AM115" s="577">
        <f t="shared" si="836"/>
        <v>-1.8700201808521031E-2</v>
      </c>
      <c r="AN115" s="524">
        <f t="shared" si="837"/>
        <v>-87.999987294373938</v>
      </c>
      <c r="AO115" s="525">
        <f t="shared" si="525"/>
        <v>32.399995322019443</v>
      </c>
      <c r="AP115" s="528">
        <f t="shared" si="838"/>
        <v>-32.384201752931133</v>
      </c>
      <c r="AQ115" s="529">
        <f t="shared" si="744"/>
        <v>0.31951339537350448</v>
      </c>
      <c r="AS115" s="932">
        <f t="shared" si="842"/>
        <v>-303.02590980101945</v>
      </c>
      <c r="AT115" s="928">
        <f t="shared" si="745"/>
        <v>-4.2546283991862834</v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>
        <f t="shared" si="731"/>
        <v>6.1390000000000002</v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>
        <f t="shared" si="807"/>
        <v>1613</v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>
        <f t="shared" si="736"/>
        <v>0</v>
      </c>
      <c r="B116" s="578">
        <f t="shared" si="515"/>
        <v>-2.5676755740563051</v>
      </c>
      <c r="C116" s="572">
        <f t="shared" si="516"/>
        <v>2.811940351985609</v>
      </c>
      <c r="D116" s="576">
        <f t="shared" si="517"/>
        <v>-0.19410908465126392</v>
      </c>
      <c r="E116" s="580">
        <f t="shared" si="518"/>
        <v>-1.6474747823407951E-2</v>
      </c>
      <c r="F116" s="572">
        <f t="shared" si="519"/>
        <v>1.8042002136681161E-2</v>
      </c>
      <c r="G116" s="579">
        <f t="shared" si="520"/>
        <v>0.99970148986737795</v>
      </c>
      <c r="H116" s="580">
        <f t="shared" si="521"/>
        <v>0.255</v>
      </c>
      <c r="I116" s="572">
        <f t="shared" si="522"/>
        <v>0.41499999999999992</v>
      </c>
      <c r="J116" s="483">
        <f t="shared" si="523"/>
        <v>6.2149999999999999</v>
      </c>
      <c r="K116" s="806" t="str">
        <f t="shared" si="524"/>
        <v>CPS-32193r1</v>
      </c>
      <c r="L116" s="309"/>
      <c r="M116" s="164">
        <f t="shared" si="737"/>
        <v>6.2149999999999999</v>
      </c>
      <c r="N116" s="575">
        <f t="shared" si="738"/>
        <v>-2.5676755740563051</v>
      </c>
      <c r="O116" s="572">
        <f t="shared" si="739"/>
        <v>2.811940351985609</v>
      </c>
      <c r="P116" s="576">
        <f t="shared" si="740"/>
        <v>-0.19410908465126392</v>
      </c>
      <c r="Q116" s="528">
        <f t="shared" si="609"/>
        <v>132.40023544313206</v>
      </c>
      <c r="R116" s="572">
        <f t="shared" si="820"/>
        <v>3.8078821406039243</v>
      </c>
      <c r="S116" s="577">
        <f t="shared" si="821"/>
        <v>-0.19410908465126392</v>
      </c>
      <c r="T116" s="578">
        <f t="shared" si="822"/>
        <v>2.8119404225673055</v>
      </c>
      <c r="U116" s="572">
        <f t="shared" si="823"/>
        <v>2.5676754967601196</v>
      </c>
      <c r="V116" s="579">
        <f t="shared" si="824"/>
        <v>-0.19410908465126392</v>
      </c>
      <c r="W116" s="528">
        <f t="shared" si="735"/>
        <v>42.40023386815372</v>
      </c>
      <c r="X116" s="572">
        <f t="shared" si="825"/>
        <v>3.8078821406039243</v>
      </c>
      <c r="Y116" s="573">
        <f t="shared" si="733"/>
        <v>-0.19410908465126392</v>
      </c>
      <c r="Z116" s="575">
        <f t="shared" si="741"/>
        <v>1.6474747823407951E-2</v>
      </c>
      <c r="AA116" s="572">
        <f t="shared" si="742"/>
        <v>-1.8042002136681161E-2</v>
      </c>
      <c r="AB116" s="572">
        <f t="shared" si="743"/>
        <v>-0.99970148986737795</v>
      </c>
      <c r="AC116" s="579">
        <f t="shared" si="826"/>
        <v>1</v>
      </c>
      <c r="AD116" s="580">
        <f t="shared" si="827"/>
        <v>1.6474747823407951E-2</v>
      </c>
      <c r="AE116" s="572">
        <f t="shared" si="828"/>
        <v>-1.8042002136681161E-2</v>
      </c>
      <c r="AF116" s="576">
        <f t="shared" si="829"/>
        <v>-0.99970148986737795</v>
      </c>
      <c r="AG116" s="545">
        <f t="shared" si="830"/>
        <v>-1.0339270044814546</v>
      </c>
      <c r="AH116" s="546">
        <f t="shared" si="831"/>
        <v>89.056023775976584</v>
      </c>
      <c r="AI116" s="528">
        <f t="shared" si="832"/>
        <v>-1.3999997978649763</v>
      </c>
      <c r="AJ116" s="529">
        <f t="shared" si="833"/>
        <v>42.400235443132054</v>
      </c>
      <c r="AK116" s="578">
        <f t="shared" si="834"/>
        <v>1.7347234759768071E-18</v>
      </c>
      <c r="AL116" s="572">
        <f t="shared" si="835"/>
        <v>-2.4432174625785823E-2</v>
      </c>
      <c r="AM116" s="577">
        <f t="shared" si="836"/>
        <v>-0.99970148986737795</v>
      </c>
      <c r="AN116" s="524">
        <f t="shared" si="837"/>
        <v>-1.3999997978650478</v>
      </c>
      <c r="AO116" s="525">
        <f t="shared" si="525"/>
        <v>0</v>
      </c>
      <c r="AP116" s="528">
        <f t="shared" si="838"/>
        <v>-90</v>
      </c>
      <c r="AQ116" s="529">
        <f t="shared" si="744"/>
        <v>0.59866445032014948</v>
      </c>
      <c r="AS116" s="932">
        <f t="shared" si="842"/>
        <v>-317.59976613184631</v>
      </c>
      <c r="AT116" s="928">
        <f t="shared" si="745"/>
        <v>2.6446318997743884E-2</v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>Nose</v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>
        <f t="shared" si="731"/>
        <v>6.2149999999999999</v>
      </c>
      <c r="IJ116" s="674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0.115</v>
      </c>
      <c r="IK116" s="677" cm="1">
        <f t="array" ref="IK116">IFERROR(ROUND(VALUE(IF($IJ116&lt;1,$IJ116+LARGE((IF($M$9:$M$150="",0,$M$9:$M$150)-MOD(IF($M$9:$M$150="",0,$M$9:$M$150),1)),1),$IJ116)),4),"")</f>
        <v>6.1150000000000002</v>
      </c>
      <c r="IL116" s="482">
        <f t="shared" si="807"/>
        <v>1613</v>
      </c>
      <c r="IM116" s="482" t="str">
        <f t="shared" si="732"/>
        <v>CPS-32193r1</v>
      </c>
      <c r="IN116" s="670">
        <f t="shared" si="808"/>
        <v>17.593255894879462</v>
      </c>
      <c r="IO116" s="702">
        <v>4.4469244235142598E-2</v>
      </c>
      <c r="IP116" s="5">
        <f t="shared" si="809"/>
        <v>0.9</v>
      </c>
      <c r="IQ116" s="714">
        <v>450</v>
      </c>
      <c r="IR116" s="9">
        <f t="shared" si="810"/>
        <v>-3.8047114750098086</v>
      </c>
      <c r="IS116" s="5">
        <f t="shared" si="811"/>
        <v>-0.1954501921197796</v>
      </c>
      <c r="IT116" s="5">
        <f t="shared" si="812"/>
        <v>0.3125</v>
      </c>
      <c r="IU116" s="5">
        <f t="shared" si="813"/>
        <v>0.30156765766093102</v>
      </c>
      <c r="IV116" s="670">
        <f t="shared" si="814"/>
        <v>11.19999838292026</v>
      </c>
      <c r="IW116" s="9">
        <f t="shared" si="815"/>
        <v>-3.8078821406039243</v>
      </c>
      <c r="IX116" s="5">
        <f t="shared" si="816"/>
        <v>-0.19410908465126392</v>
      </c>
      <c r="IY116" s="5">
        <f t="shared" si="817"/>
        <v>0.255</v>
      </c>
      <c r="IZ116" s="5">
        <f t="shared" si="818"/>
        <v>0.255</v>
      </c>
      <c r="JA116" s="705">
        <f t="shared" si="819"/>
        <v>1.3999997978650478</v>
      </c>
    </row>
    <row r="117" spans="1:261" ht="15" customHeight="1" x14ac:dyDescent="0.25">
      <c r="A117" s="75">
        <f t="shared" si="736"/>
        <v>0</v>
      </c>
      <c r="B117" s="578">
        <f t="shared" si="515"/>
        <v>-3.2290175405532122</v>
      </c>
      <c r="C117" s="572">
        <f t="shared" si="516"/>
        <v>3.220416226668656</v>
      </c>
      <c r="D117" s="576">
        <f t="shared" si="517"/>
        <v>-0.30063245796358562</v>
      </c>
      <c r="E117" s="580">
        <f t="shared" si="518"/>
        <v>-0.18373401227372133</v>
      </c>
      <c r="F117" s="572">
        <f t="shared" si="519"/>
        <v>0.18324458975093</v>
      </c>
      <c r="G117" s="579">
        <f t="shared" si="520"/>
        <v>0.96574491096811554</v>
      </c>
      <c r="H117" s="580">
        <f t="shared" si="521"/>
        <v>0.255</v>
      </c>
      <c r="I117" s="572">
        <f t="shared" si="522"/>
        <v>0.41499999999999992</v>
      </c>
      <c r="J117" s="483">
        <f t="shared" si="523"/>
        <v>6.218</v>
      </c>
      <c r="K117" s="806" t="str">
        <f t="shared" si="524"/>
        <v>CPS-32193r1</v>
      </c>
      <c r="L117" s="309"/>
      <c r="M117" s="164">
        <f t="shared" si="737"/>
        <v>6.218</v>
      </c>
      <c r="N117" s="575">
        <f t="shared" si="738"/>
        <v>-3.2290175405532122</v>
      </c>
      <c r="O117" s="572">
        <f t="shared" si="739"/>
        <v>3.220416226668656</v>
      </c>
      <c r="P117" s="576">
        <f t="shared" si="740"/>
        <v>-0.30063245796358562</v>
      </c>
      <c r="Q117" s="528">
        <f t="shared" si="609"/>
        <v>135.07641270682953</v>
      </c>
      <c r="R117" s="572">
        <f t="shared" si="820"/>
        <v>4.5604424072880363</v>
      </c>
      <c r="S117" s="577">
        <f t="shared" si="821"/>
        <v>-0.30063245796358562</v>
      </c>
      <c r="T117" s="578">
        <f t="shared" si="822"/>
        <v>3.2204163154296901</v>
      </c>
      <c r="U117" s="572">
        <f t="shared" si="823"/>
        <v>3.2290174520286135</v>
      </c>
      <c r="V117" s="579">
        <f t="shared" si="824"/>
        <v>-0.30063245796358562</v>
      </c>
      <c r="W117" s="528">
        <f t="shared" si="735"/>
        <v>45.076411131851188</v>
      </c>
      <c r="X117" s="572">
        <f t="shared" si="825"/>
        <v>4.5604424072880363</v>
      </c>
      <c r="Y117" s="573">
        <f t="shared" si="733"/>
        <v>-0.30063245796358562</v>
      </c>
      <c r="Z117" s="575">
        <f t="shared" si="741"/>
        <v>0.18373401227372133</v>
      </c>
      <c r="AA117" s="572">
        <f t="shared" si="742"/>
        <v>-0.18324458975093</v>
      </c>
      <c r="AB117" s="572">
        <f t="shared" si="743"/>
        <v>-0.96574491096811554</v>
      </c>
      <c r="AC117" s="579">
        <f t="shared" si="826"/>
        <v>1</v>
      </c>
      <c r="AD117" s="580">
        <f t="shared" si="827"/>
        <v>0.18373401227372133</v>
      </c>
      <c r="AE117" s="572">
        <f t="shared" si="828"/>
        <v>-0.18324458975093</v>
      </c>
      <c r="AF117" s="576">
        <f t="shared" si="829"/>
        <v>-0.96574491096811554</v>
      </c>
      <c r="AG117" s="545">
        <f t="shared" si="830"/>
        <v>-10.743826216362262</v>
      </c>
      <c r="AH117" s="546">
        <f t="shared" si="831"/>
        <v>79.412668495472133</v>
      </c>
      <c r="AI117" s="528">
        <f t="shared" si="832"/>
        <v>-15.039997828492975</v>
      </c>
      <c r="AJ117" s="529">
        <f t="shared" si="833"/>
        <v>45.076412706829522</v>
      </c>
      <c r="AK117" s="578">
        <f t="shared" si="834"/>
        <v>0</v>
      </c>
      <c r="AL117" s="572">
        <f t="shared" si="835"/>
        <v>-0.25949328881338457</v>
      </c>
      <c r="AM117" s="577">
        <f t="shared" si="836"/>
        <v>-0.96574491096811554</v>
      </c>
      <c r="AN117" s="524">
        <f t="shared" si="837"/>
        <v>-15.039997828492989</v>
      </c>
      <c r="AO117" s="525">
        <f t="shared" si="525"/>
        <v>0</v>
      </c>
      <c r="AP117" s="528">
        <f t="shared" si="838"/>
        <v>-90</v>
      </c>
      <c r="AQ117" s="529">
        <f t="shared" si="744"/>
        <v>0.49987886826109884</v>
      </c>
      <c r="AS117" s="932">
        <f t="shared" si="842"/>
        <v>-314.92358886814884</v>
      </c>
      <c r="AT117" s="928">
        <f t="shared" si="745"/>
        <v>-8.1935510747701057E-2</v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>Nose</v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>
        <f t="shared" si="731"/>
        <v>6.218</v>
      </c>
      <c r="IJ117" s="674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0.11799999999999999</v>
      </c>
      <c r="IK117" s="677" cm="1">
        <f t="array" ref="IK117">IFERROR(ROUND(VALUE(IF($IJ117&lt;1,$IJ117+LARGE((IF($M$9:$M$150="",0,$M$9:$M$150)-MOD(IF($M$9:$M$150="",0,$M$9:$M$150),1)),1),$IJ117)),4),"")</f>
        <v>6.1180000000000003</v>
      </c>
      <c r="IL117" s="482">
        <f t="shared" si="807"/>
        <v>1613</v>
      </c>
      <c r="IM117" s="482" t="str">
        <f t="shared" si="732"/>
        <v>CPS-32193r1</v>
      </c>
      <c r="IN117" s="670">
        <f t="shared" si="808"/>
        <v>14.625678673254981</v>
      </c>
      <c r="IO117" s="702">
        <v>4.16432814860642E-2</v>
      </c>
      <c r="IP117" s="5">
        <f t="shared" si="809"/>
        <v>1.06</v>
      </c>
      <c r="IQ117" s="714">
        <v>530</v>
      </c>
      <c r="IR117" s="9">
        <f t="shared" si="810"/>
        <v>-4.5544137361118278</v>
      </c>
      <c r="IS117" s="5">
        <f t="shared" si="811"/>
        <v>-0.30215051392795023</v>
      </c>
      <c r="IT117" s="5">
        <f t="shared" si="812"/>
        <v>0.3125</v>
      </c>
      <c r="IU117" s="5">
        <f t="shared" si="813"/>
        <v>0.30084117410383532</v>
      </c>
      <c r="IV117" s="670">
        <f t="shared" si="814"/>
        <v>22.999996679211435</v>
      </c>
      <c r="IW117" s="9">
        <f t="shared" si="815"/>
        <v>-4.5604424072880363</v>
      </c>
      <c r="IX117" s="5">
        <f t="shared" si="816"/>
        <v>-0.30063245796358562</v>
      </c>
      <c r="IY117" s="5">
        <f t="shared" si="817"/>
        <v>0.255</v>
      </c>
      <c r="IZ117" s="5">
        <f t="shared" si="818"/>
        <v>0.255</v>
      </c>
      <c r="JA117" s="705">
        <f t="shared" si="819"/>
        <v>15.039997828492989</v>
      </c>
    </row>
    <row r="118" spans="1:261" ht="15" customHeight="1" x14ac:dyDescent="0.25">
      <c r="A118" s="75">
        <f t="shared" si="736"/>
        <v>0</v>
      </c>
      <c r="B118" s="578">
        <f t="shared" si="515"/>
        <v>-3.8227155928705874</v>
      </c>
      <c r="C118" s="572">
        <f t="shared" si="516"/>
        <v>3.6248724227595011</v>
      </c>
      <c r="D118" s="576">
        <f t="shared" si="517"/>
        <v>-0.58614971573351049</v>
      </c>
      <c r="E118" s="580">
        <f t="shared" si="518"/>
        <v>-0.34891114739238643</v>
      </c>
      <c r="F118" s="572">
        <f t="shared" si="519"/>
        <v>0.33085338562325362</v>
      </c>
      <c r="G118" s="579">
        <f t="shared" si="520"/>
        <v>0.87681072555424366</v>
      </c>
      <c r="H118" s="580">
        <f t="shared" si="521"/>
        <v>0.255</v>
      </c>
      <c r="I118" s="572">
        <f t="shared" si="522"/>
        <v>0.41499999999999992</v>
      </c>
      <c r="J118" s="483">
        <f t="shared" si="523"/>
        <v>6.2210000000000001</v>
      </c>
      <c r="K118" s="806" t="str">
        <f t="shared" si="524"/>
        <v>CPS-32193r1</v>
      </c>
      <c r="L118" s="309"/>
      <c r="M118" s="164">
        <f t="shared" si="737"/>
        <v>6.2210000000000001</v>
      </c>
      <c r="N118" s="575">
        <f t="shared" si="738"/>
        <v>-3.8227155928705874</v>
      </c>
      <c r="O118" s="572">
        <f t="shared" si="739"/>
        <v>3.6248724227595011</v>
      </c>
      <c r="P118" s="576">
        <f t="shared" si="740"/>
        <v>-0.58614971573351049</v>
      </c>
      <c r="Q118" s="528">
        <f t="shared" si="609"/>
        <v>136.52168907685831</v>
      </c>
      <c r="R118" s="572">
        <f t="shared" si="820"/>
        <v>5.2680978147010773</v>
      </c>
      <c r="S118" s="577">
        <f t="shared" si="821"/>
        <v>-0.58614971573351049</v>
      </c>
      <c r="T118" s="578">
        <f t="shared" si="822"/>
        <v>3.6248725278404375</v>
      </c>
      <c r="U118" s="572">
        <f t="shared" si="823"/>
        <v>3.8227154932280722</v>
      </c>
      <c r="V118" s="579">
        <f t="shared" si="824"/>
        <v>-0.58614971573351049</v>
      </c>
      <c r="W118" s="528">
        <f t="shared" si="735"/>
        <v>46.521687501879967</v>
      </c>
      <c r="X118" s="572">
        <f t="shared" si="825"/>
        <v>5.2680978147010773</v>
      </c>
      <c r="Y118" s="573">
        <f t="shared" si="733"/>
        <v>-0.58614971573351049</v>
      </c>
      <c r="Z118" s="575">
        <f t="shared" si="741"/>
        <v>0.34891114739238643</v>
      </c>
      <c r="AA118" s="572">
        <f t="shared" si="742"/>
        <v>-0.33085338562325362</v>
      </c>
      <c r="AB118" s="572">
        <f t="shared" si="743"/>
        <v>-0.87681072555424366</v>
      </c>
      <c r="AC118" s="579">
        <f t="shared" si="826"/>
        <v>1</v>
      </c>
      <c r="AD118" s="580">
        <f t="shared" si="827"/>
        <v>0.34891114739238643</v>
      </c>
      <c r="AE118" s="572">
        <f t="shared" si="828"/>
        <v>-0.33085338562325362</v>
      </c>
      <c r="AF118" s="576">
        <f t="shared" si="829"/>
        <v>-0.87681072555424366</v>
      </c>
      <c r="AG118" s="545">
        <f t="shared" si="830"/>
        <v>-20.673361611198651</v>
      </c>
      <c r="AH118" s="546">
        <f t="shared" si="831"/>
        <v>69.579269514651159</v>
      </c>
      <c r="AI118" s="528">
        <f t="shared" si="832"/>
        <v>-28.739995850458005</v>
      </c>
      <c r="AJ118" s="529">
        <f t="shared" si="833"/>
        <v>46.521689076858308</v>
      </c>
      <c r="AK118" s="578">
        <f t="shared" si="834"/>
        <v>-2.7755575615628914E-17</v>
      </c>
      <c r="AL118" s="572">
        <f t="shared" si="835"/>
        <v>-0.48083568040760138</v>
      </c>
      <c r="AM118" s="577">
        <f t="shared" si="836"/>
        <v>-0.87681072555424366</v>
      </c>
      <c r="AN118" s="524">
        <f t="shared" si="837"/>
        <v>-28.739995850458012</v>
      </c>
      <c r="AO118" s="525">
        <f t="shared" si="525"/>
        <v>0</v>
      </c>
      <c r="AP118" s="528">
        <f t="shared" si="838"/>
        <v>-90</v>
      </c>
      <c r="AQ118" s="529">
        <f t="shared" si="744"/>
        <v>0.43273366689740073</v>
      </c>
      <c r="AS118" s="932">
        <f t="shared" si="842"/>
        <v>-313.47831249812003</v>
      </c>
      <c r="AT118" s="928">
        <f t="shared" si="745"/>
        <v>-0.36845643266347927</v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>Nose</v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>
        <f t="shared" si="731"/>
        <v>6.2210000000000001</v>
      </c>
      <c r="IJ118" s="674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0.121</v>
      </c>
      <c r="IK118" s="677" cm="1">
        <f t="array" ref="IK118">IFERROR(ROUND(VALUE(IF($IJ118&lt;1,$IJ118+LARGE((IF($M$9:$M$150="",0,$M$9:$M$150)-MOD(IF($M$9:$M$150="",0,$M$9:$M$150),1)),1),$IJ118)),4),"")</f>
        <v>6.1210000000000004</v>
      </c>
      <c r="IL118" s="482">
        <f t="shared" si="807"/>
        <v>1613</v>
      </c>
      <c r="IM118" s="482" t="str">
        <f t="shared" si="732"/>
        <v>CPS-32193r1</v>
      </c>
      <c r="IN118" s="670">
        <f t="shared" si="808"/>
        <v>12.628402382925145</v>
      </c>
      <c r="IO118" s="702">
        <v>3.9710998201934702E-2</v>
      </c>
      <c r="IP118" s="5">
        <f t="shared" si="809"/>
        <v>1.28</v>
      </c>
      <c r="IQ118" s="714">
        <v>640</v>
      </c>
      <c r="IR118" s="9">
        <f t="shared" si="810"/>
        <v>-5.260115864509447</v>
      </c>
      <c r="IS118" s="5">
        <f t="shared" si="811"/>
        <v>-0.58565136896652858</v>
      </c>
      <c r="IT118" s="5">
        <f t="shared" si="812"/>
        <v>0.3125</v>
      </c>
      <c r="IU118" s="5">
        <f t="shared" si="813"/>
        <v>0.29963117083665147</v>
      </c>
      <c r="IV118" s="670">
        <f t="shared" si="814"/>
        <v>34.899994961064216</v>
      </c>
      <c r="IW118" s="9">
        <f t="shared" si="815"/>
        <v>-5.2680978147010773</v>
      </c>
      <c r="IX118" s="5">
        <f t="shared" si="816"/>
        <v>-0.58614971573351049</v>
      </c>
      <c r="IY118" s="5">
        <f t="shared" si="817"/>
        <v>0.255</v>
      </c>
      <c r="IZ118" s="5">
        <f t="shared" si="818"/>
        <v>0.255</v>
      </c>
      <c r="JA118" s="705">
        <f t="shared" si="819"/>
        <v>28.739995850458012</v>
      </c>
    </row>
    <row r="119" spans="1:261" ht="15" customHeight="1" x14ac:dyDescent="0.25">
      <c r="A119" s="75">
        <f t="shared" si="736"/>
        <v>0</v>
      </c>
      <c r="B119" s="578">
        <f t="shared" ref="B119:B150" si="845">IFERROR(Q274+($A119*-E119),"")</f>
        <v>-4.3213672566184389</v>
      </c>
      <c r="C119" s="572">
        <f t="shared" ref="C119:C150" si="846">IFERROR(R274+($A119*-F119),"")</f>
        <v>3.9960428003341493</v>
      </c>
      <c r="D119" s="576">
        <f t="shared" ref="D119:D150" si="847">IFERROR(S274+($A119*-G119),"")</f>
        <v>-1.0275949929872317</v>
      </c>
      <c r="E119" s="580">
        <f t="shared" ref="E119:E150" si="848">T274</f>
        <v>-0.4946960918884884</v>
      </c>
      <c r="F119" s="572">
        <f t="shared" ref="F119:F150" si="849">U274</f>
        <v>0.45745400447434831</v>
      </c>
      <c r="G119" s="579">
        <f t="shared" ref="G119:G150" si="850">V274</f>
        <v>0.73892598442647783</v>
      </c>
      <c r="H119" s="580">
        <f t="shared" ref="H119:H150" si="851">W274</f>
        <v>0.255</v>
      </c>
      <c r="I119" s="572">
        <f t="shared" ref="I119:I150" si="852">X274</f>
        <v>0.41499999999999992</v>
      </c>
      <c r="J119" s="483">
        <f t="shared" ref="J119:J150" si="853">IF(Y274=0,"",Y274)</f>
        <v>6.2240000000000002</v>
      </c>
      <c r="K119" s="806" t="str">
        <f t="shared" ref="K119:K150" si="854">Z274</f>
        <v>CPS-32193r1</v>
      </c>
      <c r="L119" s="309"/>
      <c r="M119" s="164">
        <f t="shared" si="737"/>
        <v>6.2240000000000002</v>
      </c>
      <c r="N119" s="575">
        <f t="shared" si="738"/>
        <v>-4.3213672566184389</v>
      </c>
      <c r="O119" s="572">
        <f t="shared" si="739"/>
        <v>3.9960428003341493</v>
      </c>
      <c r="P119" s="576">
        <f t="shared" si="740"/>
        <v>-1.0275949929872317</v>
      </c>
      <c r="Q119" s="528">
        <f t="shared" si="609"/>
        <v>137.23990658133769</v>
      </c>
      <c r="R119" s="572">
        <f t="shared" si="820"/>
        <v>5.8857941714501338</v>
      </c>
      <c r="S119" s="577">
        <f t="shared" si="821"/>
        <v>-1.0275949929872317</v>
      </c>
      <c r="T119" s="578">
        <f t="shared" si="822"/>
        <v>3.9960429191223015</v>
      </c>
      <c r="U119" s="572">
        <f t="shared" si="823"/>
        <v>4.3213671467729844</v>
      </c>
      <c r="V119" s="579">
        <f t="shared" si="824"/>
        <v>-1.0275949929872317</v>
      </c>
      <c r="W119" s="528">
        <f t="shared" si="735"/>
        <v>47.239905006359351</v>
      </c>
      <c r="X119" s="572">
        <f t="shared" si="825"/>
        <v>5.8857941714501338</v>
      </c>
      <c r="Y119" s="573">
        <f t="shared" si="733"/>
        <v>-1.0275949929872317</v>
      </c>
      <c r="Z119" s="575">
        <f t="shared" si="741"/>
        <v>0.4946960918884884</v>
      </c>
      <c r="AA119" s="572">
        <f t="shared" si="742"/>
        <v>-0.45745400447434831</v>
      </c>
      <c r="AB119" s="572">
        <f t="shared" si="743"/>
        <v>-0.73892598442647783</v>
      </c>
      <c r="AC119" s="579">
        <f t="shared" si="826"/>
        <v>1</v>
      </c>
      <c r="AD119" s="580">
        <f t="shared" si="827"/>
        <v>0.4946960918884884</v>
      </c>
      <c r="AE119" s="572">
        <f t="shared" si="828"/>
        <v>-0.45745400447434831</v>
      </c>
      <c r="AF119" s="576">
        <f t="shared" si="829"/>
        <v>-0.73892598442647783</v>
      </c>
      <c r="AG119" s="545">
        <f t="shared" si="830"/>
        <v>-31.760804871870786</v>
      </c>
      <c r="AH119" s="546">
        <f t="shared" si="831"/>
        <v>60.350287709367166</v>
      </c>
      <c r="AI119" s="528">
        <f t="shared" si="832"/>
        <v>-42.359993883973608</v>
      </c>
      <c r="AJ119" s="529">
        <f t="shared" si="833"/>
        <v>47.239906581337713</v>
      </c>
      <c r="AK119" s="578">
        <f t="shared" si="834"/>
        <v>2.2204460492503131E-16</v>
      </c>
      <c r="AL119" s="572">
        <f t="shared" si="835"/>
        <v>-0.67378660534279011</v>
      </c>
      <c r="AM119" s="577">
        <f t="shared" si="836"/>
        <v>-0.73892598442647783</v>
      </c>
      <c r="AN119" s="524">
        <f t="shared" si="837"/>
        <v>-42.359993883973615</v>
      </c>
      <c r="AO119" s="525">
        <f t="shared" si="525"/>
        <v>0</v>
      </c>
      <c r="AP119" s="528">
        <f t="shared" si="838"/>
        <v>-89.999999999999986</v>
      </c>
      <c r="AQ119" s="529">
        <f t="shared" si="744"/>
        <v>0.38732103759449749</v>
      </c>
      <c r="AS119" s="932">
        <f t="shared" si="842"/>
        <v>-312.76009499364068</v>
      </c>
      <c r="AT119" s="928">
        <f t="shared" si="745"/>
        <v>-0.81040047207308885</v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>Taper</v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>
        <f t="shared" si="731"/>
        <v>6.2240000000000002</v>
      </c>
      <c r="IJ119" s="674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0.124</v>
      </c>
      <c r="IK119" s="677" cm="1">
        <f t="array" ref="IK119">IFERROR(ROUND(VALUE(IF($IJ119&lt;1,$IJ119+LARGE((IF($M$9:$M$150="",0,$M$9:$M$150)-MOD(IF($M$9:$M$150="",0,$M$9:$M$150),1)),1),$IJ119)),4),"")</f>
        <v>6.1239999999999997</v>
      </c>
      <c r="IL119" s="482">
        <f t="shared" si="807"/>
        <v>1613</v>
      </c>
      <c r="IM119" s="482" t="str">
        <f t="shared" si="732"/>
        <v>CPS-32193r1</v>
      </c>
      <c r="IN119" s="670">
        <f t="shared" si="808"/>
        <v>11.28258496905994</v>
      </c>
      <c r="IO119" s="702">
        <v>3.8270491752282199E-2</v>
      </c>
      <c r="IP119" s="5">
        <f t="shared" si="809"/>
        <v>1.54</v>
      </c>
      <c r="IQ119" s="714">
        <v>770</v>
      </c>
      <c r="IR119" s="9">
        <f t="shared" si="810"/>
        <v>-5.8779177277998684</v>
      </c>
      <c r="IS119" s="5">
        <f t="shared" si="811"/>
        <v>-1.0231526884705078</v>
      </c>
      <c r="IT119" s="5">
        <f t="shared" si="812"/>
        <v>0.3125</v>
      </c>
      <c r="IU119" s="5">
        <f t="shared" si="813"/>
        <v>0.29703617056188669</v>
      </c>
      <c r="IV119" s="670">
        <f t="shared" si="814"/>
        <v>46.699993257355175</v>
      </c>
      <c r="IW119" s="9">
        <f t="shared" si="815"/>
        <v>-5.8857941714501338</v>
      </c>
      <c r="IX119" s="5">
        <f t="shared" si="816"/>
        <v>-1.0275949929872317</v>
      </c>
      <c r="IY119" s="5">
        <f t="shared" si="817"/>
        <v>0.255</v>
      </c>
      <c r="IZ119" s="5">
        <f t="shared" si="818"/>
        <v>0.255</v>
      </c>
      <c r="JA119" s="705">
        <f t="shared" si="819"/>
        <v>42.359993883973615</v>
      </c>
    </row>
    <row r="120" spans="1:261" ht="15" customHeight="1" x14ac:dyDescent="0.25">
      <c r="A120" s="75">
        <f t="shared" si="736"/>
        <v>0</v>
      </c>
      <c r="B120" s="578">
        <f t="shared" si="845"/>
        <v>-4.7094507192455932</v>
      </c>
      <c r="C120" s="572">
        <f t="shared" si="846"/>
        <v>4.3070001680440155</v>
      </c>
      <c r="D120" s="576">
        <f t="shared" si="847"/>
        <v>-1.6024720115454063</v>
      </c>
      <c r="E120" s="580">
        <f t="shared" si="848"/>
        <v>-0.61170281298905349</v>
      </c>
      <c r="F120" s="572">
        <f t="shared" si="849"/>
        <v>0.55942917240227252</v>
      </c>
      <c r="G120" s="579">
        <f t="shared" si="850"/>
        <v>0.55933770626213586</v>
      </c>
      <c r="H120" s="580">
        <f t="shared" si="851"/>
        <v>0.255</v>
      </c>
      <c r="I120" s="572">
        <f t="shared" si="852"/>
        <v>0.41499999999999992</v>
      </c>
      <c r="J120" s="483">
        <f t="shared" si="853"/>
        <v>6.2270000000000003</v>
      </c>
      <c r="K120" s="806" t="str">
        <f t="shared" si="854"/>
        <v>CPS-32193r1</v>
      </c>
      <c r="L120" s="309"/>
      <c r="M120" s="164">
        <f t="shared" si="737"/>
        <v>6.2270000000000003</v>
      </c>
      <c r="N120" s="575">
        <f t="shared" si="738"/>
        <v>-4.7094507192455932</v>
      </c>
      <c r="O120" s="572">
        <f t="shared" si="739"/>
        <v>4.3070001680440155</v>
      </c>
      <c r="P120" s="576">
        <f t="shared" si="740"/>
        <v>-1.6024720115454063</v>
      </c>
      <c r="Q120" s="528">
        <f t="shared" si="609"/>
        <v>137.55570882065336</v>
      </c>
      <c r="R120" s="572">
        <f t="shared" si="820"/>
        <v>6.3819414385070949</v>
      </c>
      <c r="S120" s="577">
        <f t="shared" si="821"/>
        <v>-1.6024720115454063</v>
      </c>
      <c r="T120" s="578">
        <f t="shared" si="822"/>
        <v>4.3070002975000232</v>
      </c>
      <c r="U120" s="572">
        <f t="shared" si="823"/>
        <v>4.7094506008523664</v>
      </c>
      <c r="V120" s="579">
        <f t="shared" si="824"/>
        <v>-1.6024720115454063</v>
      </c>
      <c r="W120" s="528">
        <f t="shared" si="735"/>
        <v>47.555707245675023</v>
      </c>
      <c r="X120" s="572">
        <f t="shared" si="825"/>
        <v>6.3819414385070949</v>
      </c>
      <c r="Y120" s="573">
        <f t="shared" si="733"/>
        <v>-1.6024720115454063</v>
      </c>
      <c r="Z120" s="575">
        <f t="shared" si="741"/>
        <v>0.61170281298905349</v>
      </c>
      <c r="AA120" s="572">
        <f t="shared" si="742"/>
        <v>-0.55942917240227252</v>
      </c>
      <c r="AB120" s="572">
        <f t="shared" si="743"/>
        <v>-0.55933770626213586</v>
      </c>
      <c r="AC120" s="579">
        <f t="shared" si="826"/>
        <v>0.99999999999999989</v>
      </c>
      <c r="AD120" s="580">
        <f t="shared" si="827"/>
        <v>0.61170281298905349</v>
      </c>
      <c r="AE120" s="572">
        <f t="shared" si="828"/>
        <v>-0.55942917240227252</v>
      </c>
      <c r="AF120" s="576">
        <f t="shared" si="829"/>
        <v>-0.55933770626213586</v>
      </c>
      <c r="AG120" s="545">
        <f t="shared" si="830"/>
        <v>-45.004684285785039</v>
      </c>
      <c r="AH120" s="546">
        <f t="shared" si="831"/>
        <v>52.287270468855382</v>
      </c>
      <c r="AI120" s="528">
        <f t="shared" si="832"/>
        <v>-55.98999191604539</v>
      </c>
      <c r="AJ120" s="529">
        <f t="shared" si="833"/>
        <v>47.5557088206534</v>
      </c>
      <c r="AK120" s="578">
        <f t="shared" si="834"/>
        <v>4.9960036108132044E-16</v>
      </c>
      <c r="AL120" s="572">
        <f t="shared" si="835"/>
        <v>-0.8289398834375219</v>
      </c>
      <c r="AM120" s="577">
        <f t="shared" si="836"/>
        <v>-0.55933770626213586</v>
      </c>
      <c r="AN120" s="524">
        <f t="shared" si="837"/>
        <v>-55.98999191604539</v>
      </c>
      <c r="AO120" s="525">
        <f t="shared" ref="AO120:AO150" si="855">IF(ROUND(IF(M120="",0,DEGREES(ACOS(AK120))),4)=90,0,IF(M120="","",DEGREES(ACOS(AK120))))</f>
        <v>0</v>
      </c>
      <c r="AP120" s="528">
        <f t="shared" si="838"/>
        <v>-89.999999999999972</v>
      </c>
      <c r="AQ120" s="529">
        <f t="shared" si="744"/>
        <v>0.35721059444712822</v>
      </c>
      <c r="AS120" s="932">
        <f t="shared" si="842"/>
        <v>-312.44429275432498</v>
      </c>
      <c r="AT120" s="928">
        <f t="shared" si="745"/>
        <v>-1.3854967977418995</v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>Taper</v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>
        <f t="shared" si="731"/>
        <v>6.2270000000000003</v>
      </c>
      <c r="IJ120" s="674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0.127</v>
      </c>
      <c r="IK120" s="677" cm="1">
        <f t="array" ref="IK120">IFERROR(ROUND(VALUE(IF($IJ120&lt;1,$IJ120+LARGE((IF($M$9:$M$150="",0,$M$9:$M$150)-MOD(IF($M$9:$M$150="",0,$M$9:$M$150),1)),1),$IJ120)),4),"")</f>
        <v>6.1269999999999998</v>
      </c>
      <c r="IL120" s="482">
        <f t="shared" si="807"/>
        <v>1613</v>
      </c>
      <c r="IM120" s="482" t="str">
        <f t="shared" si="732"/>
        <v>CPS-32193r1</v>
      </c>
      <c r="IN120" s="670">
        <f t="shared" si="808"/>
        <v>10.385682813644706</v>
      </c>
      <c r="IO120" s="702">
        <v>3.7421610185830102E-2</v>
      </c>
      <c r="IP120" s="5">
        <f t="shared" si="809"/>
        <v>1.88</v>
      </c>
      <c r="IQ120" s="714">
        <v>940</v>
      </c>
      <c r="IR120" s="9">
        <f t="shared" si="810"/>
        <v>-6.3792192397252263</v>
      </c>
      <c r="IS120" s="5">
        <f t="shared" si="811"/>
        <v>-1.5920544042780838</v>
      </c>
      <c r="IT120" s="5">
        <f t="shared" si="812"/>
        <v>0.3125</v>
      </c>
      <c r="IU120" s="5">
        <f t="shared" si="813"/>
        <v>0.29055515810173588</v>
      </c>
      <c r="IV120" s="670">
        <f t="shared" si="814"/>
        <v>58.499991553646176</v>
      </c>
      <c r="IW120" s="9">
        <f t="shared" si="815"/>
        <v>-6.3819414385070949</v>
      </c>
      <c r="IX120" s="5">
        <f t="shared" si="816"/>
        <v>-1.6024720115454063</v>
      </c>
      <c r="IY120" s="5">
        <f t="shared" si="817"/>
        <v>0.255</v>
      </c>
      <c r="IZ120" s="5">
        <f t="shared" si="818"/>
        <v>0.255</v>
      </c>
      <c r="JA120" s="705">
        <f t="shared" si="819"/>
        <v>55.98999191604539</v>
      </c>
    </row>
    <row r="121" spans="1:261" ht="15" customHeight="1" x14ac:dyDescent="0.25">
      <c r="A121" s="75">
        <f t="shared" si="736"/>
        <v>0</v>
      </c>
      <c r="B121" s="578">
        <f t="shared" si="845"/>
        <v>-4.9717448257896093</v>
      </c>
      <c r="C121" s="572">
        <f t="shared" si="846"/>
        <v>4.5293835356148344</v>
      </c>
      <c r="D121" s="576">
        <f t="shared" si="847"/>
        <v>-2.2726095941609628</v>
      </c>
      <c r="E121" s="580">
        <f t="shared" si="848"/>
        <v>-0.69236911520424949</v>
      </c>
      <c r="F121" s="572">
        <f t="shared" si="849"/>
        <v>0.63076553219448062</v>
      </c>
      <c r="G121" s="579">
        <f t="shared" si="850"/>
        <v>0.35037102007257742</v>
      </c>
      <c r="H121" s="580">
        <f t="shared" si="851"/>
        <v>0.255</v>
      </c>
      <c r="I121" s="572">
        <f t="shared" si="852"/>
        <v>0.41499999999999992</v>
      </c>
      <c r="J121" s="483">
        <f t="shared" si="853"/>
        <v>6.23</v>
      </c>
      <c r="K121" s="806" t="str">
        <f t="shared" si="854"/>
        <v>CPS-32193r1</v>
      </c>
      <c r="L121" s="309"/>
      <c r="M121" s="164">
        <f t="shared" si="737"/>
        <v>6.23</v>
      </c>
      <c r="N121" s="575">
        <f t="shared" si="738"/>
        <v>-4.9717448257896093</v>
      </c>
      <c r="O121" s="572">
        <f t="shared" si="739"/>
        <v>4.5293835356148344</v>
      </c>
      <c r="P121" s="576">
        <f t="shared" si="740"/>
        <v>-2.2726095941609628</v>
      </c>
      <c r="Q121" s="528">
        <f t="shared" si="609"/>
        <v>137.6656986204778</v>
      </c>
      <c r="R121" s="572">
        <f t="shared" si="820"/>
        <v>6.7255900726601299</v>
      </c>
      <c r="S121" s="577">
        <f t="shared" si="821"/>
        <v>-2.2726095941609628</v>
      </c>
      <c r="T121" s="578">
        <f t="shared" si="822"/>
        <v>4.5293836722809289</v>
      </c>
      <c r="U121" s="572">
        <f t="shared" si="823"/>
        <v>4.9717447012833862</v>
      </c>
      <c r="V121" s="579">
        <f t="shared" si="824"/>
        <v>-2.2726095941609628</v>
      </c>
      <c r="W121" s="528">
        <f t="shared" si="735"/>
        <v>47.665697045499456</v>
      </c>
      <c r="X121" s="572">
        <f t="shared" si="825"/>
        <v>6.7255900726601299</v>
      </c>
      <c r="Y121" s="573">
        <f t="shared" si="733"/>
        <v>-2.2726095941609628</v>
      </c>
      <c r="Z121" s="575">
        <f t="shared" si="741"/>
        <v>0.69236911520424949</v>
      </c>
      <c r="AA121" s="572">
        <f t="shared" si="742"/>
        <v>-0.63076553219448062</v>
      </c>
      <c r="AB121" s="572">
        <f t="shared" si="743"/>
        <v>-0.35037102007257742</v>
      </c>
      <c r="AC121" s="579">
        <f t="shared" si="826"/>
        <v>1</v>
      </c>
      <c r="AD121" s="580">
        <f t="shared" si="827"/>
        <v>0.69236911520424949</v>
      </c>
      <c r="AE121" s="572">
        <f t="shared" si="828"/>
        <v>-0.63076553219448062</v>
      </c>
      <c r="AF121" s="576">
        <f t="shared" si="829"/>
        <v>-0.35037102007257742</v>
      </c>
      <c r="AG121" s="545">
        <f t="shared" si="830"/>
        <v>-60.949163409571945</v>
      </c>
      <c r="AH121" s="546">
        <f t="shared" si="831"/>
        <v>46.182061315887303</v>
      </c>
      <c r="AI121" s="528">
        <f t="shared" si="832"/>
        <v>-69.489989966886796</v>
      </c>
      <c r="AJ121" s="529">
        <f t="shared" si="833"/>
        <v>47.665698620477812</v>
      </c>
      <c r="AK121" s="578">
        <f t="shared" si="834"/>
        <v>2.7755575615628914E-16</v>
      </c>
      <c r="AL121" s="572">
        <f t="shared" si="835"/>
        <v>-0.93661099090994093</v>
      </c>
      <c r="AM121" s="577">
        <f t="shared" si="836"/>
        <v>-0.35037102007257742</v>
      </c>
      <c r="AN121" s="524">
        <f t="shared" si="837"/>
        <v>-69.48998996688681</v>
      </c>
      <c r="AO121" s="525">
        <f t="shared" si="855"/>
        <v>0</v>
      </c>
      <c r="AP121" s="528">
        <f t="shared" si="838"/>
        <v>-89.999999999999986</v>
      </c>
      <c r="AQ121" s="529">
        <f t="shared" si="744"/>
        <v>0.33895911163113046</v>
      </c>
      <c r="AS121" s="932">
        <f t="shared" si="842"/>
        <v>-312.33430295450057</v>
      </c>
      <c r="AT121" s="928">
        <f t="shared" si="745"/>
        <v>-2.0557107621628896</v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>Taper</v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>
        <f t="shared" si="731"/>
        <v>6.23</v>
      </c>
      <c r="IJ121" s="674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0.13</v>
      </c>
      <c r="IK121" s="677" cm="1">
        <f t="array" ref="IK121">IFERROR(ROUND(VALUE(IF($IJ121&lt;1,$IJ121+LARGE((IF($M$9:$M$150="",0,$M$9:$M$150)-MOD(IF($M$9:$M$150="",0,$M$9:$M$150),1)),1),$IJ121)),4),"")</f>
        <v>6.13</v>
      </c>
      <c r="IL121" s="482">
        <f t="shared" si="807"/>
        <v>1613</v>
      </c>
      <c r="IM121" s="482" t="str">
        <f t="shared" si="732"/>
        <v>CPS-32193r1</v>
      </c>
      <c r="IN121" s="670">
        <f t="shared" si="808"/>
        <v>9.8387930769008278</v>
      </c>
      <c r="IO121" s="702">
        <v>3.6261283147797398E-2</v>
      </c>
      <c r="IP121" s="5">
        <f t="shared" si="809"/>
        <v>2.2799999999999998</v>
      </c>
      <c r="IQ121" s="714">
        <v>1140</v>
      </c>
      <c r="IR121" s="9">
        <f t="shared" si="810"/>
        <v>-6.7300202977412189</v>
      </c>
      <c r="IS121" s="5">
        <f t="shared" si="811"/>
        <v>-2.2586564147497463</v>
      </c>
      <c r="IT121" s="5">
        <f t="shared" si="812"/>
        <v>0.3125</v>
      </c>
      <c r="IU121" s="5">
        <f t="shared" si="813"/>
        <v>0.28368047023324833</v>
      </c>
      <c r="IV121" s="670">
        <f t="shared" si="814"/>
        <v>70.19998986437551</v>
      </c>
      <c r="IW121" s="9">
        <f t="shared" si="815"/>
        <v>-6.7255900726601299</v>
      </c>
      <c r="IX121" s="5">
        <f t="shared" si="816"/>
        <v>-2.2726095941609628</v>
      </c>
      <c r="IY121" s="5">
        <f t="shared" si="817"/>
        <v>0.255</v>
      </c>
      <c r="IZ121" s="5">
        <f t="shared" si="818"/>
        <v>0.255</v>
      </c>
      <c r="JA121" s="705">
        <f t="shared" si="819"/>
        <v>69.48998996688681</v>
      </c>
    </row>
    <row r="122" spans="1:261" ht="15" customHeight="1" x14ac:dyDescent="0.25">
      <c r="A122" s="75">
        <f t="shared" si="736"/>
        <v>0</v>
      </c>
      <c r="B122" s="578">
        <f t="shared" si="845"/>
        <v>-5.1206175137802061</v>
      </c>
      <c r="C122" s="572">
        <f t="shared" si="846"/>
        <v>4.660380285383857</v>
      </c>
      <c r="D122" s="576">
        <f t="shared" si="847"/>
        <v>-2.9854233533133021</v>
      </c>
      <c r="E122" s="580">
        <f t="shared" si="848"/>
        <v>-0.72166523858083864</v>
      </c>
      <c r="F122" s="572">
        <f t="shared" si="849"/>
        <v>0.65680251287625102</v>
      </c>
      <c r="G122" s="579">
        <f t="shared" si="850"/>
        <v>0.21865439054248012</v>
      </c>
      <c r="H122" s="580">
        <f t="shared" si="851"/>
        <v>0.255</v>
      </c>
      <c r="I122" s="572">
        <f t="shared" si="852"/>
        <v>0.41499999999999992</v>
      </c>
      <c r="J122" s="483">
        <f t="shared" si="853"/>
        <v>6.2329999999999997</v>
      </c>
      <c r="K122" s="806" t="str">
        <f t="shared" si="854"/>
        <v>CPS-32193r1</v>
      </c>
      <c r="L122" s="309"/>
      <c r="M122" s="164">
        <f t="shared" si="737"/>
        <v>6.2329999999999997</v>
      </c>
      <c r="N122" s="575">
        <f t="shared" si="738"/>
        <v>-5.1206175137802061</v>
      </c>
      <c r="O122" s="572">
        <f t="shared" si="739"/>
        <v>4.660380285383857</v>
      </c>
      <c r="P122" s="576">
        <f t="shared" si="740"/>
        <v>-2.9854233533133021</v>
      </c>
      <c r="Q122" s="528">
        <f t="shared" si="609"/>
        <v>137.69402114567222</v>
      </c>
      <c r="R122" s="572">
        <f t="shared" si="820"/>
        <v>6.9238622261586853</v>
      </c>
      <c r="S122" s="577">
        <f t="shared" si="821"/>
        <v>-2.9854233533133021</v>
      </c>
      <c r="T122" s="578">
        <f t="shared" si="822"/>
        <v>4.6603804261422441</v>
      </c>
      <c r="U122" s="572">
        <f t="shared" si="823"/>
        <v>5.1206173856730732</v>
      </c>
      <c r="V122" s="579">
        <f t="shared" si="824"/>
        <v>-2.9854233533133021</v>
      </c>
      <c r="W122" s="528">
        <f t="shared" si="735"/>
        <v>47.694019570693882</v>
      </c>
      <c r="X122" s="572">
        <f t="shared" si="825"/>
        <v>6.9238622261586853</v>
      </c>
      <c r="Y122" s="573">
        <f t="shared" si="733"/>
        <v>-2.9854233533133021</v>
      </c>
      <c r="Z122" s="575">
        <f t="shared" si="741"/>
        <v>0.72166523858083864</v>
      </c>
      <c r="AA122" s="572">
        <f t="shared" si="742"/>
        <v>-0.65680251287625102</v>
      </c>
      <c r="AB122" s="572">
        <f t="shared" si="743"/>
        <v>-0.21865439054248012</v>
      </c>
      <c r="AC122" s="579">
        <f t="shared" si="826"/>
        <v>1</v>
      </c>
      <c r="AD122" s="580">
        <f t="shared" si="827"/>
        <v>0.72166523858083864</v>
      </c>
      <c r="AE122" s="572">
        <f t="shared" si="828"/>
        <v>-0.65680251287625102</v>
      </c>
      <c r="AF122" s="576">
        <f t="shared" si="829"/>
        <v>-0.21865439054248012</v>
      </c>
      <c r="AG122" s="545">
        <f t="shared" si="830"/>
        <v>-71.587019814936326</v>
      </c>
      <c r="AH122" s="546">
        <f t="shared" si="831"/>
        <v>43.807862692700425</v>
      </c>
      <c r="AI122" s="528">
        <f t="shared" si="832"/>
        <v>-77.369988829155716</v>
      </c>
      <c r="AJ122" s="529">
        <f t="shared" si="833"/>
        <v>47.694021145672195</v>
      </c>
      <c r="AK122" s="578">
        <f t="shared" si="834"/>
        <v>-4.4408920985006262E-16</v>
      </c>
      <c r="AL122" s="572">
        <f t="shared" si="835"/>
        <v>-0.97580236600271497</v>
      </c>
      <c r="AM122" s="577">
        <f t="shared" si="836"/>
        <v>-0.21865439054248012</v>
      </c>
      <c r="AN122" s="524">
        <f t="shared" si="837"/>
        <v>-77.369988829155716</v>
      </c>
      <c r="AO122" s="525">
        <f t="shared" si="855"/>
        <v>0</v>
      </c>
      <c r="AP122" s="528">
        <f t="shared" si="838"/>
        <v>-90.000000000000028</v>
      </c>
      <c r="AQ122" s="529">
        <f t="shared" si="744"/>
        <v>0.32925287406300874</v>
      </c>
      <c r="AS122" s="932">
        <f t="shared" si="842"/>
        <v>-312.30598042930615</v>
      </c>
      <c r="AT122" s="928">
        <f t="shared" si="745"/>
        <v>-2.7685441897355028</v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>Taper</v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>
        <f t="shared" si="731"/>
        <v>6.2329999999999997</v>
      </c>
      <c r="IJ122" s="674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0.13300000000000001</v>
      </c>
      <c r="IK122" s="677" cm="1">
        <f t="array" ref="IK122">IFERROR(ROUND(VALUE(IF($IJ122&lt;1,$IJ122+LARGE((IF($M$9:$M$150="",0,$M$9:$M$150)-MOD(IF($M$9:$M$150="",0,$M$9:$M$150),1)),1),$IJ122)),4),"")</f>
        <v>6.133</v>
      </c>
      <c r="IL122" s="482">
        <f t="shared" si="807"/>
        <v>1613</v>
      </c>
      <c r="IM122" s="482" t="str">
        <f t="shared" si="732"/>
        <v>CPS-32193r1</v>
      </c>
      <c r="IN122" s="670">
        <f t="shared" si="808"/>
        <v>9.5454705899676924</v>
      </c>
      <c r="IO122" s="702">
        <v>3.5469895633931298E-2</v>
      </c>
      <c r="IP122" s="5">
        <f t="shared" si="809"/>
        <v>2.58</v>
      </c>
      <c r="IQ122" s="714">
        <v>1290</v>
      </c>
      <c r="IR122" s="9">
        <f t="shared" si="810"/>
        <v>-6.9348209154198805</v>
      </c>
      <c r="IS122" s="5">
        <f t="shared" si="811"/>
        <v>-2.9705585618466226</v>
      </c>
      <c r="IT122" s="5">
        <f t="shared" si="812"/>
        <v>0.3125</v>
      </c>
      <c r="IU122" s="5">
        <f t="shared" si="813"/>
        <v>0.27794262644434709</v>
      </c>
      <c r="IV122" s="670">
        <f t="shared" si="814"/>
        <v>78.099988723756766</v>
      </c>
      <c r="IW122" s="9">
        <f t="shared" si="815"/>
        <v>-6.9238622261586853</v>
      </c>
      <c r="IX122" s="5">
        <f t="shared" si="816"/>
        <v>-2.9854233533133021</v>
      </c>
      <c r="IY122" s="5">
        <f t="shared" si="817"/>
        <v>0.255</v>
      </c>
      <c r="IZ122" s="5">
        <f t="shared" si="818"/>
        <v>0.255</v>
      </c>
      <c r="JA122" s="705">
        <f t="shared" si="819"/>
        <v>77.369988829155716</v>
      </c>
    </row>
    <row r="123" spans="1:261" ht="15" customHeight="1" x14ac:dyDescent="0.25">
      <c r="A123" s="75">
        <f t="shared" si="736"/>
        <v>0</v>
      </c>
      <c r="B123" s="578">
        <f t="shared" si="845"/>
        <v>-5.214920471706634</v>
      </c>
      <c r="C123" s="572">
        <f t="shared" si="846"/>
        <v>4.7452925809302204</v>
      </c>
      <c r="D123" s="576">
        <f t="shared" si="847"/>
        <v>-3.7247170186847391</v>
      </c>
      <c r="E123" s="580">
        <f t="shared" si="848"/>
        <v>-0.73415946357039452</v>
      </c>
      <c r="F123" s="572">
        <f t="shared" si="849"/>
        <v>0.66804498258440237</v>
      </c>
      <c r="G123" s="579">
        <f t="shared" si="850"/>
        <v>0.12134983845822028</v>
      </c>
      <c r="H123" s="580">
        <f t="shared" si="851"/>
        <v>0.255</v>
      </c>
      <c r="I123" s="572">
        <f t="shared" si="852"/>
        <v>0.41499999999999992</v>
      </c>
      <c r="J123" s="483">
        <f t="shared" si="853"/>
        <v>6.2359999999999998</v>
      </c>
      <c r="K123" s="806" t="str">
        <f t="shared" si="854"/>
        <v>CPS-32193r1</v>
      </c>
      <c r="L123" s="309"/>
      <c r="M123" s="164">
        <f t="shared" si="737"/>
        <v>6.2359999999999998</v>
      </c>
      <c r="N123" s="575">
        <f t="shared" si="738"/>
        <v>-5.214920471706634</v>
      </c>
      <c r="O123" s="572">
        <f t="shared" si="739"/>
        <v>4.7452925809302204</v>
      </c>
      <c r="P123" s="576">
        <f t="shared" si="740"/>
        <v>-3.7247170186847391</v>
      </c>
      <c r="Q123" s="528">
        <f t="shared" si="609"/>
        <v>137.69951882240915</v>
      </c>
      <c r="R123" s="572">
        <f t="shared" si="820"/>
        <v>7.0507586261945132</v>
      </c>
      <c r="S123" s="577">
        <f t="shared" si="821"/>
        <v>-3.7247170186847391</v>
      </c>
      <c r="T123" s="578">
        <f t="shared" si="822"/>
        <v>4.7452927242808602</v>
      </c>
      <c r="U123" s="572">
        <f t="shared" si="823"/>
        <v>5.2149203412653842</v>
      </c>
      <c r="V123" s="579">
        <f t="shared" si="824"/>
        <v>-3.7247170186847391</v>
      </c>
      <c r="W123" s="528">
        <f t="shared" si="735"/>
        <v>47.699517247430805</v>
      </c>
      <c r="X123" s="572">
        <f t="shared" si="825"/>
        <v>7.0507586261945132</v>
      </c>
      <c r="Y123" s="573">
        <f t="shared" si="733"/>
        <v>-3.7247170186847391</v>
      </c>
      <c r="Z123" s="575">
        <f t="shared" si="741"/>
        <v>0.73415946357039452</v>
      </c>
      <c r="AA123" s="572">
        <f t="shared" si="742"/>
        <v>-0.66804498258440237</v>
      </c>
      <c r="AB123" s="572">
        <f t="shared" si="743"/>
        <v>-0.12134983845822028</v>
      </c>
      <c r="AC123" s="579">
        <f t="shared" si="826"/>
        <v>1</v>
      </c>
      <c r="AD123" s="580">
        <f t="shared" si="827"/>
        <v>0.73415946357039452</v>
      </c>
      <c r="AE123" s="572">
        <f t="shared" si="828"/>
        <v>-0.66804498258440237</v>
      </c>
      <c r="AF123" s="576">
        <f t="shared" si="829"/>
        <v>-0.12134983845822028</v>
      </c>
      <c r="AG123" s="545">
        <f t="shared" si="830"/>
        <v>-79.70452578255788</v>
      </c>
      <c r="AH123" s="546">
        <f t="shared" si="831"/>
        <v>42.763760483773964</v>
      </c>
      <c r="AI123" s="528">
        <f t="shared" si="832"/>
        <v>-83.029988011952952</v>
      </c>
      <c r="AJ123" s="529">
        <f t="shared" si="833"/>
        <v>47.699518822409154</v>
      </c>
      <c r="AK123" s="578">
        <f t="shared" si="834"/>
        <v>1.6653345369377348E-16</v>
      </c>
      <c r="AL123" s="572">
        <f t="shared" si="835"/>
        <v>-0.99260980083120476</v>
      </c>
      <c r="AM123" s="577">
        <f t="shared" si="836"/>
        <v>-0.12134983845822028</v>
      </c>
      <c r="AN123" s="524">
        <f t="shared" si="837"/>
        <v>-83.029988011952966</v>
      </c>
      <c r="AO123" s="525">
        <f t="shared" si="855"/>
        <v>0</v>
      </c>
      <c r="AP123" s="528">
        <f t="shared" si="838"/>
        <v>-90</v>
      </c>
      <c r="AQ123" s="529">
        <f t="shared" si="744"/>
        <v>0.32332725506143417</v>
      </c>
      <c r="AS123" s="932">
        <f t="shared" si="842"/>
        <v>-312.30048275256922</v>
      </c>
      <c r="AT123" s="928">
        <f t="shared" si="745"/>
        <v>-3.5078416729380071</v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>Taper</v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>
        <f t="shared" si="731"/>
        <v>6.2359999999999998</v>
      </c>
      <c r="IJ123" s="674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>0.13600000000000001</v>
      </c>
      <c r="IK123" s="677" cm="1">
        <f t="array" ref="IK123">IFERROR(ROUND(VALUE(IF($IJ123&lt;1,$IJ123+LARGE((IF($M$9:$M$150="",0,$M$9:$M$150)-MOD(IF($M$9:$M$150="",0,$M$9:$M$150),1)),1),$IJ123)),4),"")</f>
        <v>6.1360000000000001</v>
      </c>
      <c r="IL123" s="482">
        <f t="shared" si="807"/>
        <v>1613</v>
      </c>
      <c r="IM123" s="482" t="str">
        <f t="shared" si="732"/>
        <v>CPS-32193r1</v>
      </c>
      <c r="IN123" s="670">
        <f t="shared" si="808"/>
        <v>9.3608729390896031</v>
      </c>
      <c r="IO123" s="702">
        <v>3.5213387663094703E-2</v>
      </c>
      <c r="IP123" s="5">
        <f t="shared" si="809"/>
        <v>2.88</v>
      </c>
      <c r="IQ123" s="714">
        <v>1440</v>
      </c>
      <c r="IR123" s="9">
        <f t="shared" si="810"/>
        <v>-7.0703213240891136</v>
      </c>
      <c r="IS123" s="5">
        <f t="shared" si="811"/>
        <v>-3.7099607918837489</v>
      </c>
      <c r="IT123" s="5">
        <f t="shared" si="812"/>
        <v>0.3125</v>
      </c>
      <c r="IU123" s="5">
        <f t="shared" si="813"/>
        <v>0.27035983081544951</v>
      </c>
      <c r="IV123" s="670">
        <f t="shared" si="814"/>
        <v>83.999987871902363</v>
      </c>
      <c r="IW123" s="9">
        <f t="shared" si="815"/>
        <v>-7.0507586261945132</v>
      </c>
      <c r="IX123" s="5">
        <f t="shared" si="816"/>
        <v>-3.7247170186847391</v>
      </c>
      <c r="IY123" s="5">
        <f t="shared" si="817"/>
        <v>0.255</v>
      </c>
      <c r="IZ123" s="5">
        <f t="shared" si="818"/>
        <v>0.255</v>
      </c>
      <c r="JA123" s="705">
        <f t="shared" si="819"/>
        <v>83.029988011952966</v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8.7755953226216423</v>
      </c>
      <c r="BA151" s="288">
        <f>SUM(BA9:BA150)</f>
        <v>0.99999999999999978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354" t="s">
        <v>42</v>
      </c>
      <c r="C157" s="1355"/>
      <c r="D157" s="1355"/>
      <c r="E157" s="1355"/>
      <c r="F157" s="1355"/>
      <c r="G157" s="1355"/>
      <c r="H157" s="1355"/>
      <c r="I157" s="1355"/>
      <c r="J157" s="1355"/>
      <c r="K157" s="1355"/>
      <c r="L157" s="1355"/>
      <c r="M157" s="1355"/>
      <c r="N157" s="1355"/>
      <c r="O157" s="1356"/>
      <c r="BC157" t="s">
        <v>101</v>
      </c>
      <c r="BD157" s="219">
        <v>0</v>
      </c>
    </row>
    <row r="158" spans="1:261" ht="15" customHeight="1" x14ac:dyDescent="0.25">
      <c r="B158" s="1357"/>
      <c r="C158" s="1358"/>
      <c r="D158" s="1358"/>
      <c r="E158" s="1358"/>
      <c r="F158" s="1358"/>
      <c r="G158" s="1358"/>
      <c r="H158" s="1358"/>
      <c r="I158" s="1358"/>
      <c r="J158" s="1358"/>
      <c r="K158" s="1358"/>
      <c r="L158" s="1358"/>
      <c r="M158" s="1358"/>
      <c r="N158" s="1358"/>
      <c r="O158" s="1359"/>
      <c r="BC158" t="s">
        <v>102</v>
      </c>
      <c r="BD158" s="219">
        <v>0.01</v>
      </c>
    </row>
    <row r="159" spans="1:261" ht="15" customHeight="1" x14ac:dyDescent="0.25">
      <c r="B159" s="1357"/>
      <c r="C159" s="1358"/>
      <c r="D159" s="1358"/>
      <c r="E159" s="1358"/>
      <c r="F159" s="1358"/>
      <c r="G159" s="1358"/>
      <c r="H159" s="1358"/>
      <c r="I159" s="1358"/>
      <c r="J159" s="1358"/>
      <c r="K159" s="1358"/>
      <c r="L159" s="1358"/>
      <c r="M159" s="1358"/>
      <c r="N159" s="1358"/>
      <c r="O159" s="1359"/>
      <c r="AJ159" s="31" t="s">
        <v>349</v>
      </c>
      <c r="AU159"/>
    </row>
    <row r="160" spans="1:261" ht="15" customHeight="1" x14ac:dyDescent="0.25">
      <c r="B160" s="1360" t="str">
        <f>CONCATENATE(B162," ; ",E162," ; ",H163)</f>
        <v>Absolute-Point ; Incremental-Vector Point ; Radius</v>
      </c>
      <c r="C160" s="1361"/>
      <c r="D160" s="1361"/>
      <c r="E160" s="1361"/>
      <c r="F160" s="1361"/>
      <c r="G160" s="1361"/>
      <c r="H160" s="1361"/>
      <c r="I160" s="1361"/>
      <c r="J160" s="1361"/>
      <c r="K160" s="1361"/>
      <c r="L160" s="1361"/>
      <c r="M160" s="1361"/>
      <c r="N160" s="1361"/>
      <c r="O160" s="1362"/>
      <c r="AJ160" s="82">
        <f>COUNT(_xlfn.ANCHORARRAY($AJ$164))</f>
        <v>690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360"/>
      <c r="C161" s="1361"/>
      <c r="D161" s="1361"/>
      <c r="E161" s="1361"/>
      <c r="F161" s="1361"/>
      <c r="G161" s="1361"/>
      <c r="H161" s="1361"/>
      <c r="I161" s="1361"/>
      <c r="J161" s="1361"/>
      <c r="K161" s="1361"/>
      <c r="L161" s="1361"/>
      <c r="M161" s="1361"/>
      <c r="N161" s="1361"/>
      <c r="O161" s="1362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089" t="s">
        <v>40</v>
      </c>
      <c r="C162" s="1090"/>
      <c r="D162" s="1091"/>
      <c r="E162" s="1092" t="s">
        <v>41</v>
      </c>
      <c r="F162" s="1090"/>
      <c r="G162" s="1093"/>
      <c r="H162" s="989" t="s">
        <v>305</v>
      </c>
      <c r="I162" s="987"/>
      <c r="J162" s="988"/>
      <c r="K162" s="989" t="s">
        <v>386</v>
      </c>
      <c r="L162" s="1158"/>
      <c r="M162" s="937"/>
      <c r="N162" s="1094" t="s">
        <v>398</v>
      </c>
      <c r="O162" s="1095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-9.8736745793030978E-8</v>
      </c>
      <c r="C164" s="646">
        <v>0.33880101542601143</v>
      </c>
      <c r="D164" s="647">
        <v>-0.93825278937596535</v>
      </c>
      <c r="E164" s="648">
        <v>-0.92387955420894763</v>
      </c>
      <c r="F164" s="646">
        <v>-5.9864861255108155E-2</v>
      </c>
      <c r="G164" s="649">
        <v>0.3779719139057594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419</v>
      </c>
      <c r="M164" s="980"/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-9.8736745793030978E-8</v>
      </c>
      <c r="R164" s="162">
        <f t="shared" ref="R164:R195" si="1060">IFERROR(INDEX(C$164:C$305,MATCH($Y164,$J$164:$J$305,0)),"")</f>
        <v>0.33880101542601143</v>
      </c>
      <c r="S164" s="162">
        <f t="shared" ref="S164:S195" si="1061">IFERROR(INDEX(D$164:D$305,MATCH($Y164,$J$164:$J$305,0)),"")</f>
        <v>-0.93825278937596535</v>
      </c>
      <c r="T164" s="162">
        <f t="shared" ref="T164:T195" si="1062">IFERROR(IF($N164="Y",-1*INDEX(E$164:E$305,MATCH($Y164,$J$164:$J$305,0)),INDEX(E$164:E$305,MATCH($Y164,$J$164:$J$305,0))),"")</f>
        <v>-0.92387955420894763</v>
      </c>
      <c r="U164" s="162">
        <f t="shared" ref="U164:U195" si="1063">IFERROR(IF($N164="Y",-1*INDEX(F$164:F$305,MATCH($Y164,$J$164:$J$305,0)),INDEX(F$164:F$305,MATCH($Y164,$J$164:$J$305,0))),"")</f>
        <v>-5.9864861255108155E-2</v>
      </c>
      <c r="V164" s="162">
        <f t="shared" ref="V164:V195" si="1064">IFERROR(IF($N164="Y",-1*INDEX(G$164:G$305,MATCH($Y164,$J$164:$J$305,0)),INDEX(G$164:G$305,MATCH($Y164,$J$164:$J$305,0))),"")</f>
        <v>0.3779719139057594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78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853">ROUNDDOWN((_xlfn.ANCHORARRAY(AJ164)*1000),0)/1000</f>
        <v>6.2359999999999998</v>
      </c>
      <c r="AF164" s="166" cm="1">
        <f t="array" ref="AF164:AF853">ROUNDDOWN(_xlfn.ANCHORARRAY(AJ164),0)</f>
        <v>6</v>
      </c>
      <c r="AG164" s="82" cm="1">
        <f t="array" ref="AG164:AG853">VALUE(RIGHT(ROUNDDOWN(_xlfn.ANCHORARRAY(AJ164)*10,0),1))</f>
        <v>2</v>
      </c>
      <c r="AH164" s="82" cm="1">
        <f t="array" ref="AH164:AH853">VALUE(LEFT(RIGHT((_xlfn.ANCHORARRAY($AJ$164)*100000),2),1))</f>
        <v>1</v>
      </c>
      <c r="AI164" s="82" cm="1">
        <f t="array" ref="AI164:AI853">MOD(_xlfn.ANCHORARRAY($AJ$164)*10000,1)*10</f>
        <v>0.99999999998544808</v>
      </c>
      <c r="AJ164" s="166" cm="1">
        <f t="array" ref="AJ164:AJ85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6.23611</v>
      </c>
      <c r="AK164" s="82" t="str" cm="1">
        <f t="array" ref="AK164:AK853">IF(_xlfn.ANCHORARRAY($AH$164)=1,"Base",_xlfn.ANCHORARRAY($AJ$164)-0.0001)</f>
        <v>Base</v>
      </c>
      <c r="AL164" s="162" cm="1">
        <f t="array" ref="AL164:AL85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853">IF(_xlfn.ANCHORARRAY($AH$164)=1,-INDEX($R$9:$R$150,MATCH(_xlfn.ANCHORARRAY($AE$164),$M$9:$M$150,0)),0)</f>
        <v>-7.0507586261945132</v>
      </c>
      <c r="AN164" s="162" cm="1">
        <f t="array" ref="AN164:AN853">IF(_xlfn.ANCHORARRAY($AH$164)=1,INDEX($AT$9:$AT$150,MATCH(_xlfn.ANCHORARRAY($AE$164),$M$9:$M$150,0))+((_xlfn.ANCHORARRAY($AI$164)-1)*-AS5),0)</f>
        <v>-3.5078416729343691</v>
      </c>
      <c r="AO164" s="162" cm="1">
        <f t="array" ref="AO164:AO853">IF(_xlfn.ANCHORARRAY($AH$164)=1,-INDEX($AN$9:$AN$150,MATCH(_xlfn.ANCHORARRAY($AE$164),$M$9:$M$150,0)),IF(_xlfn.ANCHORARRAY($AH$164)=2,_xlfn.ANCHORARRAY($AY$164),0))</f>
        <v>83.029988011952966</v>
      </c>
      <c r="AP164" s="162" cm="1">
        <f t="array" ref="AP164:AP853">IF(_xlfn.ANCHORARRAY($AH$164)=1,-INDEX($AO$9:$AO$150,MATCH(_xlfn.ANCHORARRAY($AE$164),$M$9:$M$150,0)),0)</f>
        <v>0</v>
      </c>
      <c r="AQ164" s="162" cm="1">
        <f t="array" ref="AQ164:AQ853">IF(_xlfn.ANCHORARRAY($AJ$164)="value",0,0)</f>
        <v>0</v>
      </c>
      <c r="AR164" s="710" t="str" cm="1">
        <f t="array" ref="AR164:AR853">INDEX($L$164:$L$305,MATCH(_xlfn.ANCHORARRAY($AE$164),$J$164:$J$305,0))</f>
        <v>32193r1.par</v>
      </c>
      <c r="AV164" s="82" t="str" cm="1">
        <f t="array" ref="AV164:AV853">INDEX(Settings!$C$3:$K$4,_xlfn.ANCHORARRAY(Assy.Model!$AG$164),_xlfn.ANCHORARRAY(Assy.Model!$AF$164))</f>
        <v>188,121,255</v>
      </c>
      <c r="AW164" s="947" cm="1">
        <f t="array" ref="AW164:AW853">-INDEX($M$164:$M$305,MATCH(_xlfn.ANCHORARRAY($AE$164),$J$164:$J$305,0))</f>
        <v>0</v>
      </c>
      <c r="AX164" s="947" cm="1">
        <f t="array" ref="AX164:AX853">-INDEX($AN$9:$AN$150,MATCH(_xlfn.ANCHORARRAY($AE$164),$M$9:$M$150,0))</f>
        <v>83.029988011952966</v>
      </c>
      <c r="AY164" s="947" cm="1">
        <f t="array" ref="AY164:AY85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-7.4814880362101331E-8</v>
      </c>
      <c r="C165" s="651">
        <v>1.083803267627905</v>
      </c>
      <c r="D165" s="652">
        <v>-0.75095224344861278</v>
      </c>
      <c r="E165" s="653">
        <v>-0.96126170705176617</v>
      </c>
      <c r="F165" s="651">
        <v>-1.4425740483648619E-2</v>
      </c>
      <c r="G165" s="654">
        <v>0.27525956580548266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419</v>
      </c>
      <c r="M165" s="981"/>
      <c r="N165" s="941"/>
      <c r="O165" s="942"/>
      <c r="P165">
        <f>-0.0514</f>
        <v>-5.1400000000000001E-2</v>
      </c>
      <c r="Q165" s="162">
        <f t="shared" si="1059"/>
        <v>-7.4814880362101331E-8</v>
      </c>
      <c r="R165" s="162">
        <f t="shared" si="1060"/>
        <v>1.083803267627905</v>
      </c>
      <c r="S165" s="162">
        <f t="shared" si="1061"/>
        <v>-0.75095224344861278</v>
      </c>
      <c r="T165" s="162">
        <f t="shared" si="1062"/>
        <v>-0.96126170705176617</v>
      </c>
      <c r="U165" s="162">
        <f t="shared" si="1063"/>
        <v>-1.4425740483648619E-2</v>
      </c>
      <c r="V165" s="162">
        <f t="shared" si="1064"/>
        <v>0.27525956580548266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6.2329999999999997</v>
      </c>
      <c r="AF165" s="82">
        <v>6</v>
      </c>
      <c r="AG165" s="82">
        <v>2</v>
      </c>
      <c r="AH165" s="82">
        <v>1</v>
      </c>
      <c r="AI165" s="82">
        <v>0.99999999998544808</v>
      </c>
      <c r="AJ165" s="166">
        <v>6.2331099999999999</v>
      </c>
      <c r="AK165" s="82" t="str">
        <v>Base</v>
      </c>
      <c r="AL165" s="162">
        <v>-26.25</v>
      </c>
      <c r="AM165" s="162">
        <v>-6.9238622261586853</v>
      </c>
      <c r="AN165" s="162">
        <v>-2.7685441897318648</v>
      </c>
      <c r="AO165" s="162">
        <v>77.369988829155716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0</v>
      </c>
      <c r="AX165" s="947">
        <v>77.369988829155716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-7.059082892006046E-8</v>
      </c>
      <c r="C166" s="651">
        <v>1.8261055065442895</v>
      </c>
      <c r="D166" s="652">
        <v>-0.55355165062300449</v>
      </c>
      <c r="E166" s="653">
        <v>-0.96592583607220739</v>
      </c>
      <c r="F166" s="651">
        <v>-1.3545538354532609E-2</v>
      </c>
      <c r="G166" s="654">
        <v>0.2584643062376179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419</v>
      </c>
      <c r="M166" s="981"/>
      <c r="N166" s="941"/>
      <c r="O166" s="942"/>
      <c r="Q166" s="162">
        <f t="shared" si="1059"/>
        <v>-7.059082892006046E-8</v>
      </c>
      <c r="R166" s="162">
        <f t="shared" si="1060"/>
        <v>1.8261055065442895</v>
      </c>
      <c r="S166" s="162">
        <f t="shared" si="1061"/>
        <v>-0.55355165062300449</v>
      </c>
      <c r="T166" s="162">
        <f t="shared" si="1062"/>
        <v>-0.96592583607220739</v>
      </c>
      <c r="U166" s="162">
        <f t="shared" si="1063"/>
        <v>-1.3545538354532609E-2</v>
      </c>
      <c r="V166" s="162">
        <f t="shared" si="1064"/>
        <v>0.2584643062376179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6.23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6.2301100000000007</v>
      </c>
      <c r="AK166" s="82" t="str">
        <v>Base</v>
      </c>
      <c r="AL166" s="162">
        <v>-26.25</v>
      </c>
      <c r="AM166" s="162">
        <v>-6.7255900726601299</v>
      </c>
      <c r="AN166" s="162">
        <v>-2.0557107621774415</v>
      </c>
      <c r="AO166" s="162">
        <v>69.48998996688681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0</v>
      </c>
      <c r="AX166" s="947">
        <v>69.48998996688681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-7.059082892859748E-8</v>
      </c>
      <c r="C167" s="651">
        <v>2.568007744121438</v>
      </c>
      <c r="D167" s="652">
        <v>-0.35475105104039617</v>
      </c>
      <c r="E167" s="653">
        <v>-0.96592583607220739</v>
      </c>
      <c r="F167" s="651">
        <v>-1.3545538354532602E-2</v>
      </c>
      <c r="G167" s="654">
        <v>0.2584643062376179</v>
      </c>
      <c r="H167" s="653">
        <v>0.314</v>
      </c>
      <c r="I167" s="920">
        <v>0.52</v>
      </c>
      <c r="J167" s="924">
        <v>1.1100000000000001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419</v>
      </c>
      <c r="M167" s="981"/>
      <c r="N167" s="941"/>
      <c r="O167" s="942"/>
      <c r="Q167" s="162">
        <f t="shared" si="1059"/>
        <v>-7.059082892859748E-8</v>
      </c>
      <c r="R167" s="162">
        <f t="shared" si="1060"/>
        <v>2.568007744121438</v>
      </c>
      <c r="S167" s="162">
        <f t="shared" si="1061"/>
        <v>-0.35475105104039617</v>
      </c>
      <c r="T167" s="162">
        <f t="shared" si="1062"/>
        <v>-0.96592583607220739</v>
      </c>
      <c r="U167" s="162">
        <f t="shared" si="1063"/>
        <v>-1.3545538354532602E-2</v>
      </c>
      <c r="V167" s="162">
        <f t="shared" si="1064"/>
        <v>0.2584643062376179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1.1100000000000001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6.2270000000000003</v>
      </c>
      <c r="AF167" s="82">
        <v>6</v>
      </c>
      <c r="AG167" s="82">
        <v>2</v>
      </c>
      <c r="AH167" s="82">
        <v>1</v>
      </c>
      <c r="AI167" s="82">
        <v>1.0000000000582077</v>
      </c>
      <c r="AJ167" s="166">
        <v>6.2271100000000006</v>
      </c>
      <c r="AK167" s="82" t="str">
        <v>Base</v>
      </c>
      <c r="AL167" s="162">
        <v>-26.25</v>
      </c>
      <c r="AM167" s="162">
        <v>-6.3819414385070949</v>
      </c>
      <c r="AN167" s="162">
        <v>-1.3854967977564514</v>
      </c>
      <c r="AO167" s="162">
        <v>55.98999191604539</v>
      </c>
      <c r="AP167" s="162">
        <v>0</v>
      </c>
      <c r="AQ167" s="162">
        <v>0</v>
      </c>
      <c r="AR167" s="710" t="str">
        <v>32193r1.par</v>
      </c>
      <c r="AV167" s="82" t="str">
        <v>188,121,255</v>
      </c>
      <c r="AW167" s="947">
        <v>0</v>
      </c>
      <c r="AX167" s="947">
        <v>55.98999191604539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-7.0548217947758436E-8</v>
      </c>
      <c r="C168" s="651">
        <v>3.3149099989555042</v>
      </c>
      <c r="D168" s="652">
        <v>-0.18335053411923408</v>
      </c>
      <c r="E168" s="653">
        <v>-0.96592583607220739</v>
      </c>
      <c r="F168" s="651">
        <v>1.6251377670192361E-2</v>
      </c>
      <c r="G168" s="654">
        <v>0.25830828854689897</v>
      </c>
      <c r="H168" s="653">
        <v>0.314</v>
      </c>
      <c r="I168" s="920">
        <v>0.52</v>
      </c>
      <c r="J168" s="924">
        <v>1.113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419</v>
      </c>
      <c r="M168" s="981"/>
      <c r="N168" s="941"/>
      <c r="O168" s="942"/>
      <c r="Q168" s="162">
        <f t="shared" si="1059"/>
        <v>-7.0548217947758436E-8</v>
      </c>
      <c r="R168" s="162">
        <f t="shared" si="1060"/>
        <v>3.3149099989555042</v>
      </c>
      <c r="S168" s="162">
        <f t="shared" si="1061"/>
        <v>-0.18335053411923408</v>
      </c>
      <c r="T168" s="162">
        <f t="shared" si="1062"/>
        <v>-0.96592583607220739</v>
      </c>
      <c r="U168" s="162">
        <f t="shared" si="1063"/>
        <v>1.6251377670192361E-2</v>
      </c>
      <c r="V168" s="162">
        <f t="shared" si="1064"/>
        <v>0.25830828854689897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1.113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6.2240000000000002</v>
      </c>
      <c r="AF168" s="82">
        <v>6</v>
      </c>
      <c r="AG168" s="82">
        <v>2</v>
      </c>
      <c r="AH168" s="82">
        <v>1</v>
      </c>
      <c r="AI168" s="82">
        <v>1.0000000000582077</v>
      </c>
      <c r="AJ168" s="166">
        <v>6.2241100000000005</v>
      </c>
      <c r="AK168" s="82" t="str">
        <v>Base</v>
      </c>
      <c r="AL168" s="162">
        <v>-26.25</v>
      </c>
      <c r="AM168" s="162">
        <v>-5.8857941714501338</v>
      </c>
      <c r="AN168" s="162">
        <v>-0.81040047208764077</v>
      </c>
      <c r="AO168" s="162">
        <v>42.359993883973615</v>
      </c>
      <c r="AP168" s="162">
        <v>0</v>
      </c>
      <c r="AQ168" s="162">
        <v>0</v>
      </c>
      <c r="AR168" s="710" t="str">
        <v>32193r1.par</v>
      </c>
      <c r="AV168" s="82" t="str">
        <v>188,121,255</v>
      </c>
      <c r="AW168" s="947">
        <v>0</v>
      </c>
      <c r="AX168" s="947">
        <v>42.359993883973615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4.1347566715413172E-3</v>
      </c>
      <c r="C169" s="651">
        <v>4.0497101080598652</v>
      </c>
      <c r="D169" s="652">
        <v>-0.17285050294834448</v>
      </c>
      <c r="E169" s="653">
        <v>-0.96448719513258974</v>
      </c>
      <c r="F169" s="651">
        <v>6.9280145772251583E-2</v>
      </c>
      <c r="G169" s="654">
        <v>0.25488176048325872</v>
      </c>
      <c r="H169" s="653">
        <v>0.314</v>
      </c>
      <c r="I169" s="920">
        <v>0.52</v>
      </c>
      <c r="J169" s="924">
        <v>1.1160000000000001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419</v>
      </c>
      <c r="M169" s="981"/>
      <c r="N169" s="941"/>
      <c r="O169" s="942"/>
      <c r="Q169" s="162">
        <f t="shared" si="1059"/>
        <v>4.1347566715413172E-3</v>
      </c>
      <c r="R169" s="162">
        <f t="shared" si="1060"/>
        <v>4.0497101080598652</v>
      </c>
      <c r="S169" s="162">
        <f t="shared" si="1061"/>
        <v>-0.17285050294834448</v>
      </c>
      <c r="T169" s="162">
        <f t="shared" si="1062"/>
        <v>-0.96448719513258974</v>
      </c>
      <c r="U169" s="162">
        <f t="shared" si="1063"/>
        <v>6.9280145772251583E-2</v>
      </c>
      <c r="V169" s="162">
        <f t="shared" si="1064"/>
        <v>0.25488176048325872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1.1160000000000001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6.2210000000000001</v>
      </c>
      <c r="AF169" s="82">
        <v>6</v>
      </c>
      <c r="AG169" s="82">
        <v>2</v>
      </c>
      <c r="AH169" s="82">
        <v>1</v>
      </c>
      <c r="AI169" s="82">
        <v>1.0000000000582077</v>
      </c>
      <c r="AJ169" s="166">
        <v>6.2211100000000004</v>
      </c>
      <c r="AK169" s="82" t="str">
        <v>Base</v>
      </c>
      <c r="AL169" s="162">
        <v>-26.25</v>
      </c>
      <c r="AM169" s="162">
        <v>-5.2680978147010773</v>
      </c>
      <c r="AN169" s="162">
        <v>-0.36845643267803119</v>
      </c>
      <c r="AO169" s="162">
        <v>28.739995850458012</v>
      </c>
      <c r="AP169" s="162">
        <v>0</v>
      </c>
      <c r="AQ169" s="162">
        <v>0</v>
      </c>
      <c r="AR169" s="710" t="str">
        <v>32193r1.par</v>
      </c>
      <c r="AV169" s="82" t="str">
        <v>188,121,255</v>
      </c>
      <c r="AW169" s="947">
        <v>0</v>
      </c>
      <c r="AX169" s="947">
        <v>28.739995850458012</v>
      </c>
      <c r="AY169" s="947">
        <v>0</v>
      </c>
    </row>
    <row r="170" spans="2:58" x14ac:dyDescent="0.25">
      <c r="B170" s="650">
        <v>3.897562586386677E-2</v>
      </c>
      <c r="C170" s="651">
        <v>4.7992562222876192</v>
      </c>
      <c r="D170" s="652">
        <v>-0.34065101034889045</v>
      </c>
      <c r="E170" s="653">
        <v>-0.96021378318356498</v>
      </c>
      <c r="F170" s="651">
        <v>0.13293891593253968</v>
      </c>
      <c r="G170" s="654">
        <v>0.2455946563241696</v>
      </c>
      <c r="H170" s="653">
        <v>0.314</v>
      </c>
      <c r="I170" s="920">
        <v>0.52</v>
      </c>
      <c r="J170" s="924">
        <v>1.119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419</v>
      </c>
      <c r="M170" s="981"/>
      <c r="N170" s="941"/>
      <c r="O170" s="942"/>
      <c r="Q170" s="162">
        <f t="shared" si="1059"/>
        <v>3.897562586386677E-2</v>
      </c>
      <c r="R170" s="162">
        <f t="shared" si="1060"/>
        <v>4.7992562222876192</v>
      </c>
      <c r="S170" s="162">
        <f t="shared" si="1061"/>
        <v>-0.34065101034889045</v>
      </c>
      <c r="T170" s="162">
        <f t="shared" si="1062"/>
        <v>-0.96021378318356498</v>
      </c>
      <c r="U170" s="162">
        <f t="shared" si="1063"/>
        <v>0.13293891593253968</v>
      </c>
      <c r="V170" s="162">
        <f t="shared" si="1064"/>
        <v>0.2455946563241696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1.119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6.218</v>
      </c>
      <c r="AF170" s="82">
        <v>6</v>
      </c>
      <c r="AG170" s="82">
        <v>2</v>
      </c>
      <c r="AH170" s="82">
        <v>1</v>
      </c>
      <c r="AI170" s="82">
        <v>1.0000000000582077</v>
      </c>
      <c r="AJ170" s="166">
        <v>6.2181100000000002</v>
      </c>
      <c r="AK170" s="82" t="str">
        <v>Base</v>
      </c>
      <c r="AL170" s="162">
        <v>-26.25</v>
      </c>
      <c r="AM170" s="162">
        <v>-4.5604424072880363</v>
      </c>
      <c r="AN170" s="162">
        <v>-8.1935510762252972E-2</v>
      </c>
      <c r="AO170" s="162">
        <v>15.039997828492989</v>
      </c>
      <c r="AP170" s="162">
        <v>0</v>
      </c>
      <c r="AQ170" s="162">
        <v>0</v>
      </c>
      <c r="AR170" s="710" t="str">
        <v>32193r1.par</v>
      </c>
      <c r="AV170" s="82" t="str">
        <v>188,121,255</v>
      </c>
      <c r="AW170" s="947">
        <v>0</v>
      </c>
      <c r="AX170" s="947">
        <v>15.039997828492989</v>
      </c>
      <c r="AY170" s="947">
        <v>0</v>
      </c>
    </row>
    <row r="171" spans="2:58" x14ac:dyDescent="0.25">
      <c r="B171" s="650">
        <v>0.10114156174335165</v>
      </c>
      <c r="C171" s="651">
        <v>5.4766826872127856</v>
      </c>
      <c r="D171" s="652">
        <v>-0.67655202613442689</v>
      </c>
      <c r="E171" s="653">
        <v>-0.9538122207719516</v>
      </c>
      <c r="F171" s="651">
        <v>0.19875395826450512</v>
      </c>
      <c r="G171" s="654">
        <v>0.22525343855370816</v>
      </c>
      <c r="H171" s="653">
        <v>0.314</v>
      </c>
      <c r="I171" s="920">
        <v>0.52</v>
      </c>
      <c r="J171" s="924">
        <v>1.1220000000000001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419</v>
      </c>
      <c r="M171" s="981"/>
      <c r="N171" s="941"/>
      <c r="O171" s="942"/>
      <c r="Q171" s="162">
        <f t="shared" si="1059"/>
        <v>0.10114156174335165</v>
      </c>
      <c r="R171" s="162">
        <f t="shared" si="1060"/>
        <v>5.4766826872127856</v>
      </c>
      <c r="S171" s="162">
        <f t="shared" si="1061"/>
        <v>-0.67655202613442689</v>
      </c>
      <c r="T171" s="162">
        <f t="shared" si="1062"/>
        <v>-0.9538122207719516</v>
      </c>
      <c r="U171" s="162">
        <f t="shared" si="1063"/>
        <v>0.19875395826450512</v>
      </c>
      <c r="V171" s="162">
        <f t="shared" si="1064"/>
        <v>0.22525343855370816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1.1220000000000001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6.2149999999999999</v>
      </c>
      <c r="AF171" s="82">
        <v>6</v>
      </c>
      <c r="AG171" s="82">
        <v>2</v>
      </c>
      <c r="AH171" s="82">
        <v>1</v>
      </c>
      <c r="AI171" s="82">
        <v>0.99999999998544808</v>
      </c>
      <c r="AJ171" s="166">
        <v>6.2151100000000001</v>
      </c>
      <c r="AK171" s="82" t="str">
        <v>Base</v>
      </c>
      <c r="AL171" s="162">
        <v>-26.25</v>
      </c>
      <c r="AM171" s="162">
        <v>-3.8078821406039243</v>
      </c>
      <c r="AN171" s="162">
        <v>2.6446319001381863E-2</v>
      </c>
      <c r="AO171" s="162">
        <v>1.3999997978650478</v>
      </c>
      <c r="AP171" s="162">
        <v>0</v>
      </c>
      <c r="AQ171" s="162">
        <v>0</v>
      </c>
      <c r="AR171" s="710" t="str">
        <v>32193r1.par</v>
      </c>
      <c r="AV171" s="82" t="str">
        <v>188,121,255</v>
      </c>
      <c r="AW171" s="947">
        <v>0</v>
      </c>
      <c r="AX171" s="947">
        <v>1.3999997978650478</v>
      </c>
      <c r="AY171" s="947">
        <v>0</v>
      </c>
    </row>
    <row r="172" spans="2:58" x14ac:dyDescent="0.25">
      <c r="B172" s="650">
        <v>0.17776393662822648</v>
      </c>
      <c r="C172" s="651">
        <v>6.0565100865315848</v>
      </c>
      <c r="D172" s="652">
        <v>-1.1616534911557319</v>
      </c>
      <c r="E172" s="653">
        <v>-0.93589099160587108</v>
      </c>
      <c r="F172" s="651">
        <v>0.28334464705400031</v>
      </c>
      <c r="G172" s="654">
        <v>0.20934149807628549</v>
      </c>
      <c r="H172" s="653">
        <v>0.314</v>
      </c>
      <c r="I172" s="920">
        <v>0.52</v>
      </c>
      <c r="J172" s="924">
        <v>1.125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419</v>
      </c>
      <c r="M172" s="981"/>
      <c r="N172" s="941"/>
      <c r="O172" s="942"/>
      <c r="Q172" s="162">
        <f t="shared" si="1059"/>
        <v>0.17776393662822648</v>
      </c>
      <c r="R172" s="162">
        <f t="shared" si="1060"/>
        <v>6.0565100865315848</v>
      </c>
      <c r="S172" s="162">
        <f t="shared" si="1061"/>
        <v>-1.1616534911557319</v>
      </c>
      <c r="T172" s="162">
        <f t="shared" si="1062"/>
        <v>-0.93589099160587108</v>
      </c>
      <c r="U172" s="162">
        <f t="shared" si="1063"/>
        <v>0.28334464705400031</v>
      </c>
      <c r="V172" s="162">
        <f t="shared" si="1064"/>
        <v>0.20934149807628549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1.125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6.1390000000000002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6.1391100000000005</v>
      </c>
      <c r="AK172" s="82" t="str">
        <v>Base</v>
      </c>
      <c r="AL172" s="162">
        <v>-25.5</v>
      </c>
      <c r="AM172" s="162">
        <v>-7.134921518923302</v>
      </c>
      <c r="AN172" s="162">
        <v>-4.2546283992008354</v>
      </c>
      <c r="AO172" s="162">
        <v>87.999987294373938</v>
      </c>
      <c r="AP172" s="162">
        <v>-32.399995322019443</v>
      </c>
      <c r="AQ172" s="162">
        <v>0</v>
      </c>
      <c r="AR172" s="710" t="str">
        <v>1613.par</v>
      </c>
      <c r="AV172" s="82" t="str">
        <v>127,0,255</v>
      </c>
      <c r="AW172" s="947">
        <v>0</v>
      </c>
      <c r="AX172" s="947">
        <v>87.999987294373938</v>
      </c>
      <c r="AY172" s="947">
        <v>0</v>
      </c>
    </row>
    <row r="173" spans="2:58" x14ac:dyDescent="0.25">
      <c r="B173" s="650">
        <v>0.25283501958839538</v>
      </c>
      <c r="C173" s="651">
        <v>6.5095113504141935</v>
      </c>
      <c r="D173" s="652">
        <v>-1.7686553252865127</v>
      </c>
      <c r="E173" s="653">
        <v>-0.9085577025869136</v>
      </c>
      <c r="F173" s="651">
        <v>0.37785003824266566</v>
      </c>
      <c r="G173" s="654">
        <v>0.17819160942649803</v>
      </c>
      <c r="H173" s="653">
        <v>0.314</v>
      </c>
      <c r="I173" s="920">
        <v>0.52</v>
      </c>
      <c r="J173" s="924">
        <v>1.1279999999999999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40" t="s">
        <v>419</v>
      </c>
      <c r="M173" s="981"/>
      <c r="N173" s="941"/>
      <c r="O173" s="942"/>
      <c r="Q173" s="162">
        <f t="shared" si="1059"/>
        <v>0.25283501958839538</v>
      </c>
      <c r="R173" s="162">
        <f t="shared" si="1060"/>
        <v>6.5095113504141935</v>
      </c>
      <c r="S173" s="162">
        <f t="shared" si="1061"/>
        <v>-1.7686553252865127</v>
      </c>
      <c r="T173" s="162">
        <f t="shared" si="1062"/>
        <v>-0.9085577025869136</v>
      </c>
      <c r="U173" s="162">
        <f t="shared" si="1063"/>
        <v>0.37785003824266566</v>
      </c>
      <c r="V173" s="162">
        <f t="shared" si="1064"/>
        <v>0.17819160942649803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65"/>
        <v>0.52</v>
      </c>
      <c r="Y173" s="75">
        <v>1.1279999999999999</v>
      </c>
      <c r="Z173" s="917">
        <f t="shared" si="1066"/>
        <v>1613</v>
      </c>
      <c r="AA173" s="82"/>
      <c r="AB173" s="75"/>
      <c r="AC173" s="166">
        <v>2.1000100000000002</v>
      </c>
      <c r="AD173" s="166">
        <v>-19.5</v>
      </c>
      <c r="AE173" s="75">
        <v>6.1360000000000001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6.1361100000000004</v>
      </c>
      <c r="AK173" s="82" t="str">
        <v>Base</v>
      </c>
      <c r="AL173" s="162">
        <v>-25.5</v>
      </c>
      <c r="AM173" s="162">
        <v>-7.0703213240891136</v>
      </c>
      <c r="AN173" s="162">
        <v>-3.4995860523592701</v>
      </c>
      <c r="AO173" s="162">
        <v>83.999987871902363</v>
      </c>
      <c r="AP173" s="162">
        <v>-30.099995654098326</v>
      </c>
      <c r="AQ173" s="162">
        <v>0</v>
      </c>
      <c r="AR173" s="710" t="str">
        <v>1613.par</v>
      </c>
      <c r="AV173" s="82" t="str">
        <v>127,0,255</v>
      </c>
      <c r="AW173" s="947">
        <v>0</v>
      </c>
      <c r="AX173" s="947">
        <v>83.999987871902363</v>
      </c>
      <c r="AY173" s="947">
        <v>0</v>
      </c>
    </row>
    <row r="174" spans="2:58" x14ac:dyDescent="0.25">
      <c r="B174" s="650">
        <v>0.30887597304864939</v>
      </c>
      <c r="C174" s="651">
        <v>6.8038130684464617</v>
      </c>
      <c r="D174" s="652">
        <v>-2.4581574098407448</v>
      </c>
      <c r="E174" s="653">
        <v>-0.88205895505185161</v>
      </c>
      <c r="F174" s="651">
        <v>0.45602588866680205</v>
      </c>
      <c r="G174" s="654">
        <v>0.11837393580720949</v>
      </c>
      <c r="H174" s="653">
        <v>0.314</v>
      </c>
      <c r="I174" s="920">
        <v>0.52</v>
      </c>
      <c r="J174" s="924">
        <v>1.131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1613</v>
      </c>
      <c r="L174" s="940" t="s">
        <v>419</v>
      </c>
      <c r="M174" s="981"/>
      <c r="N174" s="941"/>
      <c r="O174" s="942"/>
      <c r="Q174" s="162">
        <f t="shared" si="1059"/>
        <v>0.30887597304864939</v>
      </c>
      <c r="R174" s="162">
        <f t="shared" si="1060"/>
        <v>6.8038130684464617</v>
      </c>
      <c r="S174" s="162">
        <f t="shared" si="1061"/>
        <v>-2.4581574098407448</v>
      </c>
      <c r="T174" s="162">
        <f t="shared" si="1062"/>
        <v>-0.88205895505185161</v>
      </c>
      <c r="U174" s="162">
        <f t="shared" si="1063"/>
        <v>0.45602588866680205</v>
      </c>
      <c r="V174" s="162">
        <f t="shared" si="1064"/>
        <v>0.11837393580720949</v>
      </c>
      <c r="W174" s="162">
        <f>IFERROR(IF(ISNUMBER(MATCH($Z174,Settings!$AK$28:$AK$36,0)),INDEX(Settings!$AO$14:$AO$36,MATCH($Z174,Settings!$AK$14:$AK$36,0))/2,INDEX(Settings!$AM$14:$AM$36,MATCH($Z174,Settings!$AK$14:$AK$36,0))/2),"")</f>
        <v>0.3125</v>
      </c>
      <c r="X174" s="162">
        <f t="shared" si="1065"/>
        <v>0.52</v>
      </c>
      <c r="Y174" s="75">
        <v>1.131</v>
      </c>
      <c r="Z174" s="917">
        <f t="shared" si="1066"/>
        <v>1613</v>
      </c>
      <c r="AA174" s="82"/>
      <c r="AB174" s="75"/>
      <c r="AC174" s="166">
        <v>1.20001</v>
      </c>
      <c r="AD174" s="166">
        <v>-18.75</v>
      </c>
      <c r="AE174" s="75">
        <v>6.133</v>
      </c>
      <c r="AF174" s="82">
        <v>6</v>
      </c>
      <c r="AG174" s="82">
        <v>1</v>
      </c>
      <c r="AH174" s="82">
        <v>1</v>
      </c>
      <c r="AI174" s="82">
        <v>1.0000000000582077</v>
      </c>
      <c r="AJ174" s="166">
        <v>6.1331100000000003</v>
      </c>
      <c r="AK174" s="82" t="str">
        <v>Base</v>
      </c>
      <c r="AL174" s="162">
        <v>-25.5</v>
      </c>
      <c r="AM174" s="162">
        <v>-6.9348209154198805</v>
      </c>
      <c r="AN174" s="162">
        <v>-2.7603081973041861</v>
      </c>
      <c r="AO174" s="162">
        <v>78.099988723756766</v>
      </c>
      <c r="AP174" s="162">
        <v>-27.199996072806467</v>
      </c>
      <c r="AQ174" s="162">
        <v>0</v>
      </c>
      <c r="AR174" s="710" t="str">
        <v>1613.par</v>
      </c>
      <c r="AV174" s="82" t="str">
        <v>127,0,255</v>
      </c>
      <c r="AW174" s="947">
        <v>0</v>
      </c>
      <c r="AX174" s="947">
        <v>78.099988723756766</v>
      </c>
      <c r="AY174" s="947">
        <v>0</v>
      </c>
    </row>
    <row r="175" spans="2:58" x14ac:dyDescent="0.25">
      <c r="B175" s="650">
        <v>0.3449807885302415</v>
      </c>
      <c r="C175" s="651">
        <v>6.9789998686601757</v>
      </c>
      <c r="D175" s="652">
        <v>-3.1750595741496226</v>
      </c>
      <c r="E175" s="653">
        <v>-0.85992977294919504</v>
      </c>
      <c r="F175" s="651">
        <v>0.50403219029403068</v>
      </c>
      <c r="G175" s="654">
        <v>8.0450834321019529E-2</v>
      </c>
      <c r="H175" s="653">
        <v>0.314</v>
      </c>
      <c r="I175" s="920">
        <v>0.52</v>
      </c>
      <c r="J175" s="924">
        <v>1.1339999999999999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1613</v>
      </c>
      <c r="L175" s="940" t="s">
        <v>419</v>
      </c>
      <c r="M175" s="981"/>
      <c r="N175" s="941"/>
      <c r="O175" s="942"/>
      <c r="Q175" s="162">
        <f t="shared" si="1059"/>
        <v>0.3449807885302415</v>
      </c>
      <c r="R175" s="162">
        <f t="shared" si="1060"/>
        <v>6.9789998686601757</v>
      </c>
      <c r="S175" s="162">
        <f t="shared" si="1061"/>
        <v>-3.1750595741496226</v>
      </c>
      <c r="T175" s="162">
        <f t="shared" si="1062"/>
        <v>-0.85992977294919504</v>
      </c>
      <c r="U175" s="162">
        <f t="shared" si="1063"/>
        <v>0.50403219029403068</v>
      </c>
      <c r="V175" s="162">
        <f t="shared" si="1064"/>
        <v>8.0450834321019529E-2</v>
      </c>
      <c r="W175" s="162">
        <f>IFERROR(IF(ISNUMBER(MATCH($Z175,Settings!$AK$28:$AK$36,0)),INDEX(Settings!$AO$14:$AO$36,MATCH($Z175,Settings!$AK$14:$AK$36,0))/2,INDEX(Settings!$AM$14:$AM$36,MATCH($Z175,Settings!$AK$14:$AK$36,0))/2),"")</f>
        <v>0.3125</v>
      </c>
      <c r="X175" s="162">
        <f t="shared" si="1065"/>
        <v>0.52</v>
      </c>
      <c r="Y175" s="75">
        <v>1.1339999999999999</v>
      </c>
      <c r="Z175" s="917">
        <f t="shared" si="1066"/>
        <v>1613</v>
      </c>
      <c r="AA175" s="82"/>
      <c r="AB175" s="75"/>
      <c r="AC175" s="166">
        <v>1.1000100000000002</v>
      </c>
      <c r="AD175" s="166">
        <v>-18</v>
      </c>
      <c r="AE175" s="75">
        <v>6.13</v>
      </c>
      <c r="AF175" s="82">
        <v>6</v>
      </c>
      <c r="AG175" s="82">
        <v>1</v>
      </c>
      <c r="AH175" s="82">
        <v>1</v>
      </c>
      <c r="AI175" s="82">
        <v>0.99999999998544808</v>
      </c>
      <c r="AJ175" s="166">
        <v>6.1301100000000002</v>
      </c>
      <c r="AK175" s="82" t="str">
        <v>Base</v>
      </c>
      <c r="AL175" s="162">
        <v>-25.5</v>
      </c>
      <c r="AM175" s="162">
        <v>-6.7300202977412189</v>
      </c>
      <c r="AN175" s="162">
        <v>-2.0485900779403274</v>
      </c>
      <c r="AO175" s="162">
        <v>70.19998986437551</v>
      </c>
      <c r="AP175" s="162">
        <v>-24.799996419323509</v>
      </c>
      <c r="AQ175" s="162">
        <v>0</v>
      </c>
      <c r="AR175" s="710" t="str">
        <v>1613.par</v>
      </c>
      <c r="AV175" s="82" t="str">
        <v>127,0,255</v>
      </c>
      <c r="AW175" s="947">
        <v>0</v>
      </c>
      <c r="AX175" s="947">
        <v>70.19998986437551</v>
      </c>
      <c r="AY175" s="947">
        <v>0</v>
      </c>
    </row>
    <row r="176" spans="2:58" x14ac:dyDescent="0.25">
      <c r="B176" s="650">
        <v>0.36885222568310089</v>
      </c>
      <c r="C176" s="651">
        <v>7.089732901535708</v>
      </c>
      <c r="D176" s="652">
        <v>-3.9200618225372401</v>
      </c>
      <c r="E176" s="653">
        <v>-0.82735998828794721</v>
      </c>
      <c r="F176" s="651">
        <v>0.56050838575561779</v>
      </c>
      <c r="G176" s="654">
        <v>3.6135844777718175E-2</v>
      </c>
      <c r="H176" s="653">
        <v>0.314</v>
      </c>
      <c r="I176" s="920">
        <v>0.52</v>
      </c>
      <c r="J176" s="924">
        <v>1.137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1613</v>
      </c>
      <c r="L176" s="940" t="s">
        <v>419</v>
      </c>
      <c r="M176" s="981"/>
      <c r="N176" s="941"/>
      <c r="O176" s="942"/>
      <c r="Q176" s="162">
        <f t="shared" si="1059"/>
        <v>0.36885222568310089</v>
      </c>
      <c r="R176" s="162">
        <f t="shared" si="1060"/>
        <v>7.089732901535708</v>
      </c>
      <c r="S176" s="162">
        <f t="shared" si="1061"/>
        <v>-3.9200618225372401</v>
      </c>
      <c r="T176" s="162">
        <f t="shared" si="1062"/>
        <v>-0.82735998828794721</v>
      </c>
      <c r="U176" s="162">
        <f t="shared" si="1063"/>
        <v>0.56050838575561779</v>
      </c>
      <c r="V176" s="162">
        <f t="shared" si="1064"/>
        <v>3.6135844777718175E-2</v>
      </c>
      <c r="W176" s="162">
        <f>IFERROR(IF(ISNUMBER(MATCH($Z176,Settings!$AK$28:$AK$36,0)),INDEX(Settings!$AO$14:$AO$36,MATCH($Z176,Settings!$AK$14:$AK$36,0))/2,INDEX(Settings!$AM$14:$AM$36,MATCH($Z176,Settings!$AK$14:$AK$36,0))/2),"")</f>
        <v>0.3125</v>
      </c>
      <c r="X176" s="162">
        <f t="shared" si="1065"/>
        <v>0.52</v>
      </c>
      <c r="Y176" s="75">
        <v>1.137</v>
      </c>
      <c r="Z176" s="917">
        <f t="shared" si="1066"/>
        <v>1613</v>
      </c>
      <c r="AA176" s="82"/>
      <c r="AB176" s="75"/>
      <c r="AC176" s="166">
        <v>6.2000200000000003</v>
      </c>
      <c r="AD176" s="166">
        <v>-17.25</v>
      </c>
      <c r="AE176" s="75">
        <v>6.1269999999999998</v>
      </c>
      <c r="AF176" s="82">
        <v>6</v>
      </c>
      <c r="AG176" s="82">
        <v>1</v>
      </c>
      <c r="AH176" s="82">
        <v>1</v>
      </c>
      <c r="AI176" s="82">
        <v>0.99999999998544808</v>
      </c>
      <c r="AJ176" s="166">
        <v>6.1271100000000001</v>
      </c>
      <c r="AK176" s="82" t="str">
        <v>Base</v>
      </c>
      <c r="AL176" s="162">
        <v>-25.5</v>
      </c>
      <c r="AM176" s="162">
        <v>-6.3792192397252263</v>
      </c>
      <c r="AN176" s="162">
        <v>-1.3822914702026365</v>
      </c>
      <c r="AO176" s="162">
        <v>58.499991553646176</v>
      </c>
      <c r="AP176" s="162">
        <v>-21.599996881346296</v>
      </c>
      <c r="AQ176" s="162">
        <v>0</v>
      </c>
      <c r="AR176" s="710" t="str">
        <v>1613.par</v>
      </c>
      <c r="AV176" s="82" t="str">
        <v>127,0,255</v>
      </c>
      <c r="AW176" s="947">
        <v>0</v>
      </c>
      <c r="AX176" s="947">
        <v>58.499991553646176</v>
      </c>
      <c r="AY176" s="947">
        <v>0</v>
      </c>
    </row>
    <row r="177" spans="2:51" x14ac:dyDescent="0.25">
      <c r="B177" s="650">
        <v>0.37663369528405083</v>
      </c>
      <c r="C177" s="651">
        <v>7.1249738372274685</v>
      </c>
      <c r="D177" s="652">
        <v>-4.6801641152760958</v>
      </c>
      <c r="E177" s="653">
        <v>-0.81488313638440091</v>
      </c>
      <c r="F177" s="651">
        <v>0.57932355078025477</v>
      </c>
      <c r="G177" s="654">
        <v>1.8700201808521898E-2</v>
      </c>
      <c r="H177" s="653">
        <v>0.314</v>
      </c>
      <c r="I177" s="920">
        <v>0.52</v>
      </c>
      <c r="J177" s="924">
        <v>1.1399999999999999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1613</v>
      </c>
      <c r="L177" s="940" t="s">
        <v>419</v>
      </c>
      <c r="M177" s="981"/>
      <c r="N177" s="941"/>
      <c r="O177" s="942"/>
      <c r="Q177" s="162">
        <f t="shared" si="1059"/>
        <v>0.37663369528405083</v>
      </c>
      <c r="R177" s="162">
        <f t="shared" si="1060"/>
        <v>7.1249738372274685</v>
      </c>
      <c r="S177" s="162">
        <f t="shared" si="1061"/>
        <v>-4.6801641152760958</v>
      </c>
      <c r="T177" s="162">
        <f t="shared" si="1062"/>
        <v>-0.81488313638440091</v>
      </c>
      <c r="U177" s="162">
        <f t="shared" si="1063"/>
        <v>0.57932355078025477</v>
      </c>
      <c r="V177" s="162">
        <f t="shared" si="1064"/>
        <v>1.8700201808521898E-2</v>
      </c>
      <c r="W177" s="162">
        <f>IFERROR(IF(ISNUMBER(MATCH($Z177,Settings!$AK$28:$AK$36,0)),INDEX(Settings!$AO$14:$AO$36,MATCH($Z177,Settings!$AK$14:$AK$36,0))/2,INDEX(Settings!$AM$14:$AM$36,MATCH($Z177,Settings!$AK$14:$AK$36,0))/2),"")</f>
        <v>0.3125</v>
      </c>
      <c r="X177" s="162">
        <f t="shared" si="1065"/>
        <v>0.52</v>
      </c>
      <c r="Y177" s="75">
        <v>1.1399999999999999</v>
      </c>
      <c r="Z177" s="917">
        <f t="shared" si="1066"/>
        <v>1613</v>
      </c>
      <c r="AA177" s="82"/>
      <c r="AB177" s="75"/>
      <c r="AC177" s="166">
        <v>6.1000199999999998</v>
      </c>
      <c r="AD177" s="166">
        <v>-16.5</v>
      </c>
      <c r="AE177" s="75">
        <v>6.1239999999999997</v>
      </c>
      <c r="AF177" s="82">
        <v>6</v>
      </c>
      <c r="AG177" s="82">
        <v>1</v>
      </c>
      <c r="AH177" s="82">
        <v>1</v>
      </c>
      <c r="AI177" s="82">
        <v>0.99999999998544808</v>
      </c>
      <c r="AJ177" s="166">
        <v>6.1241099999999999</v>
      </c>
      <c r="AK177" s="82" t="str">
        <v>Base</v>
      </c>
      <c r="AL177" s="162">
        <v>-25.5</v>
      </c>
      <c r="AM177" s="162">
        <v>-5.8779177277998684</v>
      </c>
      <c r="AN177" s="162">
        <v>-0.81379329600346306</v>
      </c>
      <c r="AO177" s="162">
        <v>46.699993257355175</v>
      </c>
      <c r="AP177" s="162">
        <v>-18.099997386683679</v>
      </c>
      <c r="AQ177" s="162">
        <v>0</v>
      </c>
      <c r="AR177" s="710" t="str">
        <v>1613.par</v>
      </c>
      <c r="AV177" s="82" t="str">
        <v>127,0,255</v>
      </c>
      <c r="AW177" s="947">
        <v>0</v>
      </c>
      <c r="AX177" s="947">
        <v>46.699993257355175</v>
      </c>
      <c r="AY177" s="947">
        <v>0</v>
      </c>
    </row>
    <row r="178" spans="2:51" x14ac:dyDescent="0.25">
      <c r="B178" s="650">
        <v>1.1551581487263307</v>
      </c>
      <c r="C178" s="651">
        <v>3.8858260880637112</v>
      </c>
      <c r="D178" s="652">
        <v>-0.17109929442283581</v>
      </c>
      <c r="E178" s="653">
        <v>2.884551131317685E-2</v>
      </c>
      <c r="F178" s="651">
        <v>9.7033155596805212E-2</v>
      </c>
      <c r="G178" s="654">
        <v>0.99486305750691517</v>
      </c>
      <c r="H178" s="653">
        <v>0.25700000000000001</v>
      </c>
      <c r="I178" s="920">
        <v>0.41499999999999992</v>
      </c>
      <c r="J178" s="924">
        <v>1.216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421</v>
      </c>
      <c r="M178" s="981"/>
      <c r="N178" s="941"/>
      <c r="O178" s="942"/>
      <c r="Q178" s="162">
        <f t="shared" si="1059"/>
        <v>1.1551581487263307</v>
      </c>
      <c r="R178" s="162">
        <f t="shared" si="1060"/>
        <v>3.8858260880637112</v>
      </c>
      <c r="S178" s="162">
        <f t="shared" si="1061"/>
        <v>-0.17109929442283581</v>
      </c>
      <c r="T178" s="162">
        <f t="shared" si="1062"/>
        <v>2.884551131317685E-2</v>
      </c>
      <c r="U178" s="162">
        <f t="shared" si="1063"/>
        <v>9.7033155596805212E-2</v>
      </c>
      <c r="V178" s="162">
        <f t="shared" si="1064"/>
        <v>0.99486305750691517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1.216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6.1210000000000004</v>
      </c>
      <c r="AF178" s="82">
        <v>6</v>
      </c>
      <c r="AG178" s="82">
        <v>1</v>
      </c>
      <c r="AH178" s="82">
        <v>1</v>
      </c>
      <c r="AI178" s="82">
        <v>1.0000000000582077</v>
      </c>
      <c r="AJ178" s="166">
        <v>6.1211100000000007</v>
      </c>
      <c r="AK178" s="82" t="str">
        <v>Base</v>
      </c>
      <c r="AL178" s="162">
        <v>-25.5</v>
      </c>
      <c r="AM178" s="162">
        <v>-5.260115864509447</v>
      </c>
      <c r="AN178" s="162">
        <v>-0.37672780978808063</v>
      </c>
      <c r="AO178" s="162">
        <v>34.899994961064216</v>
      </c>
      <c r="AP178" s="162">
        <v>-16.499997617695072</v>
      </c>
      <c r="AQ178" s="162">
        <v>0</v>
      </c>
      <c r="AR178" s="710" t="str">
        <v>1613.par</v>
      </c>
      <c r="AV178" s="82" t="str">
        <v>127,0,255</v>
      </c>
      <c r="AW178" s="947">
        <v>0</v>
      </c>
      <c r="AX178" s="947">
        <v>34.899994961064216</v>
      </c>
      <c r="AY178" s="947">
        <v>0</v>
      </c>
    </row>
    <row r="179" spans="2:51" x14ac:dyDescent="0.25">
      <c r="B179" s="650">
        <v>1.1894777167010131</v>
      </c>
      <c r="C179" s="651">
        <v>4.6566531221765635</v>
      </c>
      <c r="D179" s="652">
        <v>-0.3397200789822945</v>
      </c>
      <c r="E179" s="653">
        <v>8.3224226827587663E-2</v>
      </c>
      <c r="F179" s="651">
        <v>0.32581220333598743</v>
      </c>
      <c r="G179" s="654">
        <v>0.94176437404814772</v>
      </c>
      <c r="H179" s="653">
        <v>0.25700000000000001</v>
      </c>
      <c r="I179" s="920">
        <v>0.41499999999999992</v>
      </c>
      <c r="J179" s="924">
        <v>1.2190000000000001</v>
      </c>
      <c r="K179" s="790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940" t="s">
        <v>421</v>
      </c>
      <c r="M179" s="981"/>
      <c r="N179" s="941"/>
      <c r="O179" s="942"/>
      <c r="Q179" s="162">
        <f t="shared" si="1059"/>
        <v>1.1894777167010131</v>
      </c>
      <c r="R179" s="162">
        <f t="shared" si="1060"/>
        <v>4.6566531221765635</v>
      </c>
      <c r="S179" s="162">
        <f t="shared" si="1061"/>
        <v>-0.3397200789822945</v>
      </c>
      <c r="T179" s="162">
        <f t="shared" si="1062"/>
        <v>8.3224226827587663E-2</v>
      </c>
      <c r="U179" s="162">
        <f t="shared" si="1063"/>
        <v>0.32581220333598743</v>
      </c>
      <c r="V179" s="162">
        <f t="shared" si="1064"/>
        <v>0.94176437404814772</v>
      </c>
      <c r="W179" s="162">
        <f>IFERROR(IF(ISNUMBER(MATCH($Z179,Settings!$AK$28:$AK$36,0)),INDEX(Settings!$AO$14:$AO$36,MATCH($Z179,Settings!$AK$14:$AK$36,0))/2,INDEX(Settings!$AM$14:$AM$36,MATCH($Z179,Settings!$AK$14:$AK$36,0))/2),"")</f>
        <v>0.255</v>
      </c>
      <c r="X179" s="162">
        <f t="shared" si="1065"/>
        <v>0.41499999999999992</v>
      </c>
      <c r="Y179" s="75">
        <v>1.2190000000000001</v>
      </c>
      <c r="Z179" s="917" t="str">
        <f t="shared" si="1066"/>
        <v>CPS-32193r1</v>
      </c>
      <c r="AA179" s="82"/>
      <c r="AB179" s="75"/>
      <c r="AC179" s="166">
        <v>5.1000199999999998</v>
      </c>
      <c r="AD179" s="166">
        <v>-15</v>
      </c>
      <c r="AE179" s="75">
        <v>6.1180000000000003</v>
      </c>
      <c r="AF179" s="82">
        <v>6</v>
      </c>
      <c r="AG179" s="82">
        <v>1</v>
      </c>
      <c r="AH179" s="82">
        <v>1</v>
      </c>
      <c r="AI179" s="82">
        <v>1.0000000000582077</v>
      </c>
      <c r="AJ179" s="166">
        <v>6.1181100000000006</v>
      </c>
      <c r="AK179" s="82" t="str">
        <v>Base</v>
      </c>
      <c r="AL179" s="162">
        <v>-25.5</v>
      </c>
      <c r="AM179" s="162">
        <v>-4.5544137361118278</v>
      </c>
      <c r="AN179" s="162">
        <v>-9.3610288027489136E-2</v>
      </c>
      <c r="AO179" s="162">
        <v>22.999996679211435</v>
      </c>
      <c r="AP179" s="162">
        <v>-15.699997733200806</v>
      </c>
      <c r="AQ179" s="162">
        <v>0</v>
      </c>
      <c r="AR179" s="710" t="str">
        <v>1613.par</v>
      </c>
      <c r="AV179" s="82" t="str">
        <v>127,0,255</v>
      </c>
      <c r="AW179" s="947">
        <v>0</v>
      </c>
      <c r="AX179" s="947">
        <v>22.999996679211435</v>
      </c>
      <c r="AY179" s="947">
        <v>0</v>
      </c>
    </row>
    <row r="180" spans="2:51" x14ac:dyDescent="0.25">
      <c r="B180" s="650">
        <v>1.2506062096965325</v>
      </c>
      <c r="C180" s="651">
        <v>5.3415538349396963</v>
      </c>
      <c r="D180" s="652">
        <v>-0.67798582622387971</v>
      </c>
      <c r="E180" s="653">
        <v>0.12509043975785641</v>
      </c>
      <c r="F180" s="651">
        <v>0.53428274465789616</v>
      </c>
      <c r="G180" s="654">
        <v>0.83599900157955431</v>
      </c>
      <c r="H180" s="653">
        <v>0.25700000000000001</v>
      </c>
      <c r="I180" s="920">
        <v>0.41499999999999992</v>
      </c>
      <c r="J180" s="924">
        <v>1.222</v>
      </c>
      <c r="K180" s="790" t="str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CPS-32193r1</v>
      </c>
      <c r="L180" s="940" t="s">
        <v>421</v>
      </c>
      <c r="M180" s="981"/>
      <c r="N180" s="941"/>
      <c r="O180" s="942"/>
      <c r="Q180" s="162">
        <f t="shared" si="1059"/>
        <v>1.2506062096965325</v>
      </c>
      <c r="R180" s="162">
        <f t="shared" si="1060"/>
        <v>5.3415538349396963</v>
      </c>
      <c r="S180" s="162">
        <f t="shared" si="1061"/>
        <v>-0.67798582622387971</v>
      </c>
      <c r="T180" s="162">
        <f t="shared" si="1062"/>
        <v>0.12509043975785641</v>
      </c>
      <c r="U180" s="162">
        <f t="shared" si="1063"/>
        <v>0.53428274465789616</v>
      </c>
      <c r="V180" s="162">
        <f t="shared" si="1064"/>
        <v>0.83599900157955431</v>
      </c>
      <c r="W180" s="162">
        <f>IFERROR(IF(ISNUMBER(MATCH($Z180,Settings!$AK$28:$AK$36,0)),INDEX(Settings!$AO$14:$AO$36,MATCH($Z180,Settings!$AK$14:$AK$36,0))/2,INDEX(Settings!$AM$14:$AM$36,MATCH($Z180,Settings!$AK$14:$AK$36,0))/2),"")</f>
        <v>0.255</v>
      </c>
      <c r="X180" s="162">
        <f t="shared" si="1065"/>
        <v>0.41499999999999992</v>
      </c>
      <c r="Y180" s="75">
        <v>1.222</v>
      </c>
      <c r="Z180" s="917" t="str">
        <f t="shared" si="1066"/>
        <v>CPS-32193r1</v>
      </c>
      <c r="AA180" s="82"/>
      <c r="AB180" s="75"/>
      <c r="AC180" s="166">
        <v>4.2000200000000003</v>
      </c>
      <c r="AD180" s="166">
        <v>-14.25</v>
      </c>
      <c r="AE180" s="75">
        <v>6.1150000000000002</v>
      </c>
      <c r="AF180" s="82">
        <v>6</v>
      </c>
      <c r="AG180" s="82">
        <v>1</v>
      </c>
      <c r="AH180" s="82">
        <v>1</v>
      </c>
      <c r="AI180" s="82">
        <v>1.0000000000582077</v>
      </c>
      <c r="AJ180" s="166">
        <v>6.1151100000000005</v>
      </c>
      <c r="AK180" s="82" t="str">
        <v>Base</v>
      </c>
      <c r="AL180" s="162">
        <v>-25.5</v>
      </c>
      <c r="AM180" s="162">
        <v>-3.8047114750098086</v>
      </c>
      <c r="AN180" s="162">
        <v>1.2887672698787767E-2</v>
      </c>
      <c r="AO180" s="162">
        <v>11.19999838292026</v>
      </c>
      <c r="AP180" s="162">
        <v>-15.199997805391808</v>
      </c>
      <c r="AQ180" s="162">
        <v>0</v>
      </c>
      <c r="AR180" s="710" t="str">
        <v>1613.par</v>
      </c>
      <c r="AV180" s="82" t="str">
        <v>127,0,255</v>
      </c>
      <c r="AW180" s="947">
        <v>0</v>
      </c>
      <c r="AX180" s="947">
        <v>11.19999838292026</v>
      </c>
      <c r="AY180" s="947">
        <v>0</v>
      </c>
    </row>
    <row r="181" spans="2:51" x14ac:dyDescent="0.25">
      <c r="B181" s="650">
        <v>1.3254492938765829</v>
      </c>
      <c r="C181" s="651">
        <v>5.9189722133244871</v>
      </c>
      <c r="D181" s="652">
        <v>-1.1682984935184935</v>
      </c>
      <c r="E181" s="653">
        <v>0.15955535437062107</v>
      </c>
      <c r="F181" s="651">
        <v>0.71251590941266618</v>
      </c>
      <c r="G181" s="654">
        <v>0.68327385997527146</v>
      </c>
      <c r="H181" s="653">
        <v>0.25700000000000001</v>
      </c>
      <c r="I181" s="920">
        <v>0.41499999999999992</v>
      </c>
      <c r="J181" s="924">
        <v>1.2250000000000001</v>
      </c>
      <c r="K181" s="790" t="str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CPS-32193r1</v>
      </c>
      <c r="L181" s="940" t="s">
        <v>421</v>
      </c>
      <c r="M181" s="981"/>
      <c r="N181" s="941"/>
      <c r="O181" s="942"/>
      <c r="Q181" s="162">
        <f t="shared" si="1059"/>
        <v>1.3254492938765829</v>
      </c>
      <c r="R181" s="162">
        <f t="shared" si="1060"/>
        <v>5.9189722133244871</v>
      </c>
      <c r="S181" s="162">
        <f t="shared" si="1061"/>
        <v>-1.1682984935184935</v>
      </c>
      <c r="T181" s="162">
        <f t="shared" si="1062"/>
        <v>0.15955535437062107</v>
      </c>
      <c r="U181" s="162">
        <f t="shared" si="1063"/>
        <v>0.71251590941266618</v>
      </c>
      <c r="V181" s="162">
        <f t="shared" si="1064"/>
        <v>0.68327385997527146</v>
      </c>
      <c r="W181" s="162">
        <f>IFERROR(IF(ISNUMBER(MATCH($Z181,Settings!$AK$28:$AK$36,0)),INDEX(Settings!$AO$14:$AO$36,MATCH($Z181,Settings!$AK$14:$AK$36,0))/2,INDEX(Settings!$AM$14:$AM$36,MATCH($Z181,Settings!$AK$14:$AK$36,0))/2),"")</f>
        <v>0.255</v>
      </c>
      <c r="X181" s="162">
        <f t="shared" si="1065"/>
        <v>0.41499999999999992</v>
      </c>
      <c r="Y181" s="75">
        <v>1.2250000000000001</v>
      </c>
      <c r="Z181" s="917" t="str">
        <f t="shared" si="1066"/>
        <v>CPS-32193r1</v>
      </c>
      <c r="AA181" s="82"/>
      <c r="AB181" s="75"/>
      <c r="AC181" s="166">
        <v>4.1000199999999998</v>
      </c>
      <c r="AD181" s="166">
        <v>-13.5</v>
      </c>
      <c r="AE181" s="75">
        <v>6.1120000000000001</v>
      </c>
      <c r="AF181" s="82">
        <v>6</v>
      </c>
      <c r="AG181" s="82">
        <v>1</v>
      </c>
      <c r="AH181" s="82">
        <v>1</v>
      </c>
      <c r="AI181" s="82">
        <v>1.0000000000582077</v>
      </c>
      <c r="AJ181" s="166">
        <v>6.1121100000000004</v>
      </c>
      <c r="AK181" s="82" t="str">
        <v>Base</v>
      </c>
      <c r="AL181" s="162">
        <v>-25.5</v>
      </c>
      <c r="AM181" s="162">
        <v>-3.0632092386390632</v>
      </c>
      <c r="AN181" s="162">
        <v>-5.6117049294076987E-2</v>
      </c>
      <c r="AO181" s="162">
        <v>-0.39999994224709201</v>
      </c>
      <c r="AP181" s="162">
        <v>-14.999997834268255</v>
      </c>
      <c r="AQ181" s="162">
        <v>0</v>
      </c>
      <c r="AR181" s="710" t="str">
        <v>1613.par</v>
      </c>
      <c r="AV181" s="82" t="str">
        <v>127,0,255</v>
      </c>
      <c r="AW181" s="947">
        <v>0</v>
      </c>
      <c r="AX181" s="947">
        <v>-0.39999994224709201</v>
      </c>
      <c r="AY181" s="947">
        <v>0</v>
      </c>
    </row>
    <row r="182" spans="2:51" x14ac:dyDescent="0.25">
      <c r="B182" s="650">
        <v>1.3981105563892238</v>
      </c>
      <c r="C182" s="651">
        <v>6.3631435612723557</v>
      </c>
      <c r="D182" s="652">
        <v>-1.7805702022036893</v>
      </c>
      <c r="E182" s="653">
        <v>0.18683450891410566</v>
      </c>
      <c r="F182" s="651">
        <v>0.85032960876185804</v>
      </c>
      <c r="G182" s="654">
        <v>0.49196790824374964</v>
      </c>
      <c r="H182" s="653">
        <v>0.25700000000000001</v>
      </c>
      <c r="I182" s="920">
        <v>0.41499999999999992</v>
      </c>
      <c r="J182" s="924">
        <v>1.228</v>
      </c>
      <c r="K182" s="790" t="str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CPS-32193r1</v>
      </c>
      <c r="L182" s="940" t="s">
        <v>421</v>
      </c>
      <c r="M182" s="981"/>
      <c r="N182" s="941"/>
      <c r="O182" s="942"/>
      <c r="Q182" s="162">
        <f t="shared" si="1059"/>
        <v>1.3981105563892238</v>
      </c>
      <c r="R182" s="162">
        <f t="shared" si="1060"/>
        <v>6.3631435612723557</v>
      </c>
      <c r="S182" s="162">
        <f t="shared" si="1061"/>
        <v>-1.7805702022036893</v>
      </c>
      <c r="T182" s="162">
        <f t="shared" si="1062"/>
        <v>0.18683450891410566</v>
      </c>
      <c r="U182" s="162">
        <f t="shared" si="1063"/>
        <v>0.85032960876185804</v>
      </c>
      <c r="V182" s="162">
        <f t="shared" si="1064"/>
        <v>0.49196790824374964</v>
      </c>
      <c r="W182" s="162">
        <f>IFERROR(IF(ISNUMBER(MATCH($Z182,Settings!$AK$28:$AK$36,0)),INDEX(Settings!$AO$14:$AO$36,MATCH($Z182,Settings!$AK$14:$AK$36,0))/2,INDEX(Settings!$AM$14:$AM$36,MATCH($Z182,Settings!$AK$14:$AK$36,0))/2),"")</f>
        <v>0.255</v>
      </c>
      <c r="X182" s="162">
        <f t="shared" si="1065"/>
        <v>0.41499999999999992</v>
      </c>
      <c r="Y182" s="75">
        <v>1.228</v>
      </c>
      <c r="Z182" s="917" t="str">
        <f t="shared" si="1066"/>
        <v>CPS-32193r1</v>
      </c>
      <c r="AA182" s="82"/>
      <c r="AB182" s="75"/>
      <c r="AC182" s="75">
        <v>3.2000200000000003</v>
      </c>
      <c r="AD182" s="166">
        <v>-12.75</v>
      </c>
      <c r="AE182" s="75">
        <v>5.2350000000000003</v>
      </c>
      <c r="AF182" s="82">
        <v>5</v>
      </c>
      <c r="AG182" s="82">
        <v>2</v>
      </c>
      <c r="AH182" s="82">
        <v>1</v>
      </c>
      <c r="AI182" s="82">
        <v>1.0000000000582077</v>
      </c>
      <c r="AJ182" s="166">
        <v>5.2351100000000006</v>
      </c>
      <c r="AK182" s="82" t="str">
        <v>Base</v>
      </c>
      <c r="AL182" s="162">
        <v>-24.75</v>
      </c>
      <c r="AM182" s="162">
        <v>-7.0165105337643805</v>
      </c>
      <c r="AN182" s="162">
        <v>-3.2660031232724531</v>
      </c>
      <c r="AO182" s="162">
        <v>81.139988284835155</v>
      </c>
      <c r="AP182" s="162">
        <v>0</v>
      </c>
      <c r="AQ182" s="162">
        <v>0</v>
      </c>
      <c r="AR182" s="710" t="str">
        <v>32193r1.par</v>
      </c>
      <c r="AV182" s="82" t="str">
        <v>121,188,255</v>
      </c>
      <c r="AW182" s="947">
        <v>0</v>
      </c>
      <c r="AX182" s="947">
        <v>81.139988284835155</v>
      </c>
      <c r="AY182" s="947">
        <v>0</v>
      </c>
    </row>
    <row r="183" spans="2:51" x14ac:dyDescent="0.25">
      <c r="B183" s="650">
        <v>1.4518618547068436</v>
      </c>
      <c r="C183" s="651">
        <v>6.6475622156817931</v>
      </c>
      <c r="D183" s="652">
        <v>-2.472458543074056</v>
      </c>
      <c r="E183" s="653">
        <v>0.20508899621134319</v>
      </c>
      <c r="F183" s="651">
        <v>0.93903001697218036</v>
      </c>
      <c r="G183" s="654">
        <v>0.27597306183439441</v>
      </c>
      <c r="H183" s="653">
        <v>0.25700000000000001</v>
      </c>
      <c r="I183" s="920">
        <v>0.41499999999999992</v>
      </c>
      <c r="J183" s="924">
        <v>1.2310000000000001</v>
      </c>
      <c r="K183" s="790" t="str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CPS-32193r1</v>
      </c>
      <c r="L183" s="940" t="s">
        <v>421</v>
      </c>
      <c r="M183" s="981"/>
      <c r="N183" s="941"/>
      <c r="O183" s="942"/>
      <c r="Q183" s="162">
        <f t="shared" si="1059"/>
        <v>1.4518618547068436</v>
      </c>
      <c r="R183" s="162">
        <f t="shared" si="1060"/>
        <v>6.6475622156817931</v>
      </c>
      <c r="S183" s="162">
        <f t="shared" si="1061"/>
        <v>-2.472458543074056</v>
      </c>
      <c r="T183" s="162">
        <f t="shared" si="1062"/>
        <v>0.20508899621134319</v>
      </c>
      <c r="U183" s="162">
        <f t="shared" si="1063"/>
        <v>0.93903001697218036</v>
      </c>
      <c r="V183" s="162">
        <f t="shared" si="1064"/>
        <v>0.27597306183439441</v>
      </c>
      <c r="W183" s="162">
        <f>IFERROR(IF(ISNUMBER(MATCH($Z183,Settings!$AK$28:$AK$36,0)),INDEX(Settings!$AO$14:$AO$36,MATCH($Z183,Settings!$AK$14:$AK$36,0))/2,INDEX(Settings!$AM$14:$AM$36,MATCH($Z183,Settings!$AK$14:$AK$36,0))/2),"")</f>
        <v>0.255</v>
      </c>
      <c r="X183" s="162">
        <f t="shared" si="1065"/>
        <v>0.41499999999999992</v>
      </c>
      <c r="Y183" s="75">
        <v>1.2310000000000001</v>
      </c>
      <c r="Z183" s="917" t="str">
        <f t="shared" si="1066"/>
        <v>CPS-32193r1</v>
      </c>
      <c r="AA183" s="82"/>
      <c r="AB183" s="75"/>
      <c r="AC183" s="75">
        <v>3.1000200000000002</v>
      </c>
      <c r="AD183" s="166">
        <v>-12</v>
      </c>
      <c r="AE183" s="75">
        <v>5.2320000000000002</v>
      </c>
      <c r="AF183" s="82">
        <v>5</v>
      </c>
      <c r="AG183" s="82">
        <v>2</v>
      </c>
      <c r="AH183" s="82">
        <v>1</v>
      </c>
      <c r="AI183" s="82">
        <v>1.0000000000582077</v>
      </c>
      <c r="AJ183" s="166">
        <v>5.2321100000000005</v>
      </c>
      <c r="AK183" s="82" t="str">
        <v>Base</v>
      </c>
      <c r="AL183" s="162">
        <v>-24.75</v>
      </c>
      <c r="AM183" s="162">
        <v>-6.8662009777270283</v>
      </c>
      <c r="AN183" s="162">
        <v>-2.5373668326499925</v>
      </c>
      <c r="AO183" s="162">
        <v>75.519989096262663</v>
      </c>
      <c r="AP183" s="162">
        <v>0</v>
      </c>
      <c r="AQ183" s="162">
        <v>0</v>
      </c>
      <c r="AR183" s="710" t="str">
        <v>32193r1.par</v>
      </c>
      <c r="AV183" s="82" t="str">
        <v>121,188,255</v>
      </c>
      <c r="AW183" s="947">
        <v>0</v>
      </c>
      <c r="AX183" s="947">
        <v>75.519989096262663</v>
      </c>
      <c r="AY183" s="947">
        <v>0</v>
      </c>
    </row>
    <row r="184" spans="2:51" x14ac:dyDescent="0.25">
      <c r="B184" s="650">
        <v>1.4861105433034245</v>
      </c>
      <c r="C184" s="651">
        <v>6.8143686932469096</v>
      </c>
      <c r="D184" s="652">
        <v>-3.1899364763496898</v>
      </c>
      <c r="E184" s="653">
        <v>0.20933027584093997</v>
      </c>
      <c r="F184" s="651">
        <v>0.95985704742288425</v>
      </c>
      <c r="G184" s="654">
        <v>0.18669569927820845</v>
      </c>
      <c r="H184" s="653">
        <v>0.25700000000000001</v>
      </c>
      <c r="I184" s="920">
        <v>0.41499999999999992</v>
      </c>
      <c r="J184" s="924">
        <v>1.234</v>
      </c>
      <c r="K184" s="790" t="str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CPS-32193r1</v>
      </c>
      <c r="L184" s="940" t="s">
        <v>421</v>
      </c>
      <c r="M184" s="981"/>
      <c r="N184" s="941"/>
      <c r="O184" s="942"/>
      <c r="Q184" s="162">
        <f t="shared" si="1059"/>
        <v>1.4861105433034245</v>
      </c>
      <c r="R184" s="162">
        <f t="shared" si="1060"/>
        <v>6.8143686932469096</v>
      </c>
      <c r="S184" s="162">
        <f t="shared" si="1061"/>
        <v>-3.1899364763496898</v>
      </c>
      <c r="T184" s="162">
        <f t="shared" si="1062"/>
        <v>0.20933027584093997</v>
      </c>
      <c r="U184" s="162">
        <f t="shared" si="1063"/>
        <v>0.95985704742288425</v>
      </c>
      <c r="V184" s="162">
        <f t="shared" si="1064"/>
        <v>0.18669569927820845</v>
      </c>
      <c r="W184" s="162">
        <f>IFERROR(IF(ISNUMBER(MATCH($Z184,Settings!$AK$28:$AK$36,0)),INDEX(Settings!$AO$14:$AO$36,MATCH($Z184,Settings!$AK$14:$AK$36,0))/2,INDEX(Settings!$AM$14:$AM$36,MATCH($Z184,Settings!$AK$14:$AK$36,0))/2),"")</f>
        <v>0.255</v>
      </c>
      <c r="X184" s="162">
        <f t="shared" si="1065"/>
        <v>0.41499999999999992</v>
      </c>
      <c r="Y184" s="75">
        <v>1.234</v>
      </c>
      <c r="Z184" s="917" t="str">
        <f t="shared" si="1066"/>
        <v>CPS-32193r1</v>
      </c>
      <c r="AA184" s="82"/>
      <c r="AB184" s="75"/>
      <c r="AC184" s="75">
        <v>2.2000200000000003</v>
      </c>
      <c r="AD184" s="166">
        <v>-11.25</v>
      </c>
      <c r="AE184" s="75">
        <v>5.2290000000000001</v>
      </c>
      <c r="AF184" s="82">
        <v>5</v>
      </c>
      <c r="AG184" s="82">
        <v>2</v>
      </c>
      <c r="AH184" s="82">
        <v>1</v>
      </c>
      <c r="AI184" s="82">
        <v>1.0000000000582077</v>
      </c>
      <c r="AJ184" s="166">
        <v>5.2291100000000004</v>
      </c>
      <c r="AK184" s="82" t="str">
        <v>Base</v>
      </c>
      <c r="AL184" s="162">
        <v>-24.75</v>
      </c>
      <c r="AM184" s="162">
        <v>-6.6290549725447212</v>
      </c>
      <c r="AN184" s="162">
        <v>-1.8317153372945505</v>
      </c>
      <c r="AO184" s="162">
        <v>65.009990613718642</v>
      </c>
      <c r="AP184" s="162">
        <v>0</v>
      </c>
      <c r="AQ184" s="162">
        <v>0</v>
      </c>
      <c r="AR184" s="710" t="str">
        <v>32193r1.par</v>
      </c>
      <c r="AV184" s="82" t="str">
        <v>121,188,255</v>
      </c>
      <c r="AW184" s="947">
        <v>0</v>
      </c>
      <c r="AX184" s="947">
        <v>65.009990613718642</v>
      </c>
      <c r="AY184" s="947">
        <v>0</v>
      </c>
    </row>
    <row r="185" spans="2:51" x14ac:dyDescent="0.25">
      <c r="B185" s="650">
        <v>1.5075302433110056</v>
      </c>
      <c r="C185" s="651">
        <v>6.9138725266736998</v>
      </c>
      <c r="D185" s="652">
        <v>-3.9344026454140817</v>
      </c>
      <c r="E185" s="653">
        <v>0.21219867491016722</v>
      </c>
      <c r="F185" s="651">
        <v>0.97319081668022134</v>
      </c>
      <c r="G185" s="654">
        <v>8.8720666677234383E-2</v>
      </c>
      <c r="H185" s="653">
        <v>0.25700000000000001</v>
      </c>
      <c r="I185" s="920">
        <v>0.41499999999999992</v>
      </c>
      <c r="J185" s="924">
        <v>1.2370000000000001</v>
      </c>
      <c r="K185" s="790" t="str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CPS-32193r1</v>
      </c>
      <c r="L185" s="940" t="s">
        <v>421</v>
      </c>
      <c r="M185" s="981"/>
      <c r="N185" s="941"/>
      <c r="O185" s="942"/>
      <c r="Q185" s="162">
        <f t="shared" si="1059"/>
        <v>1.5075302433110056</v>
      </c>
      <c r="R185" s="162">
        <f t="shared" si="1060"/>
        <v>6.9138725266736998</v>
      </c>
      <c r="S185" s="162">
        <f t="shared" si="1061"/>
        <v>-3.9344026454140817</v>
      </c>
      <c r="T185" s="162">
        <f t="shared" si="1062"/>
        <v>0.21219867491016722</v>
      </c>
      <c r="U185" s="162">
        <f t="shared" si="1063"/>
        <v>0.97319081668022134</v>
      </c>
      <c r="V185" s="162">
        <f t="shared" si="1064"/>
        <v>8.8720666677234383E-2</v>
      </c>
      <c r="W185" s="162">
        <f>IFERROR(IF(ISNUMBER(MATCH($Z185,Settings!$AK$28:$AK$36,0)),INDEX(Settings!$AO$14:$AO$36,MATCH($Z185,Settings!$AK$14:$AK$36,0))/2,INDEX(Settings!$AM$14:$AM$36,MATCH($Z185,Settings!$AK$14:$AK$36,0))/2),"")</f>
        <v>0.255</v>
      </c>
      <c r="X185" s="162">
        <f t="shared" si="1065"/>
        <v>0.41499999999999992</v>
      </c>
      <c r="Y185" s="75">
        <v>1.2370000000000001</v>
      </c>
      <c r="Z185" s="917" t="str">
        <f t="shared" si="1066"/>
        <v>CPS-32193r1</v>
      </c>
      <c r="AA185" s="82"/>
      <c r="AB185" s="75"/>
      <c r="AC185" s="75">
        <v>2.1000200000000002</v>
      </c>
      <c r="AD185" s="166">
        <v>-10.5</v>
      </c>
      <c r="AE185" s="75">
        <v>5.226</v>
      </c>
      <c r="AF185" s="82">
        <v>5</v>
      </c>
      <c r="AG185" s="82">
        <v>2</v>
      </c>
      <c r="AH185" s="82">
        <v>1</v>
      </c>
      <c r="AI185" s="82">
        <v>1.0000000000582077</v>
      </c>
      <c r="AJ185" s="166">
        <v>5.2261100000000003</v>
      </c>
      <c r="AK185" s="82" t="str">
        <v>Base</v>
      </c>
      <c r="AL185" s="162">
        <v>-24.75</v>
      </c>
      <c r="AM185" s="162">
        <v>-6.2307698386228489</v>
      </c>
      <c r="AN185" s="162">
        <v>-1.1888558520779227</v>
      </c>
      <c r="AO185" s="162">
        <v>51.449992571540129</v>
      </c>
      <c r="AP185" s="162">
        <v>0</v>
      </c>
      <c r="AQ185" s="162">
        <v>0</v>
      </c>
      <c r="AR185" s="710" t="str">
        <v>32193r1.par</v>
      </c>
      <c r="AV185" s="82" t="str">
        <v>121,188,255</v>
      </c>
      <c r="AW185" s="947">
        <v>0</v>
      </c>
      <c r="AX185" s="947">
        <v>51.449992571540129</v>
      </c>
      <c r="AY185" s="947">
        <v>0</v>
      </c>
    </row>
    <row r="186" spans="2:51" x14ac:dyDescent="0.25">
      <c r="B186" s="650">
        <v>3.0824548617580612</v>
      </c>
      <c r="C186" s="651">
        <v>1.7796530371576573</v>
      </c>
      <c r="D186" s="652">
        <v>-0.1989502026758114</v>
      </c>
      <c r="E186" s="653">
        <v>-0.45367894364495781</v>
      </c>
      <c r="F186" s="651">
        <v>0.85290008858470867</v>
      </c>
      <c r="G186" s="654">
        <v>0.25833477308599262</v>
      </c>
      <c r="H186" s="653">
        <v>0.314</v>
      </c>
      <c r="I186" s="920">
        <v>0.52</v>
      </c>
      <c r="J186" s="924">
        <v>2.1139999999999999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419</v>
      </c>
      <c r="M186" s="981"/>
      <c r="N186" s="941"/>
      <c r="O186" s="942"/>
      <c r="Q186" s="162">
        <f t="shared" si="1059"/>
        <v>3.0824548617580612</v>
      </c>
      <c r="R186" s="162">
        <f t="shared" si="1060"/>
        <v>1.7796530371576573</v>
      </c>
      <c r="S186" s="162">
        <f t="shared" si="1061"/>
        <v>-0.1989502026758114</v>
      </c>
      <c r="T186" s="162">
        <f t="shared" si="1062"/>
        <v>-0.45367894364495781</v>
      </c>
      <c r="U186" s="162">
        <f t="shared" si="1063"/>
        <v>0.85290008858470867</v>
      </c>
      <c r="V186" s="162">
        <f t="shared" si="1064"/>
        <v>0.25833477308599262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65"/>
        <v>0.52</v>
      </c>
      <c r="Y186" s="75">
        <v>2.1139999999999999</v>
      </c>
      <c r="Z186" s="917">
        <f t="shared" si="1066"/>
        <v>1613</v>
      </c>
      <c r="AA186" s="82"/>
      <c r="AB186" s="75"/>
      <c r="AC186" s="75">
        <v>1.2000199999999999</v>
      </c>
      <c r="AD186" s="166">
        <v>-9.75</v>
      </c>
      <c r="AE186" s="75">
        <v>5.2229999999999999</v>
      </c>
      <c r="AF186" s="82">
        <v>5</v>
      </c>
      <c r="AG186" s="82">
        <v>2</v>
      </c>
      <c r="AH186" s="82">
        <v>1</v>
      </c>
      <c r="AI186" s="82">
        <v>0.99999999998544808</v>
      </c>
      <c r="AJ186" s="166">
        <v>5.2231100000000001</v>
      </c>
      <c r="AK186" s="82" t="str">
        <v>Base</v>
      </c>
      <c r="AL186" s="162">
        <v>-24.75</v>
      </c>
      <c r="AM186" s="162">
        <v>-5.6920170795061908</v>
      </c>
      <c r="AN186" s="162">
        <v>-0.65381727007063994</v>
      </c>
      <c r="AO186" s="162">
        <v>37.819994539468382</v>
      </c>
      <c r="AP186" s="162">
        <v>0</v>
      </c>
      <c r="AQ186" s="162">
        <v>0</v>
      </c>
      <c r="AR186" s="710" t="str">
        <v>32193r1.par</v>
      </c>
      <c r="AV186" s="82" t="str">
        <v>121,188,255</v>
      </c>
      <c r="AW186" s="947">
        <v>0</v>
      </c>
      <c r="AX186" s="947">
        <v>37.819994539468382</v>
      </c>
      <c r="AY186" s="947">
        <v>0</v>
      </c>
    </row>
    <row r="187" spans="2:51" x14ac:dyDescent="0.25">
      <c r="B187" s="650">
        <v>3.7330948031185121</v>
      </c>
      <c r="C187" s="651">
        <v>2.1414828052393555</v>
      </c>
      <c r="D187" s="652">
        <v>-0.24705034774584861</v>
      </c>
      <c r="E187" s="653">
        <v>-0.40402388565932279</v>
      </c>
      <c r="F187" s="651">
        <v>0.87915761676641946</v>
      </c>
      <c r="G187" s="654">
        <v>0.25267881727270303</v>
      </c>
      <c r="H187" s="653">
        <v>0.314</v>
      </c>
      <c r="I187" s="920">
        <v>0.52</v>
      </c>
      <c r="J187" s="924">
        <v>2.117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40" t="s">
        <v>419</v>
      </c>
      <c r="M187" s="981"/>
      <c r="N187" s="941"/>
      <c r="O187" s="942"/>
      <c r="Q187" s="162">
        <f t="shared" si="1059"/>
        <v>3.7330948031185121</v>
      </c>
      <c r="R187" s="162">
        <f t="shared" si="1060"/>
        <v>2.1414828052393555</v>
      </c>
      <c r="S187" s="162">
        <f t="shared" si="1061"/>
        <v>-0.24705034774584861</v>
      </c>
      <c r="T187" s="162">
        <f t="shared" si="1062"/>
        <v>-0.40402388565932279</v>
      </c>
      <c r="U187" s="162">
        <f t="shared" si="1063"/>
        <v>0.87915761676641946</v>
      </c>
      <c r="V187" s="162">
        <f t="shared" si="1064"/>
        <v>0.25267881727270303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65"/>
        <v>0.52</v>
      </c>
      <c r="Y187" s="75">
        <v>2.117</v>
      </c>
      <c r="Z187" s="917">
        <f t="shared" si="1066"/>
        <v>1613</v>
      </c>
      <c r="AA187" s="82"/>
      <c r="AB187" s="75"/>
      <c r="AC187" s="75">
        <v>1.10002</v>
      </c>
      <c r="AD187" s="166">
        <v>-9</v>
      </c>
      <c r="AE187" s="75">
        <v>5.22</v>
      </c>
      <c r="AF187" s="82">
        <v>5</v>
      </c>
      <c r="AG187" s="82">
        <v>2</v>
      </c>
      <c r="AH187" s="82">
        <v>1</v>
      </c>
      <c r="AI187" s="82">
        <v>0.99999999998544808</v>
      </c>
      <c r="AJ187" s="166">
        <v>5.22011</v>
      </c>
      <c r="AK187" s="82" t="str">
        <v>Base</v>
      </c>
      <c r="AL187" s="162">
        <v>-24.75</v>
      </c>
      <c r="AM187" s="162">
        <v>-5.0413149669126431</v>
      </c>
      <c r="AN187" s="162">
        <v>-0.26205689366542106</v>
      </c>
      <c r="AO187" s="162">
        <v>24.199996505952821</v>
      </c>
      <c r="AP187" s="162">
        <v>0</v>
      </c>
      <c r="AQ187" s="162">
        <v>0</v>
      </c>
      <c r="AR187" s="710" t="str">
        <v>32193r1.par</v>
      </c>
      <c r="AV187" s="82" t="str">
        <v>121,188,255</v>
      </c>
      <c r="AW187" s="947">
        <v>0</v>
      </c>
      <c r="AX187" s="947">
        <v>24.199996505952821</v>
      </c>
      <c r="AY187" s="947">
        <v>0</v>
      </c>
    </row>
    <row r="188" spans="2:51" x14ac:dyDescent="0.25">
      <c r="B188" s="650">
        <v>4.3878032664930036</v>
      </c>
      <c r="C188" s="651">
        <v>2.4672828287459998</v>
      </c>
      <c r="D188" s="652">
        <v>-0.47305102936390481</v>
      </c>
      <c r="E188" s="653">
        <v>-0.34406523304837067</v>
      </c>
      <c r="F188" s="651">
        <v>0.90766882788295877</v>
      </c>
      <c r="G188" s="654">
        <v>0.24032564219605529</v>
      </c>
      <c r="H188" s="653">
        <v>0.314</v>
      </c>
      <c r="I188" s="920">
        <v>0.52</v>
      </c>
      <c r="J188" s="924">
        <v>2.12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1613</v>
      </c>
      <c r="L188" s="940" t="s">
        <v>419</v>
      </c>
      <c r="M188" s="981"/>
      <c r="N188" s="941"/>
      <c r="O188" s="942"/>
      <c r="Q188" s="162">
        <f t="shared" si="1059"/>
        <v>4.3878032664930036</v>
      </c>
      <c r="R188" s="162">
        <f t="shared" si="1060"/>
        <v>2.4672828287459998</v>
      </c>
      <c r="S188" s="162">
        <f t="shared" si="1061"/>
        <v>-0.47305102936390481</v>
      </c>
      <c r="T188" s="162">
        <f t="shared" si="1062"/>
        <v>-0.34406523304837067</v>
      </c>
      <c r="U188" s="162">
        <f t="shared" si="1063"/>
        <v>0.90766882788295877</v>
      </c>
      <c r="V188" s="162">
        <f t="shared" si="1064"/>
        <v>0.24032564219605529</v>
      </c>
      <c r="W188" s="162">
        <f>IFERROR(IF(ISNUMBER(MATCH($Z188,Settings!$AK$28:$AK$36,0)),INDEX(Settings!$AO$14:$AO$36,MATCH($Z188,Settings!$AK$14:$AK$36,0))/2,INDEX(Settings!$AM$14:$AM$36,MATCH($Z188,Settings!$AK$14:$AK$36,0))/2),"")</f>
        <v>0.3125</v>
      </c>
      <c r="X188" s="162">
        <f t="shared" si="1065"/>
        <v>0.52</v>
      </c>
      <c r="Y188" s="75">
        <v>2.12</v>
      </c>
      <c r="Z188" s="917">
        <f t="shared" si="1066"/>
        <v>1613</v>
      </c>
      <c r="AA188" s="82"/>
      <c r="AB188" s="75"/>
      <c r="AC188" s="75">
        <v>6.2000299999999999</v>
      </c>
      <c r="AD188" s="166">
        <v>-8.25</v>
      </c>
      <c r="AE188" s="75">
        <v>5.2169999999999996</v>
      </c>
      <c r="AF188" s="82">
        <v>5</v>
      </c>
      <c r="AG188" s="82">
        <v>2</v>
      </c>
      <c r="AH188" s="82">
        <v>1</v>
      </c>
      <c r="AI188" s="82">
        <v>0.99999999998544808</v>
      </c>
      <c r="AJ188" s="166">
        <v>5.2171099999999999</v>
      </c>
      <c r="AK188" s="82" t="str">
        <v>Base</v>
      </c>
      <c r="AL188" s="162">
        <v>-24.75</v>
      </c>
      <c r="AM188" s="162">
        <v>-4.3088536342635768</v>
      </c>
      <c r="AN188" s="162">
        <v>-3.3234091302654672E-2</v>
      </c>
      <c r="AO188" s="162">
        <v>10.429998494094555</v>
      </c>
      <c r="AP188" s="162">
        <v>0</v>
      </c>
      <c r="AQ188" s="162">
        <v>0</v>
      </c>
      <c r="AR188" s="710" t="str">
        <v>32193r1.par</v>
      </c>
      <c r="AV188" s="82" t="str">
        <v>121,188,255</v>
      </c>
      <c r="AW188" s="947">
        <v>0</v>
      </c>
      <c r="AX188" s="947">
        <v>10.429998494094555</v>
      </c>
      <c r="AY188" s="947">
        <v>0</v>
      </c>
    </row>
    <row r="189" spans="2:51" x14ac:dyDescent="0.25">
      <c r="B189" s="650">
        <v>4.9835815670860955</v>
      </c>
      <c r="C189" s="651">
        <v>2.7320337640796493</v>
      </c>
      <c r="D189" s="652">
        <v>-0.86155220108343866</v>
      </c>
      <c r="E189" s="653">
        <v>-0.28427473843127848</v>
      </c>
      <c r="F189" s="651">
        <v>0.93415280753684038</v>
      </c>
      <c r="G189" s="654">
        <v>0.21574615931892538</v>
      </c>
      <c r="H189" s="653">
        <v>0.314</v>
      </c>
      <c r="I189" s="920">
        <v>0.52</v>
      </c>
      <c r="J189" s="924">
        <v>2.1230000000000002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1613</v>
      </c>
      <c r="L189" s="940" t="s">
        <v>419</v>
      </c>
      <c r="M189" s="981"/>
      <c r="N189" s="941"/>
      <c r="O189" s="942"/>
      <c r="Q189" s="162">
        <f t="shared" si="1059"/>
        <v>4.9835815670860955</v>
      </c>
      <c r="R189" s="162">
        <f t="shared" si="1060"/>
        <v>2.7320337640796493</v>
      </c>
      <c r="S189" s="162">
        <f t="shared" si="1061"/>
        <v>-0.86155220108343866</v>
      </c>
      <c r="T189" s="162">
        <f t="shared" si="1062"/>
        <v>-0.28427473843127848</v>
      </c>
      <c r="U189" s="162">
        <f t="shared" si="1063"/>
        <v>0.93415280753684038</v>
      </c>
      <c r="V189" s="162">
        <f t="shared" si="1064"/>
        <v>0.21574615931892538</v>
      </c>
      <c r="W189" s="162">
        <f>IFERROR(IF(ISNUMBER(MATCH($Z189,Settings!$AK$28:$AK$36,0)),INDEX(Settings!$AO$14:$AO$36,MATCH($Z189,Settings!$AK$14:$AK$36,0))/2,INDEX(Settings!$AM$14:$AM$36,MATCH($Z189,Settings!$AK$14:$AK$36,0))/2),"")</f>
        <v>0.3125</v>
      </c>
      <c r="X189" s="162">
        <f t="shared" si="1065"/>
        <v>0.52</v>
      </c>
      <c r="Y189" s="75">
        <v>2.1230000000000002</v>
      </c>
      <c r="Z189" s="917">
        <f t="shared" si="1066"/>
        <v>1613</v>
      </c>
      <c r="AA189" s="82"/>
      <c r="AB189" s="75"/>
      <c r="AC189" s="75">
        <v>6.1000299999999994</v>
      </c>
      <c r="AD189" s="166">
        <v>-7.5</v>
      </c>
      <c r="AE189" s="75">
        <v>5.1379999999999999</v>
      </c>
      <c r="AF189" s="82">
        <v>5</v>
      </c>
      <c r="AG189" s="82">
        <v>1</v>
      </c>
      <c r="AH189" s="82">
        <v>1</v>
      </c>
      <c r="AI189" s="82">
        <v>0.99999999998544808</v>
      </c>
      <c r="AJ189" s="166">
        <v>5.1381100000000002</v>
      </c>
      <c r="AK189" s="82" t="str">
        <v>Base</v>
      </c>
      <c r="AL189" s="162">
        <v>-24</v>
      </c>
      <c r="AM189" s="162">
        <v>-7.1349215189233011</v>
      </c>
      <c r="AN189" s="162">
        <v>-4.0086668009532369</v>
      </c>
      <c r="AO189" s="162">
        <v>87.999987294373852</v>
      </c>
      <c r="AP189" s="162">
        <v>-32.399995322019457</v>
      </c>
      <c r="AQ189" s="162">
        <v>0</v>
      </c>
      <c r="AR189" s="710" t="str">
        <v>1613.par</v>
      </c>
      <c r="AV189" s="82" t="str">
        <v>0,102,204</v>
      </c>
      <c r="AW189" s="947">
        <v>0</v>
      </c>
      <c r="AX189" s="947">
        <v>87.999987294373852</v>
      </c>
      <c r="AY189" s="947">
        <v>0</v>
      </c>
    </row>
    <row r="190" spans="2:51" x14ac:dyDescent="0.25">
      <c r="B190" s="650">
        <v>5.4909641169528154</v>
      </c>
      <c r="C190" s="651">
        <v>2.9349391993327489</v>
      </c>
      <c r="D190" s="652">
        <v>-1.3900537950442455</v>
      </c>
      <c r="E190" s="653">
        <v>-0.1897819602281714</v>
      </c>
      <c r="F190" s="651">
        <v>0.9606389319206976</v>
      </c>
      <c r="G190" s="654">
        <v>0.20286855362577583</v>
      </c>
      <c r="H190" s="653">
        <v>0.314</v>
      </c>
      <c r="I190" s="920">
        <v>0.52</v>
      </c>
      <c r="J190" s="924">
        <v>2.1259999999999999</v>
      </c>
      <c r="K190" s="790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1613</v>
      </c>
      <c r="L190" s="940" t="s">
        <v>419</v>
      </c>
      <c r="M190" s="981"/>
      <c r="N190" s="941"/>
      <c r="O190" s="942"/>
      <c r="Q190" s="162">
        <f t="shared" si="1059"/>
        <v>5.4909641169528154</v>
      </c>
      <c r="R190" s="162">
        <f t="shared" si="1060"/>
        <v>2.9349391993327489</v>
      </c>
      <c r="S190" s="162">
        <f t="shared" si="1061"/>
        <v>-1.3900537950442455</v>
      </c>
      <c r="T190" s="162">
        <f t="shared" si="1062"/>
        <v>-0.1897819602281714</v>
      </c>
      <c r="U190" s="162">
        <f t="shared" si="1063"/>
        <v>0.9606389319206976</v>
      </c>
      <c r="V190" s="162">
        <f t="shared" si="1064"/>
        <v>0.20286855362577583</v>
      </c>
      <c r="W190" s="162">
        <f>IFERROR(IF(ISNUMBER(MATCH($Z190,Settings!$AK$28:$AK$36,0)),INDEX(Settings!$AO$14:$AO$36,MATCH($Z190,Settings!$AK$14:$AK$36,0))/2,INDEX(Settings!$AM$14:$AM$36,MATCH($Z190,Settings!$AK$14:$AK$36,0))/2),"")</f>
        <v>0.3125</v>
      </c>
      <c r="X190" s="162">
        <f t="shared" si="1065"/>
        <v>0.52</v>
      </c>
      <c r="Y190" s="75">
        <v>2.1259999999999999</v>
      </c>
      <c r="Z190" s="917">
        <f t="shared" si="1066"/>
        <v>1613</v>
      </c>
      <c r="AA190" s="82"/>
      <c r="AB190" s="75"/>
      <c r="AC190" s="75">
        <v>5.2000299999999999</v>
      </c>
      <c r="AD190" s="166">
        <v>-6.75</v>
      </c>
      <c r="AE190" s="75">
        <v>5.1349999999999998</v>
      </c>
      <c r="AF190" s="82">
        <v>5</v>
      </c>
      <c r="AG190" s="82">
        <v>1</v>
      </c>
      <c r="AH190" s="82">
        <v>1</v>
      </c>
      <c r="AI190" s="82">
        <v>0.99999999998544808</v>
      </c>
      <c r="AJ190" s="166">
        <v>5.1351100000000001</v>
      </c>
      <c r="AK190" s="82" t="str">
        <v>Base</v>
      </c>
      <c r="AL190" s="162">
        <v>-24</v>
      </c>
      <c r="AM190" s="162">
        <v>-7.0330212115919766</v>
      </c>
      <c r="AN190" s="162">
        <v>-3.2575589103135782</v>
      </c>
      <c r="AO190" s="162">
        <v>81.999988160666575</v>
      </c>
      <c r="AP190" s="162">
        <v>-29.099995798480418</v>
      </c>
      <c r="AQ190" s="162">
        <v>0</v>
      </c>
      <c r="AR190" s="710" t="str">
        <v>1613.par</v>
      </c>
      <c r="AV190" s="82" t="str">
        <v>0,102,204</v>
      </c>
      <c r="AW190" s="947">
        <v>0</v>
      </c>
      <c r="AX190" s="947">
        <v>81.999988160666575</v>
      </c>
      <c r="AY190" s="947">
        <v>0</v>
      </c>
    </row>
    <row r="191" spans="2:51" x14ac:dyDescent="0.25">
      <c r="B191" s="650">
        <v>5.8748212299112064</v>
      </c>
      <c r="C191" s="651">
        <v>3.0752075939350187</v>
      </c>
      <c r="D191" s="652">
        <v>-2.0283557201628524</v>
      </c>
      <c r="E191" s="653">
        <v>-9.6950156422386247E-2</v>
      </c>
      <c r="F191" s="651">
        <v>0.98198292907793949</v>
      </c>
      <c r="G191" s="654">
        <v>0.16220417432725145</v>
      </c>
      <c r="H191" s="653">
        <v>0.314</v>
      </c>
      <c r="I191" s="920">
        <v>0.52</v>
      </c>
      <c r="J191" s="924">
        <v>2.129</v>
      </c>
      <c r="K191" s="790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1613</v>
      </c>
      <c r="L191" s="940" t="s">
        <v>419</v>
      </c>
      <c r="M191" s="981"/>
      <c r="N191" s="941"/>
      <c r="O191" s="942"/>
      <c r="Q191" s="162">
        <f t="shared" si="1059"/>
        <v>5.8748212299112064</v>
      </c>
      <c r="R191" s="162">
        <f t="shared" si="1060"/>
        <v>3.0752075939350187</v>
      </c>
      <c r="S191" s="162">
        <f t="shared" si="1061"/>
        <v>-2.0283557201628524</v>
      </c>
      <c r="T191" s="162">
        <f t="shared" si="1062"/>
        <v>-9.6950156422386247E-2</v>
      </c>
      <c r="U191" s="162">
        <f t="shared" si="1063"/>
        <v>0.98198292907793949</v>
      </c>
      <c r="V191" s="162">
        <f t="shared" si="1064"/>
        <v>0.16220417432725145</v>
      </c>
      <c r="W191" s="162">
        <f>IFERROR(IF(ISNUMBER(MATCH($Z191,Settings!$AK$28:$AK$36,0)),INDEX(Settings!$AO$14:$AO$36,MATCH($Z191,Settings!$AK$14:$AK$36,0))/2,INDEX(Settings!$AM$14:$AM$36,MATCH($Z191,Settings!$AK$14:$AK$36,0))/2),"")</f>
        <v>0.3125</v>
      </c>
      <c r="X191" s="162">
        <f t="shared" si="1065"/>
        <v>0.52</v>
      </c>
      <c r="Y191" s="75">
        <v>2.129</v>
      </c>
      <c r="Z191" s="917">
        <f t="shared" si="1066"/>
        <v>1613</v>
      </c>
      <c r="AA191" s="82"/>
      <c r="AB191" s="75"/>
      <c r="AC191" s="75">
        <v>5.1000299999999994</v>
      </c>
      <c r="AD191" s="166">
        <v>-6</v>
      </c>
      <c r="AE191" s="75">
        <v>5.1319999999999997</v>
      </c>
      <c r="AF191" s="82">
        <v>5</v>
      </c>
      <c r="AG191" s="82">
        <v>1</v>
      </c>
      <c r="AH191" s="82">
        <v>1</v>
      </c>
      <c r="AI191" s="82">
        <v>0.99999999998544808</v>
      </c>
      <c r="AJ191" s="166">
        <v>5.1321099999999999</v>
      </c>
      <c r="AK191" s="82" t="str">
        <v>Base</v>
      </c>
      <c r="AL191" s="162">
        <v>-24</v>
      </c>
      <c r="AM191" s="162">
        <v>-6.8749207347609378</v>
      </c>
      <c r="AN191" s="162">
        <v>-2.5294009498444376</v>
      </c>
      <c r="AO191" s="162">
        <v>76.099989012520979</v>
      </c>
      <c r="AP191" s="162">
        <v>-26.399996188312151</v>
      </c>
      <c r="AQ191" s="162">
        <v>0</v>
      </c>
      <c r="AR191" s="710" t="str">
        <v>1613.par</v>
      </c>
      <c r="AV191" s="82" t="str">
        <v>0,102,204</v>
      </c>
      <c r="AW191" s="947">
        <v>0</v>
      </c>
      <c r="AX191" s="947">
        <v>76.099989012520979</v>
      </c>
      <c r="AY191" s="947">
        <v>0</v>
      </c>
    </row>
    <row r="192" spans="2:51" x14ac:dyDescent="0.25">
      <c r="B192" s="650">
        <v>6.1082010199055636</v>
      </c>
      <c r="C192" s="651">
        <v>3.1550618709734506</v>
      </c>
      <c r="D192" s="652">
        <v>-2.7324578437348568</v>
      </c>
      <c r="E192" s="653">
        <v>-2.7583919939871169E-2</v>
      </c>
      <c r="F192" s="651">
        <v>0.99389633091005392</v>
      </c>
      <c r="G192" s="654">
        <v>0.10681390716701449</v>
      </c>
      <c r="H192" s="653">
        <v>0.314</v>
      </c>
      <c r="I192" s="920">
        <v>0.52</v>
      </c>
      <c r="J192" s="924">
        <v>2.1320000000000001</v>
      </c>
      <c r="K192" s="790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1613</v>
      </c>
      <c r="L192" s="940" t="s">
        <v>419</v>
      </c>
      <c r="M192" s="981"/>
      <c r="N192" s="941"/>
      <c r="O192" s="942"/>
      <c r="Q192" s="162">
        <f t="shared" si="1059"/>
        <v>6.1082010199055636</v>
      </c>
      <c r="R192" s="162">
        <f t="shared" si="1060"/>
        <v>3.1550618709734506</v>
      </c>
      <c r="S192" s="162">
        <f t="shared" si="1061"/>
        <v>-2.7324578437348568</v>
      </c>
      <c r="T192" s="162">
        <f t="shared" si="1062"/>
        <v>-2.7583919939871169E-2</v>
      </c>
      <c r="U192" s="162">
        <f t="shared" si="1063"/>
        <v>0.99389633091005392</v>
      </c>
      <c r="V192" s="162">
        <f t="shared" si="1064"/>
        <v>0.10681390716701449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2.1320000000000001</v>
      </c>
      <c r="Z192" s="917">
        <f t="shared" si="1066"/>
        <v>1613</v>
      </c>
      <c r="AA192" s="82"/>
      <c r="AB192" s="75"/>
      <c r="AC192" s="75">
        <v>4.2000299999999999</v>
      </c>
      <c r="AD192" s="166">
        <v>-5.25</v>
      </c>
      <c r="AE192" s="75">
        <v>5.1289999999999996</v>
      </c>
      <c r="AF192" s="82">
        <v>5</v>
      </c>
      <c r="AG192" s="82">
        <v>1</v>
      </c>
      <c r="AH192" s="82">
        <v>1</v>
      </c>
      <c r="AI192" s="82">
        <v>0.99999999998544808</v>
      </c>
      <c r="AJ192" s="166">
        <v>5.1291099999999998</v>
      </c>
      <c r="AK192" s="82" t="str">
        <v>Base</v>
      </c>
      <c r="AL192" s="162">
        <v>-24</v>
      </c>
      <c r="AM192" s="162">
        <v>-6.631019999156317</v>
      </c>
      <c r="AN192" s="162">
        <v>-1.8255157706855556</v>
      </c>
      <c r="AO192" s="162">
        <v>66.299990427465744</v>
      </c>
      <c r="AP192" s="162">
        <v>-23.799996563705665</v>
      </c>
      <c r="AQ192" s="162">
        <v>0</v>
      </c>
      <c r="AR192" s="710" t="str">
        <v>1613.par</v>
      </c>
      <c r="AV192" s="82" t="str">
        <v>0,102,204</v>
      </c>
      <c r="AW192" s="947">
        <v>0</v>
      </c>
      <c r="AX192" s="947">
        <v>66.299990427465744</v>
      </c>
      <c r="AY192" s="947">
        <v>0</v>
      </c>
    </row>
    <row r="193" spans="2:51" x14ac:dyDescent="0.25">
      <c r="B193" s="650">
        <v>6.2603286633168054</v>
      </c>
      <c r="C193" s="651">
        <v>3.2049449901607785</v>
      </c>
      <c r="D193" s="652">
        <v>-3.4607600402942826</v>
      </c>
      <c r="E193" s="653">
        <v>3.0512745775671601E-2</v>
      </c>
      <c r="F193" s="651">
        <v>0.99724005511398628</v>
      </c>
      <c r="G193" s="654">
        <v>6.768489359881559E-2</v>
      </c>
      <c r="H193" s="653">
        <v>0.314</v>
      </c>
      <c r="I193" s="920">
        <v>0.52</v>
      </c>
      <c r="J193" s="924">
        <v>2.1349999999999998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1613</v>
      </c>
      <c r="L193" s="940" t="s">
        <v>419</v>
      </c>
      <c r="M193" s="981"/>
      <c r="N193" s="941"/>
      <c r="O193" s="942"/>
      <c r="Q193" s="162">
        <f t="shared" si="1059"/>
        <v>6.2603286633168054</v>
      </c>
      <c r="R193" s="162">
        <f t="shared" si="1060"/>
        <v>3.2049449901607785</v>
      </c>
      <c r="S193" s="162">
        <f t="shared" si="1061"/>
        <v>-3.4607600402942826</v>
      </c>
      <c r="T193" s="162">
        <f t="shared" si="1062"/>
        <v>3.0512745775671601E-2</v>
      </c>
      <c r="U193" s="162">
        <f t="shared" si="1063"/>
        <v>0.99724005511398628</v>
      </c>
      <c r="V193" s="162">
        <f t="shared" si="1064"/>
        <v>6.768489359881559E-2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2.1349999999999998</v>
      </c>
      <c r="Z193" s="917">
        <f t="shared" si="1066"/>
        <v>1613</v>
      </c>
      <c r="AA193" s="82"/>
      <c r="AB193" s="75"/>
      <c r="AC193" s="75">
        <v>4.1000299999999994</v>
      </c>
      <c r="AD193" s="166">
        <v>-4.5</v>
      </c>
      <c r="AE193" s="75">
        <v>5.1260000000000003</v>
      </c>
      <c r="AF193" s="82">
        <v>5</v>
      </c>
      <c r="AG193" s="82">
        <v>1</v>
      </c>
      <c r="AH193" s="82">
        <v>1</v>
      </c>
      <c r="AI193" s="82">
        <v>1.0000000000582077</v>
      </c>
      <c r="AJ193" s="166">
        <v>5.1261100000000006</v>
      </c>
      <c r="AK193" s="82" t="str">
        <v>Base</v>
      </c>
      <c r="AL193" s="162">
        <v>-24</v>
      </c>
      <c r="AM193" s="162">
        <v>-6.2261187779742322</v>
      </c>
      <c r="AN193" s="162">
        <v>-1.1875573177577705</v>
      </c>
      <c r="AO193" s="162">
        <v>54.599992116736459</v>
      </c>
      <c r="AP193" s="162">
        <v>-20.499997040166601</v>
      </c>
      <c r="AQ193" s="162">
        <v>0</v>
      </c>
      <c r="AR193" s="710" t="str">
        <v>1613.par</v>
      </c>
      <c r="AV193" s="82" t="str">
        <v>0,102,204</v>
      </c>
      <c r="AW193" s="947">
        <v>0</v>
      </c>
      <c r="AX193" s="947">
        <v>54.599992116736459</v>
      </c>
      <c r="AY193" s="947">
        <v>0</v>
      </c>
    </row>
    <row r="194" spans="2:51" x14ac:dyDescent="0.25">
      <c r="B194" s="650">
        <v>6.3587276380774949</v>
      </c>
      <c r="C194" s="651">
        <v>3.2363077582245148</v>
      </c>
      <c r="D194" s="652">
        <v>-4.2119623059203137</v>
      </c>
      <c r="E194" s="653">
        <v>9.4268096277827534E-2</v>
      </c>
      <c r="F194" s="651">
        <v>0.99537120134976531</v>
      </c>
      <c r="G194" s="654">
        <v>1.8700201808522127E-2</v>
      </c>
      <c r="H194" s="653">
        <v>0.314</v>
      </c>
      <c r="I194" s="920">
        <v>0.52</v>
      </c>
      <c r="J194" s="924">
        <v>2.1379999999999999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419</v>
      </c>
      <c r="M194" s="981"/>
      <c r="N194" s="941"/>
      <c r="O194" s="942"/>
      <c r="P194">
        <v>-9.5899999999999999E-2</v>
      </c>
      <c r="Q194" s="162">
        <f t="shared" si="1059"/>
        <v>6.3587276380774949</v>
      </c>
      <c r="R194" s="162">
        <f t="shared" si="1060"/>
        <v>3.2363077582245148</v>
      </c>
      <c r="S194" s="162">
        <f t="shared" si="1061"/>
        <v>-4.2119623059203137</v>
      </c>
      <c r="T194" s="162">
        <f t="shared" si="1062"/>
        <v>9.4268096277827534E-2</v>
      </c>
      <c r="U194" s="162">
        <f t="shared" si="1063"/>
        <v>0.99537120134976531</v>
      </c>
      <c r="V194" s="162">
        <f t="shared" si="1064"/>
        <v>1.8700201808522127E-2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2.1379999999999999</v>
      </c>
      <c r="Z194" s="917">
        <f t="shared" si="1066"/>
        <v>1613</v>
      </c>
      <c r="AA194" s="82"/>
      <c r="AB194" s="75"/>
      <c r="AC194" s="75">
        <v>3.2000300000000004</v>
      </c>
      <c r="AD194" s="166">
        <v>-3.75</v>
      </c>
      <c r="AE194" s="75">
        <v>5.1230000000000002</v>
      </c>
      <c r="AF194" s="82">
        <v>5</v>
      </c>
      <c r="AG194" s="82">
        <v>1</v>
      </c>
      <c r="AH194" s="82">
        <v>1</v>
      </c>
      <c r="AI194" s="82">
        <v>1.0000000000582077</v>
      </c>
      <c r="AJ194" s="166">
        <v>5.1231100000000005</v>
      </c>
      <c r="AK194" s="82" t="str">
        <v>Base</v>
      </c>
      <c r="AL194" s="162">
        <v>-24</v>
      </c>
      <c r="AM194" s="162">
        <v>-5.6833171408844967</v>
      </c>
      <c r="AN194" s="162">
        <v>-0.65947739040274833</v>
      </c>
      <c r="AO194" s="162">
        <v>42.799993820445458</v>
      </c>
      <c r="AP194" s="162">
        <v>-17.099997531065835</v>
      </c>
      <c r="AQ194" s="162">
        <v>0</v>
      </c>
      <c r="AR194" s="710" t="str">
        <v>1613.par</v>
      </c>
      <c r="AV194" s="82" t="str">
        <v>0,102,204</v>
      </c>
      <c r="AW194" s="947">
        <v>0</v>
      </c>
      <c r="AX194" s="947">
        <v>42.799993820445458</v>
      </c>
      <c r="AY194" s="947">
        <v>0</v>
      </c>
    </row>
    <row r="195" spans="2:51" x14ac:dyDescent="0.25">
      <c r="B195" s="650">
        <v>4.1745613683647074</v>
      </c>
      <c r="C195" s="651">
        <v>1.0673598377601725</v>
      </c>
      <c r="D195" s="652">
        <v>-0.24530169764305285</v>
      </c>
      <c r="E195" s="653">
        <v>0.17539187651179725</v>
      </c>
      <c r="F195" s="651">
        <v>4.4844530559965907E-2</v>
      </c>
      <c r="G195" s="654">
        <v>0.98347682114655199</v>
      </c>
      <c r="H195" s="653">
        <v>0.25700000000000001</v>
      </c>
      <c r="I195" s="920">
        <v>0.41499999999999992</v>
      </c>
      <c r="J195" s="924">
        <v>2.2170000000000001</v>
      </c>
      <c r="K195" s="790" t="str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CPS-32193r1</v>
      </c>
      <c r="L195" s="940" t="s">
        <v>421</v>
      </c>
      <c r="M195" s="981"/>
      <c r="N195" s="941"/>
      <c r="O195" s="942"/>
      <c r="P195">
        <f>-0.0291</f>
        <v>-2.9100000000000001E-2</v>
      </c>
      <c r="Q195" s="162">
        <f t="shared" si="1059"/>
        <v>4.1745613683647074</v>
      </c>
      <c r="R195" s="162">
        <f t="shared" si="1060"/>
        <v>1.0673598377601725</v>
      </c>
      <c r="S195" s="162">
        <f t="shared" si="1061"/>
        <v>-0.24530169764305285</v>
      </c>
      <c r="T195" s="162">
        <f t="shared" si="1062"/>
        <v>0.17539187651179725</v>
      </c>
      <c r="U195" s="162">
        <f t="shared" si="1063"/>
        <v>4.4844530559965907E-2</v>
      </c>
      <c r="V195" s="162">
        <f t="shared" si="1064"/>
        <v>0.98347682114655199</v>
      </c>
      <c r="W195" s="162">
        <f>IFERROR(IF(ISNUMBER(MATCH($Z195,Settings!$AK$28:$AK$36,0)),INDEX(Settings!$AO$14:$AO$36,MATCH($Z195,Settings!$AK$14:$AK$36,0))/2,INDEX(Settings!$AM$14:$AM$36,MATCH($Z195,Settings!$AK$14:$AK$36,0))/2),"")</f>
        <v>0.255</v>
      </c>
      <c r="X195" s="162">
        <f t="shared" si="1065"/>
        <v>0.41499999999999992</v>
      </c>
      <c r="Y195" s="75">
        <v>2.2170000000000001</v>
      </c>
      <c r="Z195" s="917" t="str">
        <f t="shared" si="1066"/>
        <v>CPS-32193r1</v>
      </c>
      <c r="AA195" s="82"/>
      <c r="AB195" s="75"/>
      <c r="AC195" s="75">
        <v>3.1000300000000003</v>
      </c>
      <c r="AD195" s="166">
        <v>-3</v>
      </c>
      <c r="AE195" s="75">
        <v>5.12</v>
      </c>
      <c r="AF195" s="82">
        <v>5</v>
      </c>
      <c r="AG195" s="82">
        <v>1</v>
      </c>
      <c r="AH195" s="82">
        <v>1</v>
      </c>
      <c r="AI195" s="82">
        <v>1.0000000000582077</v>
      </c>
      <c r="AJ195" s="166">
        <v>5.1201100000000004</v>
      </c>
      <c r="AK195" s="82" t="str">
        <v>Base</v>
      </c>
      <c r="AL195" s="162">
        <v>-24</v>
      </c>
      <c r="AM195" s="162">
        <v>-5.0339151822881911</v>
      </c>
      <c r="AN195" s="162">
        <v>-0.27140496862131019</v>
      </c>
      <c r="AO195" s="162">
        <v>31.099995509716297</v>
      </c>
      <c r="AP195" s="162">
        <v>-16.299997646571519</v>
      </c>
      <c r="AQ195" s="162">
        <v>0</v>
      </c>
      <c r="AR195" s="710" t="str">
        <v>1613.par</v>
      </c>
      <c r="AV195" s="82" t="str">
        <v>0,102,204</v>
      </c>
      <c r="AW195" s="947">
        <v>0</v>
      </c>
      <c r="AX195" s="947">
        <v>31.099995509716297</v>
      </c>
      <c r="AY195" s="947">
        <v>0</v>
      </c>
    </row>
    <row r="196" spans="2:51" x14ac:dyDescent="0.25">
      <c r="B196" s="650">
        <v>4.842530950432602</v>
      </c>
      <c r="C196" s="651">
        <v>1.4016956123637319</v>
      </c>
      <c r="D196" s="652">
        <v>-0.47287371612878593</v>
      </c>
      <c r="E196" s="653">
        <v>0.39375931127951097</v>
      </c>
      <c r="F196" s="651">
        <v>0.11397566780622198</v>
      </c>
      <c r="G196" s="654">
        <v>0.91212014117045503</v>
      </c>
      <c r="H196" s="653">
        <v>0.25700000000000001</v>
      </c>
      <c r="I196" s="920">
        <v>0.41499999999999992</v>
      </c>
      <c r="J196" s="924">
        <v>2.2200000000000002</v>
      </c>
      <c r="K196" s="790" t="str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CPS-32193r1</v>
      </c>
      <c r="L196" s="940" t="s">
        <v>421</v>
      </c>
      <c r="M196" s="981"/>
      <c r="N196" s="941"/>
      <c r="O196" s="942"/>
      <c r="Q196" s="162">
        <f t="shared" ref="Q196:Q209" si="1067">IFERROR(INDEX(B$164:B$305,MATCH($Y196,$J$164:$J$305,0)),"")</f>
        <v>4.842530950432602</v>
      </c>
      <c r="R196" s="162">
        <f t="shared" ref="R196:R209" si="1068">IFERROR(INDEX(C$164:C$305,MATCH($Y196,$J$164:$J$305,0)),"")</f>
        <v>1.4016956123637319</v>
      </c>
      <c r="S196" s="162">
        <f t="shared" ref="S196:S209" si="1069">IFERROR(INDEX(D$164:D$305,MATCH($Y196,$J$164:$J$305,0)),"")</f>
        <v>-0.47287371612878593</v>
      </c>
      <c r="T196" s="162">
        <f t="shared" ref="T196:T209" si="1070">IFERROR(IF($N196="Y",-1*INDEX(E$164:E$305,MATCH($Y196,$J$164:$J$305,0)),INDEX(E$164:E$305,MATCH($Y196,$J$164:$J$305,0))),"")</f>
        <v>0.39375931127951097</v>
      </c>
      <c r="U196" s="162">
        <f t="shared" ref="U196:U209" si="1071">IFERROR(IF($N196="Y",-1*INDEX(F$164:F$305,MATCH($Y196,$J$164:$J$305,0)),INDEX(F$164:F$305,MATCH($Y196,$J$164:$J$305,0))),"")</f>
        <v>0.11397566780622198</v>
      </c>
      <c r="V196" s="162">
        <f t="shared" ref="V196:V209" si="1072">IFERROR(IF($N196="Y",-1*INDEX(G$164:G$305,MATCH($Y196,$J$164:$J$305,0)),INDEX(G$164:G$305,MATCH($Y196,$J$164:$J$305,0))),"")</f>
        <v>0.91212014117045503</v>
      </c>
      <c r="W196" s="162">
        <f>IFERROR(IF(ISNUMBER(MATCH($Z196,Settings!$AK$28:$AK$36,0)),INDEX(Settings!$AO$14:$AO$36,MATCH($Z196,Settings!$AK$14:$AK$36,0))/2,INDEX(Settings!$AM$14:$AM$36,MATCH($Z196,Settings!$AK$14:$AK$36,0))/2),"")</f>
        <v>0.255</v>
      </c>
      <c r="X196" s="162">
        <f t="shared" ref="X196:X209" si="1073">IFERROR(INDEX(I$164:I$305,MATCH($Y196,$J$164:$J$305,0)),"")</f>
        <v>0.41499999999999992</v>
      </c>
      <c r="Y196" s="75">
        <v>2.2200000000000002</v>
      </c>
      <c r="Z196" s="917" t="str">
        <f t="shared" ref="Z196:Z209" si="1074">IFERROR(INDEX(K$164:K$305,MATCH($Y196,$J$164:$J$305,0)),"")</f>
        <v>CPS-32193r1</v>
      </c>
      <c r="AA196" s="82"/>
      <c r="AB196" s="75"/>
      <c r="AC196" s="75">
        <v>2.2000300000000004</v>
      </c>
      <c r="AD196" s="166">
        <v>-2.25</v>
      </c>
      <c r="AE196" s="75">
        <v>5.117</v>
      </c>
      <c r="AF196" s="82">
        <v>5</v>
      </c>
      <c r="AG196" s="82">
        <v>1</v>
      </c>
      <c r="AH196" s="82">
        <v>1</v>
      </c>
      <c r="AI196" s="82">
        <v>1.0000000000582077</v>
      </c>
      <c r="AJ196" s="166">
        <v>5.1171100000000003</v>
      </c>
      <c r="AK196" s="82" t="str">
        <v>Base</v>
      </c>
      <c r="AL196" s="162">
        <v>-24</v>
      </c>
      <c r="AM196" s="162">
        <v>-4.3037129799983482</v>
      </c>
      <c r="AN196" s="162">
        <v>-4.5745536953984423E-2</v>
      </c>
      <c r="AO196" s="162">
        <v>18.999997256739775</v>
      </c>
      <c r="AP196" s="162">
        <v>-15.499997762077189</v>
      </c>
      <c r="AQ196" s="162">
        <v>0</v>
      </c>
      <c r="AR196" s="710" t="str">
        <v>1613.par</v>
      </c>
      <c r="AV196" s="82" t="str">
        <v>0,102,204</v>
      </c>
      <c r="AW196" s="947">
        <v>0</v>
      </c>
      <c r="AX196" s="947">
        <v>18.999997256739775</v>
      </c>
      <c r="AY196" s="947">
        <v>0</v>
      </c>
    </row>
    <row r="197" spans="2:51" x14ac:dyDescent="0.25">
      <c r="B197" s="650">
        <v>5.4416270474976196</v>
      </c>
      <c r="C197" s="651">
        <v>1.6696567040360484</v>
      </c>
      <c r="D197" s="652">
        <v>-0.86399919917821622</v>
      </c>
      <c r="E197" s="653">
        <v>0.58620904150121578</v>
      </c>
      <c r="F197" s="651">
        <v>0.17986676550337027</v>
      </c>
      <c r="G197" s="654">
        <v>0.78994107775807021</v>
      </c>
      <c r="H197" s="653">
        <v>0.25700000000000001</v>
      </c>
      <c r="I197" s="920">
        <v>0.41499999999999992</v>
      </c>
      <c r="J197" s="924">
        <v>2.2229999999999999</v>
      </c>
      <c r="K197" s="790" t="str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CPS-32193r1</v>
      </c>
      <c r="L197" s="940" t="s">
        <v>421</v>
      </c>
      <c r="M197" s="981"/>
      <c r="N197" s="941"/>
      <c r="O197" s="942"/>
      <c r="Q197" s="162">
        <f t="shared" si="1067"/>
        <v>5.4416270474976196</v>
      </c>
      <c r="R197" s="162">
        <f t="shared" si="1068"/>
        <v>1.6696567040360484</v>
      </c>
      <c r="S197" s="162">
        <f t="shared" si="1069"/>
        <v>-0.86399919917821622</v>
      </c>
      <c r="T197" s="162">
        <f t="shared" si="1070"/>
        <v>0.58620904150121578</v>
      </c>
      <c r="U197" s="162">
        <f t="shared" si="1071"/>
        <v>0.17986676550337027</v>
      </c>
      <c r="V197" s="162">
        <f t="shared" si="1072"/>
        <v>0.78994107775807021</v>
      </c>
      <c r="W197" s="162">
        <f>IFERROR(IF(ISNUMBER(MATCH($Z197,Settings!$AK$28:$AK$36,0)),INDEX(Settings!$AO$14:$AO$36,MATCH($Z197,Settings!$AK$14:$AK$36,0))/2,INDEX(Settings!$AM$14:$AM$36,MATCH($Z197,Settings!$AK$14:$AK$36,0))/2),"")</f>
        <v>0.255</v>
      </c>
      <c r="X197" s="162">
        <f t="shared" si="1073"/>
        <v>0.41499999999999992</v>
      </c>
      <c r="Y197" s="75">
        <v>2.2229999999999999</v>
      </c>
      <c r="Z197" s="917" t="str">
        <f t="shared" si="1074"/>
        <v>CPS-32193r1</v>
      </c>
      <c r="AA197" s="82"/>
      <c r="AB197" s="75"/>
      <c r="AC197" s="75">
        <v>2.1000300000000003</v>
      </c>
      <c r="AD197" s="166">
        <v>-1.5</v>
      </c>
      <c r="AE197" s="75">
        <v>5.1139999999999999</v>
      </c>
      <c r="AF197" s="82">
        <v>5</v>
      </c>
      <c r="AG197" s="82">
        <v>1</v>
      </c>
      <c r="AH197" s="82">
        <v>1</v>
      </c>
      <c r="AI197" s="82">
        <v>0.99999999998544808</v>
      </c>
      <c r="AJ197" s="166">
        <v>5.1141100000000002</v>
      </c>
      <c r="AK197" s="82" t="str">
        <v>Base</v>
      </c>
      <c r="AL197" s="162">
        <v>-24</v>
      </c>
      <c r="AM197" s="162">
        <v>-3.5593107348811768</v>
      </c>
      <c r="AN197" s="162">
        <v>2.2439831502153729E-3</v>
      </c>
      <c r="AO197" s="162">
        <v>7.3999989315723109</v>
      </c>
      <c r="AP197" s="162">
        <v>-15.099997819830044</v>
      </c>
      <c r="AQ197" s="162">
        <v>0</v>
      </c>
      <c r="AR197" s="710" t="str">
        <v>1613.par</v>
      </c>
      <c r="AV197" s="82" t="str">
        <v>0,102,204</v>
      </c>
      <c r="AW197" s="947">
        <v>0</v>
      </c>
      <c r="AX197" s="947">
        <v>7.3999989315723109</v>
      </c>
      <c r="AY197" s="947">
        <v>0</v>
      </c>
    </row>
    <row r="198" spans="2:51" x14ac:dyDescent="0.25">
      <c r="B198" s="650">
        <v>5.9430233028503148</v>
      </c>
      <c r="C198" s="651">
        <v>1.8716214370620805</v>
      </c>
      <c r="D198" s="652">
        <v>-1.3987440022714184</v>
      </c>
      <c r="E198" s="653">
        <v>0.74594758852630061</v>
      </c>
      <c r="F198" s="651">
        <v>0.23491940489969029</v>
      </c>
      <c r="G198" s="654">
        <v>0.62319745536496896</v>
      </c>
      <c r="H198" s="653">
        <v>0.25700000000000001</v>
      </c>
      <c r="I198" s="920">
        <v>0.41499999999999992</v>
      </c>
      <c r="J198" s="924">
        <v>2.226</v>
      </c>
      <c r="K198" s="790" t="str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CPS-32193r1</v>
      </c>
      <c r="L198" s="940" t="s">
        <v>421</v>
      </c>
      <c r="M198" s="981"/>
      <c r="N198" s="941"/>
      <c r="O198" s="942"/>
      <c r="Q198" s="162">
        <f t="shared" si="1067"/>
        <v>5.9430233028503148</v>
      </c>
      <c r="R198" s="162">
        <f t="shared" si="1068"/>
        <v>1.8716214370620805</v>
      </c>
      <c r="S198" s="162">
        <f t="shared" si="1069"/>
        <v>-1.3987440022714184</v>
      </c>
      <c r="T198" s="162">
        <f t="shared" si="1070"/>
        <v>0.74594758852630061</v>
      </c>
      <c r="U198" s="162">
        <f t="shared" si="1071"/>
        <v>0.23491940489969029</v>
      </c>
      <c r="V198" s="162">
        <f t="shared" si="1072"/>
        <v>0.62319745536496896</v>
      </c>
      <c r="W198" s="162">
        <f>IFERROR(IF(ISNUMBER(MATCH($Z198,Settings!$AK$28:$AK$36,0)),INDEX(Settings!$AO$14:$AO$36,MATCH($Z198,Settings!$AK$14:$AK$36,0))/2,INDEX(Settings!$AM$14:$AM$36,MATCH($Z198,Settings!$AK$14:$AK$36,0))/2),"")</f>
        <v>0.255</v>
      </c>
      <c r="X198" s="162">
        <f t="shared" si="1073"/>
        <v>0.41499999999999992</v>
      </c>
      <c r="Y198" s="75">
        <v>2.226</v>
      </c>
      <c r="Z198" s="917" t="str">
        <f t="shared" si="1074"/>
        <v>CPS-32193r1</v>
      </c>
      <c r="AA198" s="82"/>
      <c r="AB198" s="75"/>
      <c r="AC198" s="75">
        <v>1.2000299999999999</v>
      </c>
      <c r="AD198" s="166">
        <v>-0.75</v>
      </c>
      <c r="AE198" s="75">
        <v>5.1109999999999998</v>
      </c>
      <c r="AF198" s="82">
        <v>5</v>
      </c>
      <c r="AG198" s="82">
        <v>1</v>
      </c>
      <c r="AH198" s="82">
        <v>1</v>
      </c>
      <c r="AI198" s="82">
        <v>0.99999999998544808</v>
      </c>
      <c r="AJ198" s="166">
        <v>5.11111</v>
      </c>
      <c r="AK198" s="82" t="str">
        <v>Base</v>
      </c>
      <c r="AL198" s="162">
        <v>-24</v>
      </c>
      <c r="AM198" s="162">
        <v>-2.8153084909704096</v>
      </c>
      <c r="AN198" s="162">
        <v>-0.12535640169254519</v>
      </c>
      <c r="AO198" s="162">
        <v>-1.9999997112357444</v>
      </c>
      <c r="AP198" s="162">
        <v>-14.999997834268255</v>
      </c>
      <c r="AQ198" s="162">
        <v>0</v>
      </c>
      <c r="AR198" s="710" t="str">
        <v>1613.par</v>
      </c>
      <c r="AV198" s="82" t="str">
        <v>0,102,204</v>
      </c>
      <c r="AW198" s="947">
        <v>0</v>
      </c>
      <c r="AX198" s="947">
        <v>-1.9999997112357444</v>
      </c>
      <c r="AY198" s="947">
        <v>0</v>
      </c>
    </row>
    <row r="199" spans="2:51" x14ac:dyDescent="0.25">
      <c r="B199" s="650">
        <v>6.3172515489096313</v>
      </c>
      <c r="C199" s="651">
        <v>2.0091547219710999</v>
      </c>
      <c r="D199" s="652">
        <v>-2.0414908281277029</v>
      </c>
      <c r="E199" s="653">
        <v>0.86374901645685143</v>
      </c>
      <c r="F199" s="651">
        <v>0.27470893023275444</v>
      </c>
      <c r="G199" s="654">
        <v>0.42246022324024485</v>
      </c>
      <c r="H199" s="653">
        <v>0.25700000000000001</v>
      </c>
      <c r="I199" s="920">
        <v>0.41499999999999992</v>
      </c>
      <c r="J199" s="924">
        <v>2.2290000000000001</v>
      </c>
      <c r="K199" s="790" t="str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CPS-32193r1</v>
      </c>
      <c r="L199" s="940" t="s">
        <v>421</v>
      </c>
      <c r="M199" s="981"/>
      <c r="N199" s="941"/>
      <c r="O199" s="942"/>
      <c r="Q199" s="162">
        <f t="shared" si="1067"/>
        <v>6.3172515489096313</v>
      </c>
      <c r="R199" s="162">
        <f t="shared" si="1068"/>
        <v>2.0091547219710999</v>
      </c>
      <c r="S199" s="162">
        <f t="shared" si="1069"/>
        <v>-2.0414908281277029</v>
      </c>
      <c r="T199" s="162">
        <f t="shared" si="1070"/>
        <v>0.86374901645685143</v>
      </c>
      <c r="U199" s="162">
        <f t="shared" si="1071"/>
        <v>0.27470893023275444</v>
      </c>
      <c r="V199" s="162">
        <f t="shared" si="1072"/>
        <v>0.42246022324024485</v>
      </c>
      <c r="W199" s="162">
        <f>IFERROR(IF(ISNUMBER(MATCH($Z199,Settings!$AK$28:$AK$36,0)),INDEX(Settings!$AO$14:$AO$36,MATCH($Z199,Settings!$AK$14:$AK$36,0))/2,INDEX(Settings!$AM$14:$AM$36,MATCH($Z199,Settings!$AK$14:$AK$36,0))/2),"")</f>
        <v>0.255</v>
      </c>
      <c r="X199" s="162">
        <f t="shared" si="1073"/>
        <v>0.41499999999999992</v>
      </c>
      <c r="Y199" s="75">
        <v>2.2290000000000001</v>
      </c>
      <c r="Z199" s="917" t="str">
        <f t="shared" si="1074"/>
        <v>CPS-32193r1</v>
      </c>
      <c r="AA199" s="82"/>
      <c r="AB199" s="75"/>
      <c r="AC199" s="75">
        <v>1.1000300000000001</v>
      </c>
      <c r="AD199" s="166">
        <v>0</v>
      </c>
      <c r="AE199" s="75">
        <v>5.1079999999999997</v>
      </c>
      <c r="AF199" s="82">
        <v>5</v>
      </c>
      <c r="AG199" s="82">
        <v>1</v>
      </c>
      <c r="AH199" s="82">
        <v>1</v>
      </c>
      <c r="AI199" s="82">
        <v>0.99999999998544808</v>
      </c>
      <c r="AJ199" s="166">
        <v>5.1081099999999999</v>
      </c>
      <c r="AK199" s="82" t="str">
        <v>Base</v>
      </c>
      <c r="AL199" s="162">
        <v>-24</v>
      </c>
      <c r="AM199" s="162">
        <v>-2.0734062533932605</v>
      </c>
      <c r="AN199" s="162">
        <v>-0.32405700097355289</v>
      </c>
      <c r="AO199" s="162">
        <v>-2.999999566853591</v>
      </c>
      <c r="AP199" s="162">
        <v>-14.999997834268203</v>
      </c>
      <c r="AQ199" s="162">
        <v>0</v>
      </c>
      <c r="AR199" s="710" t="str">
        <v>1613.par</v>
      </c>
      <c r="AV199" s="82" t="str">
        <v>0,102,204</v>
      </c>
      <c r="AW199" s="947">
        <v>0</v>
      </c>
      <c r="AX199" s="947">
        <v>-2.999999566853591</v>
      </c>
      <c r="AY199" s="947">
        <v>0</v>
      </c>
    </row>
    <row r="200" spans="2:51" x14ac:dyDescent="0.25">
      <c r="B200" s="650">
        <v>6.5415939022140721</v>
      </c>
      <c r="C200" s="651">
        <v>2.0862083033712802</v>
      </c>
      <c r="D200" s="652">
        <v>-2.7471108288522483</v>
      </c>
      <c r="E200" s="653">
        <v>0.92246057953041327</v>
      </c>
      <c r="F200" s="651">
        <v>0.29418593531122139</v>
      </c>
      <c r="G200" s="654">
        <v>0.25004222578891749</v>
      </c>
      <c r="H200" s="653">
        <v>0.25700000000000001</v>
      </c>
      <c r="I200" s="920">
        <v>0.41499999999999992</v>
      </c>
      <c r="J200" s="924">
        <v>2.2320000000000002</v>
      </c>
      <c r="K200" s="790" t="str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CPS-32193r1</v>
      </c>
      <c r="L200" s="940" t="s">
        <v>421</v>
      </c>
      <c r="M200" s="981"/>
      <c r="N200" s="941"/>
      <c r="O200" s="942"/>
      <c r="Q200" s="162">
        <f t="shared" si="1067"/>
        <v>6.5415939022140721</v>
      </c>
      <c r="R200" s="162">
        <f t="shared" si="1068"/>
        <v>2.0862083033712802</v>
      </c>
      <c r="S200" s="162">
        <f t="shared" si="1069"/>
        <v>-2.7471108288522483</v>
      </c>
      <c r="T200" s="162">
        <f t="shared" si="1070"/>
        <v>0.92246057953041327</v>
      </c>
      <c r="U200" s="162">
        <f t="shared" si="1071"/>
        <v>0.29418593531122139</v>
      </c>
      <c r="V200" s="162">
        <f t="shared" si="1072"/>
        <v>0.25004222578891749</v>
      </c>
      <c r="W200" s="162">
        <f>IFERROR(IF(ISNUMBER(MATCH($Z200,Settings!$AK$28:$AK$36,0)),INDEX(Settings!$AO$14:$AO$36,MATCH($Z200,Settings!$AK$14:$AK$36,0))/2,INDEX(Settings!$AM$14:$AM$36,MATCH($Z200,Settings!$AK$14:$AK$36,0))/2),"")</f>
        <v>0.255</v>
      </c>
      <c r="X200" s="162">
        <f t="shared" si="1073"/>
        <v>0.41499999999999992</v>
      </c>
      <c r="Y200" s="75">
        <v>2.2320000000000002</v>
      </c>
      <c r="Z200" s="917" t="str">
        <f t="shared" si="1074"/>
        <v>CPS-32193r1</v>
      </c>
      <c r="AA200" s="82"/>
      <c r="AB200" s="75"/>
      <c r="AC200" s="75"/>
      <c r="AD200" s="166"/>
      <c r="AE200" s="75">
        <v>5.1050000000000004</v>
      </c>
      <c r="AF200" s="82">
        <v>5</v>
      </c>
      <c r="AG200" s="82">
        <v>1</v>
      </c>
      <c r="AH200" s="82">
        <v>1</v>
      </c>
      <c r="AI200" s="82">
        <v>1.0000000000582077</v>
      </c>
      <c r="AJ200" s="166">
        <v>5.1051100000000007</v>
      </c>
      <c r="AK200" s="82" t="str">
        <v>Base</v>
      </c>
      <c r="AL200" s="162">
        <v>-24</v>
      </c>
      <c r="AM200" s="162">
        <v>-1.331504015816112</v>
      </c>
      <c r="AN200" s="162">
        <v>-0.52285760057435104</v>
      </c>
      <c r="AO200" s="162">
        <v>-2.9999995668536164</v>
      </c>
      <c r="AP200" s="162">
        <v>-14.999997834268255</v>
      </c>
      <c r="AQ200" s="162">
        <v>0</v>
      </c>
      <c r="AR200" s="710" t="str">
        <v>1613.par</v>
      </c>
      <c r="AV200" s="82" t="str">
        <v>0,102,204</v>
      </c>
      <c r="AW200" s="947">
        <v>0</v>
      </c>
      <c r="AX200" s="947">
        <v>-2.9999995668536164</v>
      </c>
      <c r="AY200" s="947">
        <v>0</v>
      </c>
    </row>
    <row r="201" spans="2:51" x14ac:dyDescent="0.25">
      <c r="B201" s="650">
        <v>6.6843969955560532</v>
      </c>
      <c r="C201" s="651">
        <v>2.1331331126368447</v>
      </c>
      <c r="D201" s="652">
        <v>-3.4757396484307188</v>
      </c>
      <c r="E201" s="653">
        <v>0.94129925076742893</v>
      </c>
      <c r="F201" s="651">
        <v>0.30038859182768013</v>
      </c>
      <c r="G201" s="654">
        <v>0.15402082458051078</v>
      </c>
      <c r="H201" s="653">
        <v>0.25700000000000001</v>
      </c>
      <c r="I201" s="920">
        <v>0.41499999999999992</v>
      </c>
      <c r="J201" s="924">
        <v>2.2349999999999999</v>
      </c>
      <c r="K201" s="790" t="str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CPS-32193r1</v>
      </c>
      <c r="L201" s="940" t="s">
        <v>421</v>
      </c>
      <c r="M201" s="981"/>
      <c r="N201" s="941"/>
      <c r="O201" s="942"/>
      <c r="Q201" s="162">
        <f t="shared" si="1067"/>
        <v>6.6843969955560532</v>
      </c>
      <c r="R201" s="162">
        <f t="shared" si="1068"/>
        <v>2.1331331126368447</v>
      </c>
      <c r="S201" s="162">
        <f t="shared" si="1069"/>
        <v>-3.4757396484307188</v>
      </c>
      <c r="T201" s="162">
        <f t="shared" si="1070"/>
        <v>0.94129925076742893</v>
      </c>
      <c r="U201" s="162">
        <f t="shared" si="1071"/>
        <v>0.30038859182768013</v>
      </c>
      <c r="V201" s="162">
        <f t="shared" si="1072"/>
        <v>0.15402082458051078</v>
      </c>
      <c r="W201" s="162">
        <f>IFERROR(IF(ISNUMBER(MATCH($Z201,Settings!$AK$28:$AK$36,0)),INDEX(Settings!$AO$14:$AO$36,MATCH($Z201,Settings!$AK$14:$AK$36,0))/2,INDEX(Settings!$AM$14:$AM$36,MATCH($Z201,Settings!$AK$14:$AK$36,0))/2),"")</f>
        <v>0.255</v>
      </c>
      <c r="X201" s="162">
        <f t="shared" si="1073"/>
        <v>0.41499999999999992</v>
      </c>
      <c r="Y201" s="75">
        <v>2.2349999999999999</v>
      </c>
      <c r="Z201" s="917" t="str">
        <f t="shared" si="1074"/>
        <v>CPS-32193r1</v>
      </c>
      <c r="AA201" s="82"/>
      <c r="AB201" s="75"/>
      <c r="AC201" s="75"/>
      <c r="AD201" s="166"/>
      <c r="AE201" s="75">
        <v>5.1020000000000003</v>
      </c>
      <c r="AF201" s="82">
        <v>5</v>
      </c>
      <c r="AG201" s="82">
        <v>1</v>
      </c>
      <c r="AH201" s="82">
        <v>1</v>
      </c>
      <c r="AI201" s="82">
        <v>1.0000000000582077</v>
      </c>
      <c r="AJ201" s="166">
        <v>5.1021100000000006</v>
      </c>
      <c r="AK201" s="82" t="str">
        <v>Base</v>
      </c>
      <c r="AL201" s="162">
        <v>-24</v>
      </c>
      <c r="AM201" s="162">
        <v>-0.58750177190534425</v>
      </c>
      <c r="AN201" s="162">
        <v>-0.71375817633048744</v>
      </c>
      <c r="AO201" s="162">
        <v>-5.9999991337073411</v>
      </c>
      <c r="AP201" s="162">
        <v>-19.999997112357704</v>
      </c>
      <c r="AQ201" s="162">
        <v>0</v>
      </c>
      <c r="AR201" s="710" t="str">
        <v>1613.par</v>
      </c>
      <c r="AV201" s="82" t="str">
        <v>0,102,204</v>
      </c>
      <c r="AW201" s="947">
        <v>0</v>
      </c>
      <c r="AX201" s="947">
        <v>-5.9999991337073411</v>
      </c>
      <c r="AY201" s="947">
        <v>0</v>
      </c>
    </row>
    <row r="202" spans="2:51" x14ac:dyDescent="0.25">
      <c r="B202" s="650">
        <v>0.75758474595749103</v>
      </c>
      <c r="C202" s="651">
        <v>-0.35326813816670943</v>
      </c>
      <c r="D202" s="652">
        <v>-0.81495245789661286</v>
      </c>
      <c r="E202" s="653">
        <v>0.38404787819956893</v>
      </c>
      <c r="F202" s="651">
        <v>0.8732257866138784</v>
      </c>
      <c r="G202" s="654">
        <v>0.29997325354601617</v>
      </c>
      <c r="H202" s="653">
        <v>0.314</v>
      </c>
      <c r="I202" s="920">
        <v>0.52</v>
      </c>
      <c r="J202" s="924">
        <v>3.1030000000000002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419</v>
      </c>
      <c r="M202" s="981"/>
      <c r="N202" s="941"/>
      <c r="O202" s="942"/>
      <c r="Q202" s="162">
        <f t="shared" si="1067"/>
        <v>0.75758474595749103</v>
      </c>
      <c r="R202" s="162">
        <f t="shared" si="1068"/>
        <v>-0.35326813816670943</v>
      </c>
      <c r="S202" s="162">
        <f t="shared" si="1069"/>
        <v>-0.81495245789661286</v>
      </c>
      <c r="T202" s="162">
        <f t="shared" si="1070"/>
        <v>0.38404787819956893</v>
      </c>
      <c r="U202" s="162">
        <f t="shared" si="1071"/>
        <v>0.8732257866138784</v>
      </c>
      <c r="V202" s="162">
        <f t="shared" si="1072"/>
        <v>0.29997325354601617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73"/>
        <v>0.52</v>
      </c>
      <c r="Y202" s="75">
        <v>3.1030000000000002</v>
      </c>
      <c r="Z202" s="917">
        <f t="shared" si="1074"/>
        <v>1613</v>
      </c>
      <c r="AA202" s="82"/>
      <c r="AB202" s="75"/>
      <c r="AC202" s="75"/>
      <c r="AD202" s="166"/>
      <c r="AE202" s="75">
        <v>4.2370000000000001</v>
      </c>
      <c r="AF202" s="82">
        <v>4</v>
      </c>
      <c r="AG202" s="82">
        <v>2</v>
      </c>
      <c r="AH202" s="82">
        <v>1</v>
      </c>
      <c r="AI202" s="82">
        <v>1.0000000000582077</v>
      </c>
      <c r="AJ202" s="166">
        <v>4.2371100000000004</v>
      </c>
      <c r="AK202" s="82" t="str">
        <v>Base</v>
      </c>
      <c r="AL202" s="162">
        <v>-23.25</v>
      </c>
      <c r="AM202" s="162">
        <v>-7.0763183047111946</v>
      </c>
      <c r="AN202" s="162">
        <v>-3.8388603244027379</v>
      </c>
      <c r="AO202" s="162">
        <v>84.909987740514595</v>
      </c>
      <c r="AP202" s="162">
        <v>0</v>
      </c>
      <c r="AQ202" s="162">
        <v>0</v>
      </c>
      <c r="AR202" s="710" t="str">
        <v>32193r1.par</v>
      </c>
      <c r="AV202" s="82" t="str">
        <v>91,255,255</v>
      </c>
      <c r="AW202" s="947">
        <v>0</v>
      </c>
      <c r="AX202" s="947">
        <v>84.909987740514595</v>
      </c>
      <c r="AY202" s="947">
        <v>0</v>
      </c>
    </row>
    <row r="203" spans="2:51" x14ac:dyDescent="0.25">
      <c r="B203" s="650">
        <v>1.4308826377768713</v>
      </c>
      <c r="C203" s="651">
        <v>-0.6672326074142847</v>
      </c>
      <c r="D203" s="652">
        <v>-0.61985186947323856</v>
      </c>
      <c r="E203" s="653">
        <v>0.39594201493107606</v>
      </c>
      <c r="F203" s="651">
        <v>0.8811504543569314</v>
      </c>
      <c r="G203" s="654">
        <v>0.25846430623761785</v>
      </c>
      <c r="H203" s="653">
        <v>0.314</v>
      </c>
      <c r="I203" s="920">
        <v>0.52</v>
      </c>
      <c r="J203" s="924">
        <v>3.1059999999999999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40" t="s">
        <v>419</v>
      </c>
      <c r="M203" s="981"/>
      <c r="N203" s="941"/>
      <c r="O203" s="942"/>
      <c r="Q203" s="162">
        <f t="shared" si="1067"/>
        <v>1.4308826377768713</v>
      </c>
      <c r="R203" s="162">
        <f t="shared" si="1068"/>
        <v>-0.6672326074142847</v>
      </c>
      <c r="S203" s="162">
        <f t="shared" si="1069"/>
        <v>-0.61985186947323856</v>
      </c>
      <c r="T203" s="162">
        <f t="shared" si="1070"/>
        <v>0.39594201493107606</v>
      </c>
      <c r="U203" s="162">
        <f t="shared" si="1071"/>
        <v>0.8811504543569314</v>
      </c>
      <c r="V203" s="162">
        <f t="shared" si="1072"/>
        <v>0.25846430623761785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73"/>
        <v>0.52</v>
      </c>
      <c r="Y203" s="75">
        <v>3.1059999999999999</v>
      </c>
      <c r="Z203" s="917">
        <f t="shared" si="1074"/>
        <v>1613</v>
      </c>
      <c r="AA203" s="82"/>
      <c r="AB203" s="75"/>
      <c r="AC203" s="75"/>
      <c r="AD203" s="166"/>
      <c r="AE203" s="75">
        <v>4.234</v>
      </c>
      <c r="AF203" s="82">
        <v>4</v>
      </c>
      <c r="AG203" s="82">
        <v>2</v>
      </c>
      <c r="AH203" s="82">
        <v>1</v>
      </c>
      <c r="AI203" s="82">
        <v>1.0000000000582077</v>
      </c>
      <c r="AJ203" s="166">
        <v>4.2341100000000003</v>
      </c>
      <c r="AK203" s="82" t="str">
        <v>Base</v>
      </c>
      <c r="AL203" s="162">
        <v>-23.25</v>
      </c>
      <c r="AM203" s="162">
        <v>-6.9745354852076824</v>
      </c>
      <c r="AN203" s="162">
        <v>-3.0943926139327504</v>
      </c>
      <c r="AO203" s="162">
        <v>79.239988559161148</v>
      </c>
      <c r="AP203" s="162">
        <v>0</v>
      </c>
      <c r="AQ203" s="162">
        <v>0</v>
      </c>
      <c r="AR203" s="710" t="str">
        <v>32193r1.par</v>
      </c>
      <c r="AV203" s="82" t="str">
        <v>91,255,255</v>
      </c>
      <c r="AW203" s="947">
        <v>0</v>
      </c>
      <c r="AX203" s="947">
        <v>79.239988559161148</v>
      </c>
      <c r="AY203" s="947">
        <v>0</v>
      </c>
    </row>
    <row r="204" spans="2:51" x14ac:dyDescent="0.25">
      <c r="B204" s="650">
        <v>2.103274219336702</v>
      </c>
      <c r="C204" s="651">
        <v>-0.98077445656595563</v>
      </c>
      <c r="D204" s="652">
        <v>-0.42105126989063008</v>
      </c>
      <c r="E204" s="653">
        <v>0.39594201493107617</v>
      </c>
      <c r="F204" s="651">
        <v>0.88115045435693129</v>
      </c>
      <c r="G204" s="654">
        <v>0.25846430623761785</v>
      </c>
      <c r="H204" s="653">
        <v>0.314</v>
      </c>
      <c r="I204" s="920">
        <v>0.52</v>
      </c>
      <c r="J204" s="924">
        <v>3.109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1613</v>
      </c>
      <c r="L204" s="940" t="s">
        <v>419</v>
      </c>
      <c r="M204" s="981"/>
      <c r="N204" s="941"/>
      <c r="O204" s="942"/>
      <c r="Q204" s="162">
        <f t="shared" si="1067"/>
        <v>2.103274219336702</v>
      </c>
      <c r="R204" s="162">
        <f t="shared" si="1068"/>
        <v>-0.98077445656595563</v>
      </c>
      <c r="S204" s="162">
        <f t="shared" si="1069"/>
        <v>-0.42105126989063008</v>
      </c>
      <c r="T204" s="162">
        <f t="shared" si="1070"/>
        <v>0.39594201493107617</v>
      </c>
      <c r="U204" s="162">
        <f t="shared" si="1071"/>
        <v>0.88115045435693129</v>
      </c>
      <c r="V204" s="162">
        <f t="shared" si="1072"/>
        <v>0.25846430623761785</v>
      </c>
      <c r="W204" s="162">
        <f>IFERROR(IF(ISNUMBER(MATCH($Z204,Settings!$AK$28:$AK$36,0)),INDEX(Settings!$AO$14:$AO$36,MATCH($Z204,Settings!$AK$14:$AK$36,0))/2,INDEX(Settings!$AM$14:$AM$36,MATCH($Z204,Settings!$AK$14:$AK$36,0))/2),"")</f>
        <v>0.3125</v>
      </c>
      <c r="X204" s="162">
        <f t="shared" si="1073"/>
        <v>0.52</v>
      </c>
      <c r="Y204" s="75">
        <v>3.109</v>
      </c>
      <c r="Z204" s="917">
        <f t="shared" si="1074"/>
        <v>1613</v>
      </c>
      <c r="AA204" s="82"/>
      <c r="AB204" s="75"/>
      <c r="AC204" s="75"/>
      <c r="AD204" s="166"/>
      <c r="AE204" s="75">
        <v>4.2309999999999999</v>
      </c>
      <c r="AF204" s="82">
        <v>4</v>
      </c>
      <c r="AG204" s="82">
        <v>2</v>
      </c>
      <c r="AH204" s="82">
        <v>1</v>
      </c>
      <c r="AI204" s="82">
        <v>0.99999999998544808</v>
      </c>
      <c r="AJ204" s="166">
        <v>4.2311100000000001</v>
      </c>
      <c r="AK204" s="82" t="str">
        <v>Base</v>
      </c>
      <c r="AL204" s="162">
        <v>-23.25</v>
      </c>
      <c r="AM204" s="162">
        <v>-6.8042623594709397</v>
      </c>
      <c r="AN204" s="162">
        <v>-2.3769025153773304</v>
      </c>
      <c r="AO204" s="162">
        <v>73.979989318611103</v>
      </c>
      <c r="AP204" s="162">
        <v>0</v>
      </c>
      <c r="AQ204" s="162">
        <v>0</v>
      </c>
      <c r="AR204" s="710" t="str">
        <v>32193r1.par</v>
      </c>
      <c r="AV204" s="82" t="str">
        <v>91,255,255</v>
      </c>
      <c r="AW204" s="947">
        <v>0</v>
      </c>
      <c r="AX204" s="947">
        <v>73.979989318611103</v>
      </c>
      <c r="AY204" s="947">
        <v>0</v>
      </c>
    </row>
    <row r="205" spans="2:51" x14ac:dyDescent="0.25">
      <c r="B205" s="650">
        <v>2.7762095870522625</v>
      </c>
      <c r="C205" s="651">
        <v>-1.2945698777751693</v>
      </c>
      <c r="D205" s="652">
        <v>-0.22645068297525989</v>
      </c>
      <c r="E205" s="653">
        <v>0.40658084698052077</v>
      </c>
      <c r="F205" s="651">
        <v>0.87618947750195841</v>
      </c>
      <c r="G205" s="654">
        <v>0.25881270135649737</v>
      </c>
      <c r="H205" s="653">
        <v>0.314</v>
      </c>
      <c r="I205" s="920">
        <v>0.52</v>
      </c>
      <c r="J205" s="924">
        <v>3.1120000000000001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1613</v>
      </c>
      <c r="L205" s="940" t="s">
        <v>419</v>
      </c>
      <c r="M205" s="981"/>
      <c r="N205" s="941"/>
      <c r="O205" s="942"/>
      <c r="Q205" s="162">
        <f t="shared" si="1067"/>
        <v>2.7762095870522625</v>
      </c>
      <c r="R205" s="162">
        <f t="shared" si="1068"/>
        <v>-1.2945698777751693</v>
      </c>
      <c r="S205" s="162">
        <f t="shared" si="1069"/>
        <v>-0.22645068297525989</v>
      </c>
      <c r="T205" s="162">
        <f t="shared" si="1070"/>
        <v>0.40658084698052077</v>
      </c>
      <c r="U205" s="162">
        <f t="shared" si="1071"/>
        <v>0.87618947750195841</v>
      </c>
      <c r="V205" s="162">
        <f t="shared" si="1072"/>
        <v>0.25881270135649737</v>
      </c>
      <c r="W205" s="162">
        <f>IFERROR(IF(ISNUMBER(MATCH($Z205,Settings!$AK$28:$AK$36,0)),INDEX(Settings!$AO$14:$AO$36,MATCH($Z205,Settings!$AK$14:$AK$36,0))/2,INDEX(Settings!$AM$14:$AM$36,MATCH($Z205,Settings!$AK$14:$AK$36,0))/2),"")</f>
        <v>0.3125</v>
      </c>
      <c r="X205" s="162">
        <f t="shared" si="1073"/>
        <v>0.52</v>
      </c>
      <c r="Y205" s="75">
        <v>3.1120000000000001</v>
      </c>
      <c r="Z205" s="917">
        <f t="shared" si="1074"/>
        <v>1613</v>
      </c>
      <c r="AA205" s="82"/>
      <c r="AB205" s="75"/>
      <c r="AC205" s="75"/>
      <c r="AD205" s="166"/>
      <c r="AE205" s="75">
        <v>4.2279999999999998</v>
      </c>
      <c r="AF205" s="82">
        <v>4</v>
      </c>
      <c r="AG205" s="82">
        <v>2</v>
      </c>
      <c r="AH205" s="82">
        <v>1</v>
      </c>
      <c r="AI205" s="82">
        <v>0.99999999998544808</v>
      </c>
      <c r="AJ205" s="166">
        <v>4.22811</v>
      </c>
      <c r="AK205" s="82" t="str">
        <v>Base</v>
      </c>
      <c r="AL205" s="162">
        <v>-23.25</v>
      </c>
      <c r="AM205" s="162">
        <v>-6.5149297086959281</v>
      </c>
      <c r="AN205" s="162">
        <v>-1.6849642501902533</v>
      </c>
      <c r="AO205" s="162">
        <v>60.529991260550531</v>
      </c>
      <c r="AP205" s="162">
        <v>0</v>
      </c>
      <c r="AQ205" s="162">
        <v>0</v>
      </c>
      <c r="AR205" s="710" t="str">
        <v>32193r1.par</v>
      </c>
      <c r="AV205" s="82" t="str">
        <v>91,255,255</v>
      </c>
      <c r="AW205" s="947">
        <v>0</v>
      </c>
      <c r="AX205" s="947">
        <v>60.529991260550531</v>
      </c>
      <c r="AY205" s="947">
        <v>0</v>
      </c>
    </row>
    <row r="206" spans="2:51" x14ac:dyDescent="0.25">
      <c r="B206" s="650">
        <v>3.4480562070349006</v>
      </c>
      <c r="C206" s="651">
        <v>-1.6083338587492986</v>
      </c>
      <c r="D206" s="652">
        <v>-0.1574504748706323</v>
      </c>
      <c r="E206" s="653">
        <v>0.45408564891956948</v>
      </c>
      <c r="F206" s="651">
        <v>0.85302787070916619</v>
      </c>
      <c r="G206" s="654">
        <v>0.25719579164263068</v>
      </c>
      <c r="H206" s="653">
        <v>0.314</v>
      </c>
      <c r="I206" s="920">
        <v>0.52</v>
      </c>
      <c r="J206" s="924">
        <v>3.1150000000000002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1613</v>
      </c>
      <c r="L206" s="940" t="s">
        <v>419</v>
      </c>
      <c r="M206" s="981"/>
      <c r="N206" s="941"/>
      <c r="O206" s="942"/>
      <c r="Q206" s="162">
        <f t="shared" si="1067"/>
        <v>3.4480562070349006</v>
      </c>
      <c r="R206" s="162">
        <f t="shared" si="1068"/>
        <v>-1.6083338587492986</v>
      </c>
      <c r="S206" s="162">
        <f t="shared" si="1069"/>
        <v>-0.1574504748706323</v>
      </c>
      <c r="T206" s="162">
        <f t="shared" si="1070"/>
        <v>0.45408564891956948</v>
      </c>
      <c r="U206" s="162">
        <f t="shared" si="1071"/>
        <v>0.85302787070916619</v>
      </c>
      <c r="V206" s="162">
        <f t="shared" si="1072"/>
        <v>0.25719579164263068</v>
      </c>
      <c r="W206" s="162">
        <f>IFERROR(IF(ISNUMBER(MATCH($Z206,Settings!$AK$28:$AK$36,0)),INDEX(Settings!$AO$14:$AO$36,MATCH($Z206,Settings!$AK$14:$AK$36,0))/2,INDEX(Settings!$AM$14:$AM$36,MATCH($Z206,Settings!$AK$14:$AK$36,0))/2),"")</f>
        <v>0.3125</v>
      </c>
      <c r="X206" s="162">
        <f t="shared" si="1073"/>
        <v>0.52</v>
      </c>
      <c r="Y206" s="75">
        <v>3.1150000000000002</v>
      </c>
      <c r="Z206" s="917">
        <f t="shared" si="1074"/>
        <v>1613</v>
      </c>
      <c r="AA206" s="82"/>
      <c r="AB206" s="75"/>
      <c r="AC206" s="75"/>
      <c r="AD206" s="166"/>
      <c r="AE206" s="75">
        <v>4.2249999999999996</v>
      </c>
      <c r="AF206" s="82">
        <v>4</v>
      </c>
      <c r="AG206" s="82">
        <v>2</v>
      </c>
      <c r="AH206" s="82">
        <v>1</v>
      </c>
      <c r="AI206" s="82">
        <v>0.99999999998544808</v>
      </c>
      <c r="AJ206" s="166">
        <v>4.2251099999999999</v>
      </c>
      <c r="AK206" s="82" t="str">
        <v>Base</v>
      </c>
      <c r="AL206" s="162">
        <v>-23.25</v>
      </c>
      <c r="AM206" s="162">
        <v>-6.0655624547724596</v>
      </c>
      <c r="AN206" s="162">
        <v>-1.0725328023884351</v>
      </c>
      <c r="AO206" s="162">
        <v>46.89999322847882</v>
      </c>
      <c r="AP206" s="162">
        <v>0</v>
      </c>
      <c r="AQ206" s="162">
        <v>0</v>
      </c>
      <c r="AR206" s="710" t="str">
        <v>32193r1.par</v>
      </c>
      <c r="AV206" s="82" t="str">
        <v>91,255,255</v>
      </c>
      <c r="AW206" s="947">
        <v>0</v>
      </c>
      <c r="AX206" s="947">
        <v>46.89999322847882</v>
      </c>
      <c r="AY206" s="947">
        <v>0</v>
      </c>
    </row>
    <row r="207" spans="2:51" x14ac:dyDescent="0.25">
      <c r="B207" s="650">
        <v>4.1176361178690124</v>
      </c>
      <c r="C207" s="651">
        <v>-1.9462161443438679</v>
      </c>
      <c r="D207" s="652">
        <v>-0.26415079667880281</v>
      </c>
      <c r="E207" s="653">
        <v>0.50697460253062243</v>
      </c>
      <c r="F207" s="651">
        <v>0.82518569121787888</v>
      </c>
      <c r="G207" s="654">
        <v>0.2490889949359244</v>
      </c>
      <c r="H207" s="653">
        <v>0.314</v>
      </c>
      <c r="I207" s="920">
        <v>0.52</v>
      </c>
      <c r="J207" s="924">
        <v>3.1179999999999999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1613</v>
      </c>
      <c r="L207" s="940" t="s">
        <v>419</v>
      </c>
      <c r="M207" s="981"/>
      <c r="N207" s="941"/>
      <c r="O207" s="942"/>
      <c r="Q207" s="162">
        <f t="shared" si="1067"/>
        <v>4.1176361178690124</v>
      </c>
      <c r="R207" s="162">
        <f t="shared" si="1068"/>
        <v>-1.9462161443438679</v>
      </c>
      <c r="S207" s="162">
        <f t="shared" si="1069"/>
        <v>-0.26415079667880281</v>
      </c>
      <c r="T207" s="162">
        <f t="shared" si="1070"/>
        <v>0.50697460253062243</v>
      </c>
      <c r="U207" s="162">
        <f t="shared" si="1071"/>
        <v>0.82518569121787888</v>
      </c>
      <c r="V207" s="162">
        <f t="shared" si="1072"/>
        <v>0.2490889949359244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73"/>
        <v>0.52</v>
      </c>
      <c r="Y207" s="75">
        <v>3.1179999999999999</v>
      </c>
      <c r="Z207" s="917">
        <f t="shared" si="1074"/>
        <v>1613</v>
      </c>
      <c r="AA207" s="82"/>
      <c r="AB207" s="75"/>
      <c r="AC207" s="75"/>
      <c r="AD207" s="166"/>
      <c r="AE207" s="75">
        <v>4.2220000000000004</v>
      </c>
      <c r="AF207" s="82">
        <v>4</v>
      </c>
      <c r="AG207" s="82">
        <v>2</v>
      </c>
      <c r="AH207" s="82">
        <v>1</v>
      </c>
      <c r="AI207" s="82">
        <v>1.0000000000582077</v>
      </c>
      <c r="AJ207" s="166">
        <v>4.2221100000000007</v>
      </c>
      <c r="AK207" s="82" t="str">
        <v>Base</v>
      </c>
      <c r="AL207" s="162">
        <v>-23.25</v>
      </c>
      <c r="AM207" s="162">
        <v>-5.4860015733948275</v>
      </c>
      <c r="AN207" s="162">
        <v>-0.58183469191242976</v>
      </c>
      <c r="AO207" s="162">
        <v>33.279995194963185</v>
      </c>
      <c r="AP207" s="162">
        <v>0</v>
      </c>
      <c r="AQ207" s="162">
        <v>0</v>
      </c>
      <c r="AR207" s="710" t="str">
        <v>32193r1.par</v>
      </c>
      <c r="AV207" s="82" t="str">
        <v>91,255,255</v>
      </c>
      <c r="AW207" s="947">
        <v>0</v>
      </c>
      <c r="AX207" s="947">
        <v>33.279995194963185</v>
      </c>
      <c r="AY207" s="947">
        <v>0</v>
      </c>
    </row>
    <row r="208" spans="2:51" x14ac:dyDescent="0.25">
      <c r="B208" s="650">
        <v>4.7337839926810918</v>
      </c>
      <c r="C208" s="651">
        <v>-2.2934925373107808</v>
      </c>
      <c r="D208" s="652">
        <v>-0.54765165171738117</v>
      </c>
      <c r="E208" s="653">
        <v>0.56429881365466028</v>
      </c>
      <c r="F208" s="651">
        <v>0.79202765664183294</v>
      </c>
      <c r="G208" s="654">
        <v>0.23293569933007238</v>
      </c>
      <c r="H208" s="653">
        <v>0.314</v>
      </c>
      <c r="I208" s="920">
        <v>0.52</v>
      </c>
      <c r="J208" s="924">
        <v>3.121</v>
      </c>
      <c r="K208" s="790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1613</v>
      </c>
      <c r="L208" s="940" t="s">
        <v>419</v>
      </c>
      <c r="M208" s="981"/>
      <c r="N208" s="941"/>
      <c r="O208" s="942"/>
      <c r="Q208" s="162">
        <f t="shared" si="1067"/>
        <v>4.7337839926810918</v>
      </c>
      <c r="R208" s="162">
        <f t="shared" si="1068"/>
        <v>-2.2934925373107808</v>
      </c>
      <c r="S208" s="162">
        <f t="shared" si="1069"/>
        <v>-0.54765165171738117</v>
      </c>
      <c r="T208" s="162">
        <f t="shared" si="1070"/>
        <v>0.56429881365466028</v>
      </c>
      <c r="U208" s="162">
        <f t="shared" si="1071"/>
        <v>0.79202765664183294</v>
      </c>
      <c r="V208" s="162">
        <f t="shared" si="1072"/>
        <v>0.23293569933007238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73"/>
        <v>0.52</v>
      </c>
      <c r="Y208" s="75">
        <v>3.121</v>
      </c>
      <c r="Z208" s="917">
        <f t="shared" si="1074"/>
        <v>1613</v>
      </c>
      <c r="AA208" s="82"/>
      <c r="AB208" s="75"/>
      <c r="AC208" s="75"/>
      <c r="AD208" s="166"/>
      <c r="AE208" s="75">
        <v>4.2190000000000003</v>
      </c>
      <c r="AF208" s="82">
        <v>4</v>
      </c>
      <c r="AG208" s="82">
        <v>2</v>
      </c>
      <c r="AH208" s="82">
        <v>1</v>
      </c>
      <c r="AI208" s="82">
        <v>1.0000000000582077</v>
      </c>
      <c r="AJ208" s="166">
        <v>4.2191100000000006</v>
      </c>
      <c r="AK208" s="82" t="str">
        <v>Base</v>
      </c>
      <c r="AL208" s="162">
        <v>-23.25</v>
      </c>
      <c r="AM208" s="162">
        <v>-4.8061705690502698</v>
      </c>
      <c r="AN208" s="162">
        <v>-0.24276906160738962</v>
      </c>
      <c r="AO208" s="162">
        <v>19.649997162891438</v>
      </c>
      <c r="AP208" s="162">
        <v>0</v>
      </c>
      <c r="AQ208" s="162">
        <v>0</v>
      </c>
      <c r="AR208" s="710" t="str">
        <v>32193r1.par</v>
      </c>
      <c r="AV208" s="82" t="str">
        <v>91,255,255</v>
      </c>
      <c r="AW208" s="947">
        <v>0</v>
      </c>
      <c r="AX208" s="947">
        <v>19.649997162891438</v>
      </c>
      <c r="AY208" s="947">
        <v>0</v>
      </c>
    </row>
    <row r="209" spans="2:51" x14ac:dyDescent="0.25">
      <c r="B209" s="650">
        <v>5.2613784728431785</v>
      </c>
      <c r="C209" s="651">
        <v>-2.6206513274921428</v>
      </c>
      <c r="D209" s="652">
        <v>-0.98515297122136114</v>
      </c>
      <c r="E209" s="653">
        <v>0.62617028467383851</v>
      </c>
      <c r="F209" s="651">
        <v>0.7500086498966797</v>
      </c>
      <c r="G209" s="654">
        <v>0.21306759413773813</v>
      </c>
      <c r="H209" s="653">
        <v>0.314</v>
      </c>
      <c r="I209" s="920">
        <v>0.52</v>
      </c>
      <c r="J209" s="924">
        <v>3.1240000000000001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1613</v>
      </c>
      <c r="L209" s="940" t="s">
        <v>419</v>
      </c>
      <c r="M209" s="981"/>
      <c r="N209" s="941"/>
      <c r="O209" s="942"/>
      <c r="Q209" s="162">
        <f t="shared" si="1067"/>
        <v>5.2613784728431785</v>
      </c>
      <c r="R209" s="162">
        <f t="shared" si="1068"/>
        <v>-2.6206513274921428</v>
      </c>
      <c r="S209" s="162">
        <f t="shared" si="1069"/>
        <v>-0.98515297122136114</v>
      </c>
      <c r="T209" s="162">
        <f t="shared" si="1070"/>
        <v>0.62617028467383851</v>
      </c>
      <c r="U209" s="162">
        <f t="shared" si="1071"/>
        <v>0.7500086498966797</v>
      </c>
      <c r="V209" s="162">
        <f t="shared" si="1072"/>
        <v>0.21306759413773813</v>
      </c>
      <c r="W209" s="162">
        <f>IFERROR(IF(ISNUMBER(MATCH($Z209,Settings!$AK$28:$AK$36,0)),INDEX(Settings!$AO$14:$AO$36,MATCH($Z209,Settings!$AK$14:$AK$36,0))/2,INDEX(Settings!$AM$14:$AM$36,MATCH($Z209,Settings!$AK$14:$AK$36,0))/2),"")</f>
        <v>0.3125</v>
      </c>
      <c r="X209" s="162">
        <f t="shared" si="1073"/>
        <v>0.52</v>
      </c>
      <c r="Y209" s="75">
        <v>3.1240000000000001</v>
      </c>
      <c r="Z209" s="917">
        <f t="shared" si="1074"/>
        <v>1613</v>
      </c>
      <c r="AA209" s="82"/>
      <c r="AB209" s="75"/>
      <c r="AC209" s="75"/>
      <c r="AD209" s="166"/>
      <c r="AE209" s="75">
        <v>4.2160000000000002</v>
      </c>
      <c r="AF209" s="82">
        <v>4</v>
      </c>
      <c r="AG209" s="82">
        <v>2</v>
      </c>
      <c r="AH209" s="82">
        <v>1</v>
      </c>
      <c r="AI209" s="82">
        <v>1.0000000000582077</v>
      </c>
      <c r="AJ209" s="166">
        <v>4.2161100000000005</v>
      </c>
      <c r="AK209" s="82" t="str">
        <v>Base</v>
      </c>
      <c r="AL209" s="162">
        <v>-23.25</v>
      </c>
      <c r="AM209" s="162">
        <v>-4.0538913077739718</v>
      </c>
      <c r="AN209" s="162">
        <v>-7.2601838491546666E-2</v>
      </c>
      <c r="AO209" s="162">
        <v>5.8099991611399071</v>
      </c>
      <c r="AP209" s="162">
        <v>0</v>
      </c>
      <c r="AQ209" s="162">
        <v>0</v>
      </c>
      <c r="AR209" s="710" t="str">
        <v>32193r1.par</v>
      </c>
      <c r="AV209" s="82" t="str">
        <v>91,255,255</v>
      </c>
      <c r="AW209" s="947">
        <v>0</v>
      </c>
      <c r="AX209" s="947">
        <v>5.8099991611399071</v>
      </c>
      <c r="AY209" s="947">
        <v>0</v>
      </c>
    </row>
    <row r="210" spans="2:51" x14ac:dyDescent="0.25">
      <c r="B210" s="650">
        <v>5.6809591841729015</v>
      </c>
      <c r="C210" s="651">
        <v>-2.9019202015634518</v>
      </c>
      <c r="D210" s="652">
        <v>-1.5540546870289362</v>
      </c>
      <c r="E210" s="653">
        <v>0.7024783915977858</v>
      </c>
      <c r="F210" s="651">
        <v>0.68522089550483634</v>
      </c>
      <c r="G210" s="654">
        <v>0.19234457024241186</v>
      </c>
      <c r="H210" s="653">
        <v>0.314</v>
      </c>
      <c r="I210" s="920">
        <v>0.52</v>
      </c>
      <c r="J210" s="924">
        <v>3.1269999999999998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40" t="s">
        <v>419</v>
      </c>
      <c r="M210" s="981"/>
      <c r="N210" s="941"/>
      <c r="O210" s="942"/>
      <c r="Q210" s="162">
        <f t="shared" ref="Q210:Q273" si="1075">IFERROR(INDEX(B$164:B$305,MATCH($Y210,$J$164:$J$305,0)),"")</f>
        <v>5.6809591841729015</v>
      </c>
      <c r="R210" s="162">
        <f t="shared" ref="R210:R273" si="1076">IFERROR(INDEX(C$164:C$305,MATCH($Y210,$J$164:$J$305,0)),"")</f>
        <v>-2.9019202015634518</v>
      </c>
      <c r="S210" s="162">
        <f t="shared" ref="S210:S273" si="1077">IFERROR(INDEX(D$164:D$305,MATCH($Y210,$J$164:$J$305,0)),"")</f>
        <v>-1.5540546870289362</v>
      </c>
      <c r="T210" s="162">
        <f t="shared" ref="T210:T273" si="1078">IFERROR(IF($N210="Y",-1*INDEX(E$164:E$305,MATCH($Y210,$J$164:$J$305,0)),INDEX(E$164:E$305,MATCH($Y210,$J$164:$J$305,0))),"")</f>
        <v>0.7024783915977858</v>
      </c>
      <c r="U210" s="162">
        <f t="shared" ref="U210:U273" si="1079">IFERROR(IF($N210="Y",-1*INDEX(F$164:F$305,MATCH($Y210,$J$164:$J$305,0)),INDEX(F$164:F$305,MATCH($Y210,$J$164:$J$305,0))),"")</f>
        <v>0.68522089550483634</v>
      </c>
      <c r="V210" s="162">
        <f t="shared" ref="V210:V273" si="1080">IFERROR(IF($N210="Y",-1*INDEX(G$164:G$305,MATCH($Y210,$J$164:$J$305,0)),INDEX(G$164:G$305,MATCH($Y210,$J$164:$J$305,0))),"")</f>
        <v>0.19234457024241186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ref="X210:X273" si="1081">IFERROR(INDEX(I$164:I$305,MATCH($Y210,$J$164:$J$305,0)),"")</f>
        <v>0.52</v>
      </c>
      <c r="Y210" s="75">
        <v>3.1269999999999998</v>
      </c>
      <c r="Z210" s="917">
        <f t="shared" ref="Z210:Z273" si="1082">IFERROR(INDEX(K$164:K$305,MATCH($Y210,$J$164:$J$305,0)),"")</f>
        <v>1613</v>
      </c>
      <c r="AA210" s="82"/>
      <c r="AB210" s="75"/>
      <c r="AC210" s="75"/>
      <c r="AD210" s="166"/>
      <c r="AE210" s="75">
        <v>4.1399999999999997</v>
      </c>
      <c r="AF210" s="82">
        <v>4</v>
      </c>
      <c r="AG210" s="82">
        <v>1</v>
      </c>
      <c r="AH210" s="82">
        <v>1</v>
      </c>
      <c r="AI210" s="82">
        <v>0.99999999998544808</v>
      </c>
      <c r="AJ210" s="166">
        <v>4.14011</v>
      </c>
      <c r="AK210" s="82" t="str">
        <v>Base</v>
      </c>
      <c r="AL210" s="162">
        <v>-22.5</v>
      </c>
      <c r="AM210" s="162">
        <v>-7.134921518923302</v>
      </c>
      <c r="AN210" s="162">
        <v>-4.5910624838360388</v>
      </c>
      <c r="AO210" s="162">
        <v>87.999987294373838</v>
      </c>
      <c r="AP210" s="162">
        <v>-32.399995322019443</v>
      </c>
      <c r="AQ210" s="162">
        <v>0</v>
      </c>
      <c r="AR210" s="710" t="str">
        <v>1613.par</v>
      </c>
      <c r="AV210" s="82" t="str">
        <v>0,204,204</v>
      </c>
      <c r="AW210" s="947">
        <v>0</v>
      </c>
      <c r="AX210" s="947">
        <v>87.999987294373838</v>
      </c>
      <c r="AY210" s="947">
        <v>0</v>
      </c>
    </row>
    <row r="211" spans="2:51" x14ac:dyDescent="0.25">
      <c r="B211" s="650">
        <v>5.9698430630152606</v>
      </c>
      <c r="C211" s="651">
        <v>-3.1071123267396321</v>
      </c>
      <c r="D211" s="652">
        <v>-2.220656697500599</v>
      </c>
      <c r="E211" s="653">
        <v>0.7691791104090181</v>
      </c>
      <c r="F211" s="651">
        <v>0.62303733918844528</v>
      </c>
      <c r="G211" s="654">
        <v>0.1420843766477296</v>
      </c>
      <c r="H211" s="653">
        <v>0.314</v>
      </c>
      <c r="I211" s="920">
        <v>0.52</v>
      </c>
      <c r="J211" s="924">
        <v>3.13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419</v>
      </c>
      <c r="M211" s="981"/>
      <c r="N211" s="941"/>
      <c r="O211" s="942"/>
      <c r="Q211" s="162">
        <f t="shared" si="1075"/>
        <v>5.9698430630152606</v>
      </c>
      <c r="R211" s="162">
        <f t="shared" si="1076"/>
        <v>-3.1071123267396321</v>
      </c>
      <c r="S211" s="162">
        <f t="shared" si="1077"/>
        <v>-2.220656697500599</v>
      </c>
      <c r="T211" s="162">
        <f t="shared" si="1078"/>
        <v>0.7691791104090181</v>
      </c>
      <c r="U211" s="162">
        <f t="shared" si="1079"/>
        <v>0.62303733918844528</v>
      </c>
      <c r="V211" s="162">
        <f t="shared" si="1080"/>
        <v>0.1420843766477296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1"/>
        <v>0.52</v>
      </c>
      <c r="Y211" s="75">
        <v>3.13</v>
      </c>
      <c r="Z211" s="917">
        <f t="shared" si="1082"/>
        <v>1613</v>
      </c>
      <c r="AA211" s="82"/>
      <c r="AB211" s="75"/>
      <c r="AC211" s="75"/>
      <c r="AD211" s="166"/>
      <c r="AE211" s="75">
        <v>4.1369999999999996</v>
      </c>
      <c r="AF211" s="82">
        <v>4</v>
      </c>
      <c r="AG211" s="82">
        <v>1</v>
      </c>
      <c r="AH211" s="82">
        <v>1</v>
      </c>
      <c r="AI211" s="82">
        <v>0.99999999998544808</v>
      </c>
      <c r="AJ211" s="166">
        <v>4.1371099999999998</v>
      </c>
      <c r="AK211" s="82" t="str">
        <v>Base</v>
      </c>
      <c r="AL211" s="162">
        <v>-22.5</v>
      </c>
      <c r="AM211" s="162">
        <v>-7.0993214115533769</v>
      </c>
      <c r="AN211" s="162">
        <v>-3.8309933163627421</v>
      </c>
      <c r="AO211" s="162">
        <v>85.999987583138065</v>
      </c>
      <c r="AP211" s="162">
        <v>-31.19999549527801</v>
      </c>
      <c r="AQ211" s="162">
        <v>0</v>
      </c>
      <c r="AR211" s="710" t="str">
        <v>1613.par</v>
      </c>
      <c r="AV211" s="82" t="str">
        <v>0,204,204</v>
      </c>
      <c r="AW211" s="947">
        <v>0</v>
      </c>
      <c r="AX211" s="947">
        <v>85.999987583138065</v>
      </c>
      <c r="AY211" s="947">
        <v>0</v>
      </c>
    </row>
    <row r="212" spans="2:51" x14ac:dyDescent="0.25">
      <c r="B212" s="650">
        <v>6.1366369667758445</v>
      </c>
      <c r="C212" s="651">
        <v>-3.2300817121158412</v>
      </c>
      <c r="D212" s="652">
        <v>-2.9325588445974748</v>
      </c>
      <c r="E212" s="653">
        <v>0.81006388558286591</v>
      </c>
      <c r="F212" s="651">
        <v>0.57871615382337604</v>
      </c>
      <c r="G212" s="654">
        <v>9.4255581151825377E-2</v>
      </c>
      <c r="H212" s="653">
        <v>0.314</v>
      </c>
      <c r="I212" s="920">
        <v>0.52</v>
      </c>
      <c r="J212" s="924">
        <v>3.133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419</v>
      </c>
      <c r="M212" s="981"/>
      <c r="N212" s="941"/>
      <c r="O212" s="942"/>
      <c r="Q212" s="162">
        <f t="shared" si="1075"/>
        <v>6.1366369667758445</v>
      </c>
      <c r="R212" s="162">
        <f t="shared" si="1076"/>
        <v>-3.2300817121158412</v>
      </c>
      <c r="S212" s="162">
        <f t="shared" si="1077"/>
        <v>-2.9325588445974748</v>
      </c>
      <c r="T212" s="162">
        <f t="shared" si="1078"/>
        <v>0.81006388558286591</v>
      </c>
      <c r="U212" s="162">
        <f t="shared" si="1079"/>
        <v>0.57871615382337604</v>
      </c>
      <c r="V212" s="162">
        <f t="shared" si="1080"/>
        <v>9.4255581151825377E-2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1"/>
        <v>0.52</v>
      </c>
      <c r="Y212" s="75">
        <v>3.133</v>
      </c>
      <c r="Z212" s="917">
        <f t="shared" si="1082"/>
        <v>1613</v>
      </c>
      <c r="AA212" s="82"/>
      <c r="AB212" s="75"/>
      <c r="AC212" s="75"/>
      <c r="AD212" s="166"/>
      <c r="AE212" s="75">
        <v>4.1340000000000003</v>
      </c>
      <c r="AF212" s="82">
        <v>4</v>
      </c>
      <c r="AG212" s="82">
        <v>1</v>
      </c>
      <c r="AH212" s="82">
        <v>1</v>
      </c>
      <c r="AI212" s="82">
        <v>1.0000000000582077</v>
      </c>
      <c r="AJ212" s="166">
        <v>4.1341100000000006</v>
      </c>
      <c r="AK212" s="82" t="str">
        <v>Base</v>
      </c>
      <c r="AL212" s="162">
        <v>-22.5</v>
      </c>
      <c r="AM212" s="162">
        <v>-6.9875210743635598</v>
      </c>
      <c r="AN212" s="162">
        <v>-3.0860940555503968</v>
      </c>
      <c r="AO212" s="162">
        <v>80.099988434992554</v>
      </c>
      <c r="AP212" s="162">
        <v>-27.899995971738971</v>
      </c>
      <c r="AQ212" s="162">
        <v>0</v>
      </c>
      <c r="AR212" s="710" t="str">
        <v>1613.par</v>
      </c>
      <c r="AV212" s="82" t="str">
        <v>0,204,204</v>
      </c>
      <c r="AW212" s="947">
        <v>0</v>
      </c>
      <c r="AX212" s="947">
        <v>80.099988434992554</v>
      </c>
      <c r="AY212" s="947">
        <v>0</v>
      </c>
    </row>
    <row r="213" spans="2:51" x14ac:dyDescent="0.25">
      <c r="B213" s="650">
        <v>6.2462168552724542</v>
      </c>
      <c r="C213" s="651">
        <v>-3.3127358214592846</v>
      </c>
      <c r="D213" s="652">
        <v>-3.6719610746346003</v>
      </c>
      <c r="E213" s="653">
        <v>0.84598731628360901</v>
      </c>
      <c r="F213" s="651">
        <v>0.53061979691315508</v>
      </c>
      <c r="G213" s="654">
        <v>5.2422245383987987E-2</v>
      </c>
      <c r="H213" s="653">
        <v>0.314</v>
      </c>
      <c r="I213" s="920">
        <v>0.52</v>
      </c>
      <c r="J213" s="924">
        <v>3.1360000000000001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419</v>
      </c>
      <c r="M213" s="981"/>
      <c r="N213" s="941"/>
      <c r="O213" s="942"/>
      <c r="Q213" s="162">
        <f t="shared" si="1075"/>
        <v>6.2462168552724542</v>
      </c>
      <c r="R213" s="162">
        <f t="shared" si="1076"/>
        <v>-3.3127358214592846</v>
      </c>
      <c r="S213" s="162">
        <f t="shared" si="1077"/>
        <v>-3.6719610746346003</v>
      </c>
      <c r="T213" s="162">
        <f t="shared" si="1078"/>
        <v>0.84598731628360901</v>
      </c>
      <c r="U213" s="162">
        <f t="shared" si="1079"/>
        <v>0.53061979691315508</v>
      </c>
      <c r="V213" s="162">
        <f t="shared" si="1080"/>
        <v>5.2422245383987987E-2</v>
      </c>
      <c r="W213" s="162">
        <f>IFERROR(IF(ISNUMBER(MATCH($Z213,Settings!$AK$28:$AK$36,0)),INDEX(Settings!$AO$14:$AO$36,MATCH($Z213,Settings!$AK$14:$AK$36,0))/2,INDEX(Settings!$AM$14:$AM$36,MATCH($Z213,Settings!$AK$14:$AK$36,0))/2),"")</f>
        <v>0.3125</v>
      </c>
      <c r="X213" s="162">
        <f t="shared" si="1081"/>
        <v>0.52</v>
      </c>
      <c r="Y213" s="75">
        <v>3.1360000000000001</v>
      </c>
      <c r="Z213" s="917">
        <f t="shared" si="1082"/>
        <v>1613</v>
      </c>
      <c r="AA213" s="82"/>
      <c r="AB213" s="75"/>
      <c r="AC213" s="75"/>
      <c r="AD213" s="166"/>
      <c r="AE213" s="75">
        <v>4.1310000000000002</v>
      </c>
      <c r="AF213" s="82">
        <v>4</v>
      </c>
      <c r="AG213" s="82">
        <v>1</v>
      </c>
      <c r="AH213" s="82">
        <v>1</v>
      </c>
      <c r="AI213" s="82">
        <v>1.0000000000582077</v>
      </c>
      <c r="AJ213" s="166">
        <v>4.1311100000000005</v>
      </c>
      <c r="AK213" s="82" t="str">
        <v>Base</v>
      </c>
      <c r="AL213" s="162">
        <v>-22.5</v>
      </c>
      <c r="AM213" s="162">
        <v>-6.8108205414347527</v>
      </c>
      <c r="AN213" s="162">
        <v>-2.3693520322392425</v>
      </c>
      <c r="AO213" s="162">
        <v>74.099989301285248</v>
      </c>
      <c r="AP213" s="162">
        <v>-25.599996303817825</v>
      </c>
      <c r="AQ213" s="162">
        <v>0</v>
      </c>
      <c r="AR213" s="710" t="str">
        <v>1613.par</v>
      </c>
      <c r="AV213" s="82" t="str">
        <v>0,204,204</v>
      </c>
      <c r="AW213" s="947">
        <v>0</v>
      </c>
      <c r="AX213" s="947">
        <v>74.099989301285248</v>
      </c>
      <c r="AY213" s="947">
        <v>0</v>
      </c>
    </row>
    <row r="214" spans="2:51" x14ac:dyDescent="0.25">
      <c r="B214" s="650">
        <v>6.2982449191186056</v>
      </c>
      <c r="C214" s="651">
        <v>-3.3524939999933587</v>
      </c>
      <c r="D214" s="652">
        <v>-4.4270633520230689</v>
      </c>
      <c r="E214" s="653">
        <v>0.86943024471117802</v>
      </c>
      <c r="F214" s="651">
        <v>0.4937016832397696</v>
      </c>
      <c r="G214" s="654">
        <v>1.8700201808521937E-2</v>
      </c>
      <c r="H214" s="653">
        <v>0.314</v>
      </c>
      <c r="I214" s="920">
        <v>0.52</v>
      </c>
      <c r="J214" s="924">
        <v>3.1389999999999998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419</v>
      </c>
      <c r="M214" s="981"/>
      <c r="N214" s="941"/>
      <c r="O214" s="942"/>
      <c r="Q214" s="162">
        <f t="shared" si="1075"/>
        <v>6.2982449191186056</v>
      </c>
      <c r="R214" s="162">
        <f t="shared" si="1076"/>
        <v>-3.3524939999933587</v>
      </c>
      <c r="S214" s="162">
        <f t="shared" si="1077"/>
        <v>-4.4270633520230689</v>
      </c>
      <c r="T214" s="162">
        <f t="shared" si="1078"/>
        <v>0.86943024471117802</v>
      </c>
      <c r="U214" s="162">
        <f t="shared" si="1079"/>
        <v>0.4937016832397696</v>
      </c>
      <c r="V214" s="162">
        <f t="shared" si="1080"/>
        <v>1.8700201808521937E-2</v>
      </c>
      <c r="W214" s="162">
        <f>IFERROR(IF(ISNUMBER(MATCH($Z214,Settings!$AK$28:$AK$36,0)),INDEX(Settings!$AO$14:$AO$36,MATCH($Z214,Settings!$AK$14:$AK$36,0))/2,INDEX(Settings!$AM$14:$AM$36,MATCH($Z214,Settings!$AK$14:$AK$36,0))/2),"")</f>
        <v>0.3125</v>
      </c>
      <c r="X214" s="162">
        <f t="shared" si="1081"/>
        <v>0.52</v>
      </c>
      <c r="Y214" s="75">
        <v>3.1389999999999998</v>
      </c>
      <c r="Z214" s="917">
        <f t="shared" si="1082"/>
        <v>1613</v>
      </c>
      <c r="AA214" s="82"/>
      <c r="AB214" s="75"/>
      <c r="AC214" s="75"/>
      <c r="AD214" s="166"/>
      <c r="AE214" s="75">
        <v>4.1280000000000001</v>
      </c>
      <c r="AF214" s="82">
        <v>4</v>
      </c>
      <c r="AG214" s="82">
        <v>1</v>
      </c>
      <c r="AH214" s="82">
        <v>1</v>
      </c>
      <c r="AI214" s="82">
        <v>1.0000000000582077</v>
      </c>
      <c r="AJ214" s="166">
        <v>4.1281100000000004</v>
      </c>
      <c r="AK214" s="82" t="str">
        <v>Base</v>
      </c>
      <c r="AL214" s="162">
        <v>-22.5</v>
      </c>
      <c r="AM214" s="162">
        <v>-6.5144196474896567</v>
      </c>
      <c r="AN214" s="162">
        <v>-1.6801103693300377</v>
      </c>
      <c r="AO214" s="162">
        <v>62.499990976117786</v>
      </c>
      <c r="AP214" s="162">
        <v>-22.699996722525942</v>
      </c>
      <c r="AQ214" s="162">
        <v>0</v>
      </c>
      <c r="AR214" s="710" t="str">
        <v>1613.par</v>
      </c>
      <c r="AV214" s="82" t="str">
        <v>0,204,204</v>
      </c>
      <c r="AW214" s="947">
        <v>0</v>
      </c>
      <c r="AX214" s="947">
        <v>62.499990976117786</v>
      </c>
      <c r="AY214" s="947">
        <v>0</v>
      </c>
    </row>
    <row r="215" spans="2:51" x14ac:dyDescent="0.25">
      <c r="B215" s="650">
        <v>2.8029803416524137</v>
      </c>
      <c r="C215" s="651">
        <v>-2.5774537049267146</v>
      </c>
      <c r="D215" s="652">
        <v>-0.15610936740211673</v>
      </c>
      <c r="E215" s="653">
        <v>1.798451282135401E-2</v>
      </c>
      <c r="F215" s="651">
        <v>-1.6537486372585172E-2</v>
      </c>
      <c r="G215" s="654">
        <v>0.99970148986737795</v>
      </c>
      <c r="H215" s="653">
        <v>0.25700000000000001</v>
      </c>
      <c r="I215" s="920">
        <v>0.41499999999999992</v>
      </c>
      <c r="J215" s="924">
        <v>3.2149999999999999</v>
      </c>
      <c r="K215" s="790" t="str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CPS-32193r1</v>
      </c>
      <c r="L215" s="940" t="s">
        <v>421</v>
      </c>
      <c r="M215" s="981"/>
      <c r="N215" s="941"/>
      <c r="O215" s="942"/>
      <c r="Q215" s="162">
        <f t="shared" si="1075"/>
        <v>2.8029803416524137</v>
      </c>
      <c r="R215" s="162">
        <f t="shared" si="1076"/>
        <v>-2.5774537049267146</v>
      </c>
      <c r="S215" s="162">
        <f t="shared" si="1077"/>
        <v>-0.15610936740211673</v>
      </c>
      <c r="T215" s="162">
        <f t="shared" si="1078"/>
        <v>1.798451282135401E-2</v>
      </c>
      <c r="U215" s="162">
        <f t="shared" si="1079"/>
        <v>-1.6537486372585172E-2</v>
      </c>
      <c r="V215" s="162">
        <f t="shared" si="1080"/>
        <v>0.99970148986737795</v>
      </c>
      <c r="W215" s="162">
        <f>IFERROR(IF(ISNUMBER(MATCH($Z215,Settings!$AK$28:$AK$36,0)),INDEX(Settings!$AO$14:$AO$36,MATCH($Z215,Settings!$AK$14:$AK$36,0))/2,INDEX(Settings!$AM$14:$AM$36,MATCH($Z215,Settings!$AK$14:$AK$36,0))/2),"")</f>
        <v>0.255</v>
      </c>
      <c r="X215" s="162">
        <f t="shared" si="1081"/>
        <v>0.41499999999999992</v>
      </c>
      <c r="Y215" s="75">
        <v>3.2149999999999999</v>
      </c>
      <c r="Z215" s="917" t="str">
        <f t="shared" si="1082"/>
        <v>CPS-32193r1</v>
      </c>
      <c r="AA215" s="82"/>
      <c r="AB215" s="75"/>
      <c r="AC215" s="75"/>
      <c r="AD215" s="166"/>
      <c r="AE215" s="75">
        <v>4.125</v>
      </c>
      <c r="AF215" s="82">
        <v>4</v>
      </c>
      <c r="AG215" s="82">
        <v>1</v>
      </c>
      <c r="AH215" s="82">
        <v>1</v>
      </c>
      <c r="AI215" s="82">
        <v>1.0000000000582077</v>
      </c>
      <c r="AJ215" s="166">
        <v>4.1251100000000003</v>
      </c>
      <c r="AK215" s="82" t="str">
        <v>Base</v>
      </c>
      <c r="AL215" s="162">
        <v>-22.5</v>
      </c>
      <c r="AM215" s="162">
        <v>-6.0591182743007153</v>
      </c>
      <c r="AN215" s="162">
        <v>-1.0734856913358408</v>
      </c>
      <c r="AO215" s="162">
        <v>50.699992679826764</v>
      </c>
      <c r="AP215" s="162">
        <v>-19.299997213425165</v>
      </c>
      <c r="AQ215" s="162">
        <v>0</v>
      </c>
      <c r="AR215" s="710" t="str">
        <v>1613.par</v>
      </c>
      <c r="AV215" s="82" t="str">
        <v>0,204,204</v>
      </c>
      <c r="AW215" s="947">
        <v>0</v>
      </c>
      <c r="AX215" s="947">
        <v>50.699992679826764</v>
      </c>
      <c r="AY215" s="947">
        <v>0</v>
      </c>
    </row>
    <row r="216" spans="2:51" x14ac:dyDescent="0.25">
      <c r="B216" s="650">
        <v>3.4974065577231381</v>
      </c>
      <c r="C216" s="651">
        <v>-2.9267357790183746</v>
      </c>
      <c r="D216" s="652">
        <v>-0.26263274071443854</v>
      </c>
      <c r="E216" s="653">
        <v>0.19900558957409814</v>
      </c>
      <c r="F216" s="651">
        <v>-0.16653390723048619</v>
      </c>
      <c r="G216" s="654">
        <v>0.96574491096811554</v>
      </c>
      <c r="H216" s="653">
        <v>0.25700000000000001</v>
      </c>
      <c r="I216" s="920">
        <v>0.41499999999999992</v>
      </c>
      <c r="J216" s="924">
        <v>3.218</v>
      </c>
      <c r="K216" s="790" t="str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CPS-32193r1</v>
      </c>
      <c r="L216" s="940" t="s">
        <v>421</v>
      </c>
      <c r="M216" s="981"/>
      <c r="N216" s="941"/>
      <c r="O216" s="942"/>
      <c r="Q216" s="162">
        <f t="shared" si="1075"/>
        <v>3.4974065577231381</v>
      </c>
      <c r="R216" s="162">
        <f t="shared" si="1076"/>
        <v>-2.9267357790183746</v>
      </c>
      <c r="S216" s="162">
        <f t="shared" si="1077"/>
        <v>-0.26263274071443854</v>
      </c>
      <c r="T216" s="162">
        <f t="shared" si="1078"/>
        <v>0.19900558957409814</v>
      </c>
      <c r="U216" s="162">
        <f t="shared" si="1079"/>
        <v>-0.16653390723048619</v>
      </c>
      <c r="V216" s="162">
        <f t="shared" si="1080"/>
        <v>0.96574491096811554</v>
      </c>
      <c r="W216" s="162">
        <f>IFERROR(IF(ISNUMBER(MATCH($Z216,Settings!$AK$28:$AK$36,0)),INDEX(Settings!$AO$14:$AO$36,MATCH($Z216,Settings!$AK$14:$AK$36,0))/2,INDEX(Settings!$AM$14:$AM$36,MATCH($Z216,Settings!$AK$14:$AK$36,0))/2),"")</f>
        <v>0.255</v>
      </c>
      <c r="X216" s="162">
        <f t="shared" si="1081"/>
        <v>0.41499999999999992</v>
      </c>
      <c r="Y216" s="75">
        <v>3.218</v>
      </c>
      <c r="Z216" s="917" t="str">
        <f t="shared" si="1082"/>
        <v>CPS-32193r1</v>
      </c>
      <c r="AA216" s="82"/>
      <c r="AB216" s="75"/>
      <c r="AC216" s="75"/>
      <c r="AD216" s="166"/>
      <c r="AE216" s="75">
        <v>4.1219999999999999</v>
      </c>
      <c r="AF216" s="82">
        <v>4</v>
      </c>
      <c r="AG216" s="82">
        <v>1</v>
      </c>
      <c r="AH216" s="82">
        <v>1</v>
      </c>
      <c r="AI216" s="82">
        <v>0.99999999998544808</v>
      </c>
      <c r="AJ216" s="166">
        <v>4.1221100000000002</v>
      </c>
      <c r="AK216" s="82" t="str">
        <v>Base</v>
      </c>
      <c r="AL216" s="162">
        <v>-22.5</v>
      </c>
      <c r="AM216" s="162">
        <v>-5.4776165204914253</v>
      </c>
      <c r="AN216" s="162">
        <v>-0.58881700596693087</v>
      </c>
      <c r="AO216" s="162">
        <v>38.799994397973919</v>
      </c>
      <c r="AP216" s="162">
        <v>-16.799997574380452</v>
      </c>
      <c r="AQ216" s="162">
        <v>0</v>
      </c>
      <c r="AR216" s="710" t="str">
        <v>1613.par</v>
      </c>
      <c r="AV216" s="82" t="str">
        <v>0,204,204</v>
      </c>
      <c r="AW216" s="947">
        <v>0</v>
      </c>
      <c r="AX216" s="947">
        <v>38.799994397973919</v>
      </c>
      <c r="AY216" s="947">
        <v>0</v>
      </c>
    </row>
    <row r="217" spans="2:51" x14ac:dyDescent="0.25">
      <c r="B217" s="650">
        <v>4.1240959261750918</v>
      </c>
      <c r="C217" s="651">
        <v>-3.2779089946129187</v>
      </c>
      <c r="D217" s="652">
        <v>-0.54814999848436341</v>
      </c>
      <c r="E217" s="653">
        <v>0.37641906822512888</v>
      </c>
      <c r="F217" s="651">
        <v>-0.29918495388232097</v>
      </c>
      <c r="G217" s="654">
        <v>0.87681072555424378</v>
      </c>
      <c r="H217" s="653">
        <v>0.25700000000000001</v>
      </c>
      <c r="I217" s="920">
        <v>0.41499999999999992</v>
      </c>
      <c r="J217" s="924">
        <v>3.2210000000000001</v>
      </c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CPS-32193r1</v>
      </c>
      <c r="L217" s="940" t="s">
        <v>421</v>
      </c>
      <c r="M217" s="981"/>
      <c r="N217" s="941"/>
      <c r="O217" s="942"/>
      <c r="Q217" s="162">
        <f t="shared" si="1075"/>
        <v>4.1240959261750918</v>
      </c>
      <c r="R217" s="162">
        <f t="shared" si="1076"/>
        <v>-3.2779089946129187</v>
      </c>
      <c r="S217" s="162">
        <f t="shared" si="1077"/>
        <v>-0.54814999848436341</v>
      </c>
      <c r="T217" s="162">
        <f t="shared" si="1078"/>
        <v>0.37641906822512888</v>
      </c>
      <c r="U217" s="162">
        <f t="shared" si="1079"/>
        <v>-0.29918495388232097</v>
      </c>
      <c r="V217" s="162">
        <f t="shared" si="1080"/>
        <v>0.87681072555424378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1"/>
        <v>0.41499999999999992</v>
      </c>
      <c r="Y217" s="75">
        <v>3.2210000000000001</v>
      </c>
      <c r="Z217" s="917" t="str">
        <f t="shared" si="1082"/>
        <v>CPS-32193r1</v>
      </c>
      <c r="AA217" s="82"/>
      <c r="AB217" s="75"/>
      <c r="AC217" s="75"/>
      <c r="AD217" s="166"/>
      <c r="AE217" s="75">
        <v>4.1189999999999998</v>
      </c>
      <c r="AF217" s="82">
        <v>4</v>
      </c>
      <c r="AG217" s="82">
        <v>1</v>
      </c>
      <c r="AH217" s="82">
        <v>1</v>
      </c>
      <c r="AI217" s="82">
        <v>0.99999999998544808</v>
      </c>
      <c r="AJ217" s="166">
        <v>4.11911</v>
      </c>
      <c r="AK217" s="82" t="str">
        <v>Base</v>
      </c>
      <c r="AL217" s="162">
        <v>-22.5</v>
      </c>
      <c r="AM217" s="162">
        <v>-4.7994144750340562</v>
      </c>
      <c r="AN217" s="162">
        <v>-0.25332759005226946</v>
      </c>
      <c r="AO217" s="162">
        <v>26.999996101682843</v>
      </c>
      <c r="AP217" s="162">
        <v>-15.99999768988615</v>
      </c>
      <c r="AQ217" s="162">
        <v>0</v>
      </c>
      <c r="AR217" s="710" t="str">
        <v>1613.par</v>
      </c>
      <c r="AV217" s="82" t="str">
        <v>0,204,204</v>
      </c>
      <c r="AW217" s="947">
        <v>0</v>
      </c>
      <c r="AX217" s="947">
        <v>26.999996101682843</v>
      </c>
      <c r="AY217" s="947">
        <v>0</v>
      </c>
    </row>
    <row r="218" spans="2:51" x14ac:dyDescent="0.25">
      <c r="B218" s="650">
        <v>4.6531995476221999</v>
      </c>
      <c r="C218" s="651">
        <v>-3.604206847377788</v>
      </c>
      <c r="D218" s="652">
        <v>-0.98959527573808492</v>
      </c>
      <c r="E218" s="653">
        <v>0.53268317509011798</v>
      </c>
      <c r="F218" s="651">
        <v>-0.41259789688663118</v>
      </c>
      <c r="G218" s="654">
        <v>0.73892598442647806</v>
      </c>
      <c r="H218" s="653">
        <v>0.25700000000000001</v>
      </c>
      <c r="I218" s="920">
        <v>0.41499999999999992</v>
      </c>
      <c r="J218" s="924">
        <v>3.2240000000000002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421</v>
      </c>
      <c r="M218" s="981"/>
      <c r="N218" s="941"/>
      <c r="O218" s="942"/>
      <c r="Q218" s="162">
        <f t="shared" si="1075"/>
        <v>4.6531995476221999</v>
      </c>
      <c r="R218" s="162">
        <f t="shared" si="1076"/>
        <v>-3.604206847377788</v>
      </c>
      <c r="S218" s="162">
        <f t="shared" si="1077"/>
        <v>-0.98959527573808492</v>
      </c>
      <c r="T218" s="162">
        <f t="shared" si="1078"/>
        <v>0.53268317509011798</v>
      </c>
      <c r="U218" s="162">
        <f t="shared" si="1079"/>
        <v>-0.41259789688663118</v>
      </c>
      <c r="V218" s="162">
        <f t="shared" si="1080"/>
        <v>0.73892598442647806</v>
      </c>
      <c r="W218" s="162">
        <f>IFERROR(IF(ISNUMBER(MATCH($Z218,Settings!$AK$28:$AK$36,0)),INDEX(Settings!$AO$14:$AO$36,MATCH($Z218,Settings!$AK$14:$AK$36,0))/2,INDEX(Settings!$AM$14:$AM$36,MATCH($Z218,Settings!$AK$14:$AK$36,0))/2),"")</f>
        <v>0.255</v>
      </c>
      <c r="X218" s="162">
        <f t="shared" si="1081"/>
        <v>0.41499999999999992</v>
      </c>
      <c r="Y218" s="75">
        <v>3.2240000000000002</v>
      </c>
      <c r="Z218" s="917" t="str">
        <f t="shared" si="1082"/>
        <v>CPS-32193r1</v>
      </c>
      <c r="AA218" s="82"/>
      <c r="AB218" s="75"/>
      <c r="AC218" s="75"/>
      <c r="AD218" s="166"/>
      <c r="AE218" s="75">
        <v>4.1159999999999997</v>
      </c>
      <c r="AF218" s="82">
        <v>4</v>
      </c>
      <c r="AG218" s="82">
        <v>1</v>
      </c>
      <c r="AH218" s="82">
        <v>1</v>
      </c>
      <c r="AI218" s="82">
        <v>0.99999999998544808</v>
      </c>
      <c r="AJ218" s="166">
        <v>4.1161099999999999</v>
      </c>
      <c r="AK218" s="82" t="str">
        <v>Base</v>
      </c>
      <c r="AL218" s="162">
        <v>-22.5</v>
      </c>
      <c r="AM218" s="162">
        <v>-4.049712213932037</v>
      </c>
      <c r="AN218" s="162">
        <v>-8.5809583925155475E-2</v>
      </c>
      <c r="AO218" s="162">
        <v>14.999997834268299</v>
      </c>
      <c r="AP218" s="162">
        <v>-15.299997790953599</v>
      </c>
      <c r="AQ218" s="162">
        <v>0</v>
      </c>
      <c r="AR218" s="710" t="str">
        <v>1613.par</v>
      </c>
      <c r="AV218" s="82" t="str">
        <v>0,204,204</v>
      </c>
      <c r="AW218" s="947">
        <v>0</v>
      </c>
      <c r="AX218" s="947">
        <v>14.999997834268299</v>
      </c>
      <c r="AY218" s="947">
        <v>0</v>
      </c>
    </row>
    <row r="219" spans="2:51" x14ac:dyDescent="0.25">
      <c r="B219" s="650">
        <v>5.0669078272088486</v>
      </c>
      <c r="C219" s="651">
        <v>-3.8801574188560575</v>
      </c>
      <c r="D219" s="652">
        <v>-1.5644722942962588</v>
      </c>
      <c r="E219" s="653">
        <v>0.65813232918942288</v>
      </c>
      <c r="F219" s="651">
        <v>-0.50398726931254667</v>
      </c>
      <c r="G219" s="654">
        <v>0.55933770626213619</v>
      </c>
      <c r="H219" s="653">
        <v>0.25700000000000001</v>
      </c>
      <c r="I219" s="920">
        <v>0.41499999999999992</v>
      </c>
      <c r="J219" s="924">
        <v>3.2269999999999999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421</v>
      </c>
      <c r="M219" s="981"/>
      <c r="N219" s="941"/>
      <c r="O219" s="942"/>
      <c r="Q219" s="162">
        <f t="shared" si="1075"/>
        <v>5.0669078272088486</v>
      </c>
      <c r="R219" s="162">
        <f t="shared" si="1076"/>
        <v>-3.8801574188560575</v>
      </c>
      <c r="S219" s="162">
        <f t="shared" si="1077"/>
        <v>-1.5644722942962588</v>
      </c>
      <c r="T219" s="162">
        <f t="shared" si="1078"/>
        <v>0.65813232918942288</v>
      </c>
      <c r="U219" s="162">
        <f t="shared" si="1079"/>
        <v>-0.50398726931254667</v>
      </c>
      <c r="V219" s="162">
        <f t="shared" si="1080"/>
        <v>0.55933770626213619</v>
      </c>
      <c r="W219" s="162">
        <f>IFERROR(IF(ISNUMBER(MATCH($Z219,Settings!$AK$28:$AK$36,0)),INDEX(Settings!$AO$14:$AO$36,MATCH($Z219,Settings!$AK$14:$AK$36,0))/2,INDEX(Settings!$AM$14:$AM$36,MATCH($Z219,Settings!$AK$14:$AK$36,0))/2),"")</f>
        <v>0.255</v>
      </c>
      <c r="X219" s="162">
        <f t="shared" si="1081"/>
        <v>0.41499999999999992</v>
      </c>
      <c r="Y219" s="75">
        <v>3.2269999999999999</v>
      </c>
      <c r="Z219" s="917" t="str">
        <f t="shared" si="1082"/>
        <v>CPS-32193r1</v>
      </c>
      <c r="AA219" s="82"/>
      <c r="AB219" s="75"/>
      <c r="AC219" s="75"/>
      <c r="AD219" s="166"/>
      <c r="AE219" s="75">
        <v>4.1130000000000004</v>
      </c>
      <c r="AF219" s="82">
        <v>4</v>
      </c>
      <c r="AG219" s="82">
        <v>1</v>
      </c>
      <c r="AH219" s="82">
        <v>1</v>
      </c>
      <c r="AI219" s="82">
        <v>1.0000000000582077</v>
      </c>
      <c r="AJ219" s="166">
        <v>4.1131100000000007</v>
      </c>
      <c r="AK219" s="82" t="str">
        <v>Base</v>
      </c>
      <c r="AL219" s="162">
        <v>-22.5</v>
      </c>
      <c r="AM219" s="162">
        <v>-3.3149099977685546</v>
      </c>
      <c r="AN219" s="162">
        <v>-9.635024060557526E-2</v>
      </c>
      <c r="AO219" s="162">
        <v>3.5999994802242887</v>
      </c>
      <c r="AP219" s="162">
        <v>-14.999997834268255</v>
      </c>
      <c r="AQ219" s="162">
        <v>0</v>
      </c>
      <c r="AR219" s="710" t="str">
        <v>1613.par</v>
      </c>
      <c r="AV219" s="82" t="str">
        <v>0,204,204</v>
      </c>
      <c r="AW219" s="947">
        <v>0</v>
      </c>
      <c r="AX219" s="947">
        <v>3.5999994802242887</v>
      </c>
      <c r="AY219" s="947">
        <v>0</v>
      </c>
    </row>
    <row r="220" spans="2:51" x14ac:dyDescent="0.25">
      <c r="B220" s="650">
        <v>5.3475857204430479</v>
      </c>
      <c r="C220" s="651">
        <v>-4.0788342437488296</v>
      </c>
      <c r="D220" s="652">
        <v>-2.2346098769118155</v>
      </c>
      <c r="E220" s="653">
        <v>0.74470901534130995</v>
      </c>
      <c r="F220" s="651">
        <v>-0.56802168159558675</v>
      </c>
      <c r="G220" s="654">
        <v>0.35037102007257764</v>
      </c>
      <c r="H220" s="653">
        <v>0.25700000000000001</v>
      </c>
      <c r="I220" s="920">
        <v>0.41499999999999992</v>
      </c>
      <c r="J220" s="924">
        <v>3.23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421</v>
      </c>
      <c r="M220" s="981"/>
      <c r="N220" s="941"/>
      <c r="O220" s="942"/>
      <c r="Q220" s="162">
        <f t="shared" si="1075"/>
        <v>5.3475857204430479</v>
      </c>
      <c r="R220" s="162">
        <f t="shared" si="1076"/>
        <v>-4.0788342437488296</v>
      </c>
      <c r="S220" s="162">
        <f t="shared" si="1077"/>
        <v>-2.2346098769118155</v>
      </c>
      <c r="T220" s="162">
        <f t="shared" si="1078"/>
        <v>0.74470901534130995</v>
      </c>
      <c r="U220" s="162">
        <f t="shared" si="1079"/>
        <v>-0.56802168159558675</v>
      </c>
      <c r="V220" s="162">
        <f t="shared" si="1080"/>
        <v>0.35037102007257764</v>
      </c>
      <c r="W220" s="162">
        <f>IFERROR(IF(ISNUMBER(MATCH($Z220,Settings!$AK$28:$AK$36,0)),INDEX(Settings!$AO$14:$AO$36,MATCH($Z220,Settings!$AK$14:$AK$36,0))/2,INDEX(Settings!$AM$14:$AM$36,MATCH($Z220,Settings!$AK$14:$AK$36,0))/2),"")</f>
        <v>0.255</v>
      </c>
      <c r="X220" s="162">
        <f t="shared" si="1081"/>
        <v>0.41499999999999992</v>
      </c>
      <c r="Y220" s="75">
        <v>3.23</v>
      </c>
      <c r="Z220" s="917" t="str">
        <f t="shared" si="1082"/>
        <v>CPS-32193r1</v>
      </c>
      <c r="AA220" s="82"/>
      <c r="AB220" s="75"/>
      <c r="AC220" s="75"/>
      <c r="AD220" s="166"/>
      <c r="AE220" s="75">
        <v>3.2360000000000002</v>
      </c>
      <c r="AF220" s="82">
        <v>3</v>
      </c>
      <c r="AG220" s="82">
        <v>2</v>
      </c>
      <c r="AH220" s="82">
        <v>1</v>
      </c>
      <c r="AI220" s="82">
        <v>1.0000000000218279</v>
      </c>
      <c r="AJ220" s="166">
        <v>3.23611</v>
      </c>
      <c r="AK220" s="82" t="str">
        <v>Base</v>
      </c>
      <c r="AL220" s="162">
        <v>-21.75</v>
      </c>
      <c r="AM220" s="162">
        <v>-7.0507586261945114</v>
      </c>
      <c r="AN220" s="162">
        <v>-3.5983141593674479</v>
      </c>
      <c r="AO220" s="162">
        <v>83.029988011952952</v>
      </c>
      <c r="AP220" s="162">
        <v>0</v>
      </c>
      <c r="AQ220" s="162">
        <v>0</v>
      </c>
      <c r="AR220" s="710" t="str">
        <v>32193r1.par</v>
      </c>
      <c r="AV220" s="82" t="str">
        <v>97,255,97</v>
      </c>
      <c r="AW220" s="947">
        <v>0</v>
      </c>
      <c r="AX220" s="947">
        <v>83.029988011952952</v>
      </c>
      <c r="AY220" s="947">
        <v>0</v>
      </c>
    </row>
    <row r="221" spans="2:51" x14ac:dyDescent="0.25">
      <c r="B221" s="650">
        <v>5.5073089671455175</v>
      </c>
      <c r="C221" s="651">
        <v>-4.1963574761006361</v>
      </c>
      <c r="D221" s="652">
        <v>-2.9474236360641544</v>
      </c>
      <c r="E221" s="653">
        <v>0.77616291961228823</v>
      </c>
      <c r="F221" s="651">
        <v>-0.59140627297605275</v>
      </c>
      <c r="G221" s="654">
        <v>0.21865439054247987</v>
      </c>
      <c r="H221" s="653">
        <v>0.25700000000000001</v>
      </c>
      <c r="I221" s="920">
        <v>0.41499999999999992</v>
      </c>
      <c r="J221" s="924">
        <v>3.2330000000000001</v>
      </c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940" t="s">
        <v>421</v>
      </c>
      <c r="M221" s="981"/>
      <c r="N221" s="941"/>
      <c r="O221" s="942"/>
      <c r="Q221" s="162">
        <f t="shared" si="1075"/>
        <v>5.5073089671455175</v>
      </c>
      <c r="R221" s="162">
        <f t="shared" si="1076"/>
        <v>-4.1963574761006361</v>
      </c>
      <c r="S221" s="162">
        <f t="shared" si="1077"/>
        <v>-2.9474236360641544</v>
      </c>
      <c r="T221" s="162">
        <f t="shared" si="1078"/>
        <v>0.77616291961228823</v>
      </c>
      <c r="U221" s="162">
        <f t="shared" si="1079"/>
        <v>-0.59140627297605275</v>
      </c>
      <c r="V221" s="162">
        <f t="shared" si="1080"/>
        <v>0.21865439054247987</v>
      </c>
      <c r="W221" s="162">
        <f>IFERROR(IF(ISNUMBER(MATCH($Z221,Settings!$AK$28:$AK$36,0)),INDEX(Settings!$AO$14:$AO$36,MATCH($Z221,Settings!$AK$14:$AK$36,0))/2,INDEX(Settings!$AM$14:$AM$36,MATCH($Z221,Settings!$AK$14:$AK$36,0))/2),"")</f>
        <v>0.255</v>
      </c>
      <c r="X221" s="162">
        <f t="shared" si="1081"/>
        <v>0.41499999999999992</v>
      </c>
      <c r="Y221" s="75">
        <v>3.2330000000000001</v>
      </c>
      <c r="Z221" s="917" t="str">
        <f t="shared" si="1082"/>
        <v>CPS-32193r1</v>
      </c>
      <c r="AA221" s="82"/>
      <c r="AB221" s="75"/>
      <c r="AC221" s="75"/>
      <c r="AD221" s="166"/>
      <c r="AE221" s="75">
        <v>3.2330000000000001</v>
      </c>
      <c r="AF221" s="82">
        <v>3</v>
      </c>
      <c r="AG221" s="82">
        <v>2</v>
      </c>
      <c r="AH221" s="82">
        <v>1</v>
      </c>
      <c r="AI221" s="82">
        <v>0.99999999998544808</v>
      </c>
      <c r="AJ221" s="166">
        <v>3.2331099999999999</v>
      </c>
      <c r="AK221" s="82" t="str">
        <v>Base</v>
      </c>
      <c r="AL221" s="162">
        <v>-21.75</v>
      </c>
      <c r="AM221" s="162">
        <v>-6.9238622261586871</v>
      </c>
      <c r="AN221" s="162">
        <v>-2.8590166761558482</v>
      </c>
      <c r="AO221" s="162">
        <v>77.369988829155744</v>
      </c>
      <c r="AP221" s="162">
        <v>0</v>
      </c>
      <c r="AQ221" s="162">
        <v>0</v>
      </c>
      <c r="AR221" s="710" t="str">
        <v>32193r1.par</v>
      </c>
      <c r="AV221" s="82" t="str">
        <v>97,255,97</v>
      </c>
      <c r="AW221" s="947">
        <v>0</v>
      </c>
      <c r="AX221" s="947">
        <v>77.369988829155744</v>
      </c>
      <c r="AY221" s="947">
        <v>0</v>
      </c>
    </row>
    <row r="222" spans="2:51" x14ac:dyDescent="0.25">
      <c r="B222" s="650">
        <v>5.6086536324299763</v>
      </c>
      <c r="C222" s="651">
        <v>-4.2727276576311697</v>
      </c>
      <c r="D222" s="652">
        <v>-3.6867173014355918</v>
      </c>
      <c r="E222" s="653">
        <v>0.78958944138785636</v>
      </c>
      <c r="F222" s="651">
        <v>-0.60151702449305366</v>
      </c>
      <c r="G222" s="654">
        <v>0.12134983845822031</v>
      </c>
      <c r="H222" s="653">
        <v>0.25700000000000001</v>
      </c>
      <c r="I222" s="920">
        <v>0.41499999999999992</v>
      </c>
      <c r="J222" s="924">
        <v>3.2360000000000002</v>
      </c>
      <c r="K222" s="790" t="str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CPS-32193r1</v>
      </c>
      <c r="L222" s="940" t="s">
        <v>421</v>
      </c>
      <c r="M222" s="981"/>
      <c r="N222" s="941"/>
      <c r="O222" s="942"/>
      <c r="P222">
        <f>-0.0737</f>
        <v>-7.3700000000000002E-2</v>
      </c>
      <c r="Q222" s="162">
        <f t="shared" si="1075"/>
        <v>5.6086536324299763</v>
      </c>
      <c r="R222" s="162">
        <f t="shared" si="1076"/>
        <v>-4.2727276576311697</v>
      </c>
      <c r="S222" s="162">
        <f t="shared" si="1077"/>
        <v>-3.6867173014355918</v>
      </c>
      <c r="T222" s="162">
        <f t="shared" si="1078"/>
        <v>0.78958944138785636</v>
      </c>
      <c r="U222" s="162">
        <f t="shared" si="1079"/>
        <v>-0.60151702449305366</v>
      </c>
      <c r="V222" s="162">
        <f t="shared" si="1080"/>
        <v>0.12134983845822031</v>
      </c>
      <c r="W222" s="162">
        <f>IFERROR(IF(ISNUMBER(MATCH($Z222,Settings!$AK$28:$AK$36,0)),INDEX(Settings!$AO$14:$AO$36,MATCH($Z222,Settings!$AK$14:$AK$36,0))/2,INDEX(Settings!$AM$14:$AM$36,MATCH($Z222,Settings!$AK$14:$AK$36,0))/2),"")</f>
        <v>0.255</v>
      </c>
      <c r="X222" s="162">
        <f t="shared" si="1081"/>
        <v>0.41499999999999992</v>
      </c>
      <c r="Y222" s="75">
        <v>3.2360000000000002</v>
      </c>
      <c r="Z222" s="917" t="str">
        <f t="shared" si="1082"/>
        <v>CPS-32193r1</v>
      </c>
      <c r="AA222" s="82"/>
      <c r="AB222" s="75"/>
      <c r="AC222" s="75"/>
      <c r="AD222" s="166"/>
      <c r="AE222" s="75">
        <v>3.23</v>
      </c>
      <c r="AF222" s="82">
        <v>3</v>
      </c>
      <c r="AG222" s="82">
        <v>2</v>
      </c>
      <c r="AH222" s="82">
        <v>1</v>
      </c>
      <c r="AI222" s="82">
        <v>0.99999999998544808</v>
      </c>
      <c r="AJ222" s="166">
        <v>3.2301099999999998</v>
      </c>
      <c r="AK222" s="82" t="str">
        <v>Base</v>
      </c>
      <c r="AL222" s="162">
        <v>-21.75</v>
      </c>
      <c r="AM222" s="162">
        <v>-6.725590072660129</v>
      </c>
      <c r="AN222" s="162">
        <v>-2.1461832485832351</v>
      </c>
      <c r="AO222" s="162">
        <v>69.489989966886796</v>
      </c>
      <c r="AP222" s="162">
        <v>0</v>
      </c>
      <c r="AQ222" s="162">
        <v>0</v>
      </c>
      <c r="AR222" s="710" t="str">
        <v>32193r1.par</v>
      </c>
      <c r="AV222" s="82" t="str">
        <v>97,255,97</v>
      </c>
      <c r="AW222" s="947">
        <v>0</v>
      </c>
      <c r="AX222" s="947">
        <v>69.489989966886796</v>
      </c>
      <c r="AY222" s="947">
        <v>0</v>
      </c>
    </row>
    <row r="223" spans="2:51" x14ac:dyDescent="0.25">
      <c r="B223" s="650">
        <v>-1.5036093410367983E-6</v>
      </c>
      <c r="C223" s="651">
        <v>-3.3149099977682135</v>
      </c>
      <c r="D223" s="652">
        <v>-0.22135027023441506</v>
      </c>
      <c r="E223" s="653">
        <v>0.96592582870064903</v>
      </c>
      <c r="F223" s="651">
        <v>-1.625181580429113E-2</v>
      </c>
      <c r="G223" s="654">
        <v>0.25830828854689897</v>
      </c>
      <c r="H223" s="653">
        <v>0.314</v>
      </c>
      <c r="I223" s="920">
        <v>0.52</v>
      </c>
      <c r="J223" s="924">
        <v>4.1130000000000004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419</v>
      </c>
      <c r="M223" s="981"/>
      <c r="N223" s="941"/>
      <c r="O223" s="942"/>
      <c r="P223">
        <f>-0.007</f>
        <v>-7.0000000000000001E-3</v>
      </c>
      <c r="Q223" s="162">
        <f t="shared" si="1075"/>
        <v>-1.5036093410367983E-6</v>
      </c>
      <c r="R223" s="162">
        <f t="shared" si="1076"/>
        <v>-3.3149099977682135</v>
      </c>
      <c r="S223" s="162">
        <f t="shared" si="1077"/>
        <v>-0.22135027023441506</v>
      </c>
      <c r="T223" s="162">
        <f t="shared" si="1078"/>
        <v>0.96592582870064903</v>
      </c>
      <c r="U223" s="162">
        <f t="shared" si="1079"/>
        <v>-1.625181580429113E-2</v>
      </c>
      <c r="V223" s="162">
        <f t="shared" si="1080"/>
        <v>0.25830828854689897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1"/>
        <v>0.52</v>
      </c>
      <c r="Y223" s="75">
        <v>4.1130000000000004</v>
      </c>
      <c r="Z223" s="917">
        <f t="shared" si="1082"/>
        <v>1613</v>
      </c>
      <c r="AA223" s="82"/>
      <c r="AB223" s="75"/>
      <c r="AC223" s="75"/>
      <c r="AD223" s="166"/>
      <c r="AE223" s="75">
        <v>3.2269999999999999</v>
      </c>
      <c r="AF223" s="82">
        <v>3</v>
      </c>
      <c r="AG223" s="82">
        <v>2</v>
      </c>
      <c r="AH223" s="82">
        <v>1</v>
      </c>
      <c r="AI223" s="82">
        <v>0.99999999998544808</v>
      </c>
      <c r="AJ223" s="166">
        <v>3.2271099999999997</v>
      </c>
      <c r="AK223" s="82" t="str">
        <v>Base</v>
      </c>
      <c r="AL223" s="162">
        <v>-21.75</v>
      </c>
      <c r="AM223" s="162">
        <v>-6.3819414385070941</v>
      </c>
      <c r="AN223" s="162">
        <v>-1.4759692841622449</v>
      </c>
      <c r="AO223" s="162">
        <v>55.989991916045376</v>
      </c>
      <c r="AP223" s="162">
        <v>0</v>
      </c>
      <c r="AQ223" s="162">
        <v>0</v>
      </c>
      <c r="AR223" s="710" t="str">
        <v>32193r1.par</v>
      </c>
      <c r="AV223" s="82" t="str">
        <v>97,255,97</v>
      </c>
      <c r="AW223" s="947">
        <v>0</v>
      </c>
      <c r="AX223" s="947">
        <v>55.989991916045376</v>
      </c>
      <c r="AY223" s="947">
        <v>0</v>
      </c>
    </row>
    <row r="224" spans="2:51" x14ac:dyDescent="0.25">
      <c r="B224" s="650">
        <v>-4.1366630874069138E-3</v>
      </c>
      <c r="C224" s="651">
        <v>-4.0497101011910495</v>
      </c>
      <c r="D224" s="652">
        <v>-0.21085023856631963</v>
      </c>
      <c r="E224" s="653">
        <v>0.96448716370772369</v>
      </c>
      <c r="F224" s="651">
        <v>-6.9280583253792022E-2</v>
      </c>
      <c r="G224" s="654">
        <v>0.25488176048325878</v>
      </c>
      <c r="H224" s="653">
        <v>0.314</v>
      </c>
      <c r="I224" s="920">
        <v>0.52</v>
      </c>
      <c r="J224" s="924">
        <v>4.1159999999999997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419</v>
      </c>
      <c r="M224" s="981"/>
      <c r="N224" s="941"/>
      <c r="O224" s="942"/>
      <c r="Q224" s="162">
        <f t="shared" si="1075"/>
        <v>-4.1366630874069138E-3</v>
      </c>
      <c r="R224" s="162">
        <f t="shared" si="1076"/>
        <v>-4.0497101011910495</v>
      </c>
      <c r="S224" s="162">
        <f t="shared" si="1077"/>
        <v>-0.21085023856631963</v>
      </c>
      <c r="T224" s="162">
        <f t="shared" si="1078"/>
        <v>0.96448716370772369</v>
      </c>
      <c r="U224" s="162">
        <f t="shared" si="1079"/>
        <v>-6.9280583253792022E-2</v>
      </c>
      <c r="V224" s="162">
        <f t="shared" si="1080"/>
        <v>0.25488176048325878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1"/>
        <v>0.52</v>
      </c>
      <c r="Y224" s="75">
        <v>4.1159999999999997</v>
      </c>
      <c r="Z224" s="917">
        <f t="shared" si="1082"/>
        <v>1613</v>
      </c>
      <c r="AA224" s="82"/>
      <c r="AB224" s="75"/>
      <c r="AC224" s="75"/>
      <c r="AD224" s="166"/>
      <c r="AE224" s="75">
        <v>3.2240000000000002</v>
      </c>
      <c r="AF224" s="82">
        <v>3</v>
      </c>
      <c r="AG224" s="82">
        <v>2</v>
      </c>
      <c r="AH224" s="82">
        <v>1</v>
      </c>
      <c r="AI224" s="82">
        <v>0.99999999998544808</v>
      </c>
      <c r="AJ224" s="166">
        <v>3.22411</v>
      </c>
      <c r="AK224" s="82" t="str">
        <v>Base</v>
      </c>
      <c r="AL224" s="162">
        <v>-21.75</v>
      </c>
      <c r="AM224" s="162">
        <v>-5.8857941714501347</v>
      </c>
      <c r="AN224" s="162">
        <v>-0.90087295849343518</v>
      </c>
      <c r="AO224" s="162">
        <v>42.359993883973594</v>
      </c>
      <c r="AP224" s="162">
        <v>0</v>
      </c>
      <c r="AQ224" s="162">
        <v>0</v>
      </c>
      <c r="AR224" s="710" t="str">
        <v>32193r1.par</v>
      </c>
      <c r="AV224" s="82" t="str">
        <v>97,255,97</v>
      </c>
      <c r="AW224" s="947">
        <v>0</v>
      </c>
      <c r="AX224" s="947">
        <v>42.359993883973594</v>
      </c>
      <c r="AY224" s="947">
        <v>0</v>
      </c>
    </row>
    <row r="225" spans="2:51" x14ac:dyDescent="0.25">
      <c r="B225" s="650">
        <v>-3.8977869436756969E-2</v>
      </c>
      <c r="C225" s="651">
        <v>-4.799256195376592</v>
      </c>
      <c r="D225" s="652">
        <v>-0.3786507446526457</v>
      </c>
      <c r="E225" s="653">
        <v>0.96021372288373075</v>
      </c>
      <c r="F225" s="651">
        <v>-0.13293935147569752</v>
      </c>
      <c r="G225" s="654">
        <v>0.24559465632416966</v>
      </c>
      <c r="H225" s="653">
        <v>0.314</v>
      </c>
      <c r="I225" s="920">
        <v>0.52</v>
      </c>
      <c r="J225" s="924">
        <v>4.1189999999999998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419</v>
      </c>
      <c r="M225" s="981"/>
      <c r="N225" s="941"/>
      <c r="O225" s="942"/>
      <c r="Q225" s="162">
        <f t="shared" si="1075"/>
        <v>-3.8977869436756969E-2</v>
      </c>
      <c r="R225" s="162">
        <f t="shared" si="1076"/>
        <v>-4.799256195376592</v>
      </c>
      <c r="S225" s="162">
        <f t="shared" si="1077"/>
        <v>-0.3786507446526457</v>
      </c>
      <c r="T225" s="162">
        <f t="shared" si="1078"/>
        <v>0.96021372288373075</v>
      </c>
      <c r="U225" s="162">
        <f t="shared" si="1079"/>
        <v>-0.13293935147569752</v>
      </c>
      <c r="V225" s="162">
        <f t="shared" si="1080"/>
        <v>0.24559465632416966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1"/>
        <v>0.52</v>
      </c>
      <c r="Y225" s="75">
        <v>4.1189999999999998</v>
      </c>
      <c r="Z225" s="917">
        <f t="shared" si="1082"/>
        <v>1613</v>
      </c>
      <c r="AA225" s="82"/>
      <c r="AB225" s="75"/>
      <c r="AC225" s="75"/>
      <c r="AD225" s="166"/>
      <c r="AE225" s="75">
        <v>3.2210000000000001</v>
      </c>
      <c r="AF225" s="82">
        <v>3</v>
      </c>
      <c r="AG225" s="82">
        <v>2</v>
      </c>
      <c r="AH225" s="82">
        <v>1</v>
      </c>
      <c r="AI225" s="82">
        <v>0.99999999998544808</v>
      </c>
      <c r="AJ225" s="166">
        <v>3.2211099999999999</v>
      </c>
      <c r="AK225" s="82" t="str">
        <v>Base</v>
      </c>
      <c r="AL225" s="162">
        <v>-21.75</v>
      </c>
      <c r="AM225" s="162">
        <v>-5.2680978147010773</v>
      </c>
      <c r="AN225" s="162">
        <v>-0.45892891908382522</v>
      </c>
      <c r="AO225" s="162">
        <v>28.739995850458001</v>
      </c>
      <c r="AP225" s="162">
        <v>0</v>
      </c>
      <c r="AQ225" s="162">
        <v>0</v>
      </c>
      <c r="AR225" s="710" t="str">
        <v>32193r1.par</v>
      </c>
      <c r="AV225" s="82" t="str">
        <v>97,255,97</v>
      </c>
      <c r="AW225" s="947">
        <v>0</v>
      </c>
      <c r="AX225" s="947">
        <v>28.739995850458001</v>
      </c>
      <c r="AY225" s="947">
        <v>0</v>
      </c>
    </row>
    <row r="226" spans="2:51" x14ac:dyDescent="0.25">
      <c r="B226" s="650">
        <v>-0.10114410665957832</v>
      </c>
      <c r="C226" s="651">
        <v>-5.4766826286766541</v>
      </c>
      <c r="D226" s="652">
        <v>-0.71455175773010204</v>
      </c>
      <c r="E226" s="653">
        <v>0.95381213061908665</v>
      </c>
      <c r="F226" s="651">
        <v>-0.19875439090397284</v>
      </c>
      <c r="G226" s="654">
        <v>0.22525343855370816</v>
      </c>
      <c r="H226" s="653">
        <v>0.314</v>
      </c>
      <c r="I226" s="920">
        <v>0.52</v>
      </c>
      <c r="J226" s="924">
        <v>4.1219999999999999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419</v>
      </c>
      <c r="M226" s="981"/>
      <c r="N226" s="941"/>
      <c r="O226" s="942"/>
      <c r="Q226" s="162">
        <f t="shared" si="1075"/>
        <v>-0.10114410665957832</v>
      </c>
      <c r="R226" s="162">
        <f t="shared" si="1076"/>
        <v>-5.4766826286766541</v>
      </c>
      <c r="S226" s="162">
        <f t="shared" si="1077"/>
        <v>-0.71455175773010204</v>
      </c>
      <c r="T226" s="162">
        <f t="shared" si="1078"/>
        <v>0.95381213061908665</v>
      </c>
      <c r="U226" s="162">
        <f t="shared" si="1079"/>
        <v>-0.19875439090397284</v>
      </c>
      <c r="V226" s="162">
        <f t="shared" si="1080"/>
        <v>0.22525343855370816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1"/>
        <v>0.52</v>
      </c>
      <c r="Y226" s="75">
        <v>4.1219999999999999</v>
      </c>
      <c r="Z226" s="917">
        <f t="shared" si="1082"/>
        <v>1613</v>
      </c>
      <c r="AA226" s="82"/>
      <c r="AB226" s="75"/>
      <c r="AC226" s="75"/>
      <c r="AD226" s="166"/>
      <c r="AE226" s="75">
        <v>3.218</v>
      </c>
      <c r="AF226" s="82">
        <v>3</v>
      </c>
      <c r="AG226" s="82">
        <v>2</v>
      </c>
      <c r="AH226" s="82">
        <v>1</v>
      </c>
      <c r="AI226" s="82">
        <v>0.99999999998544808</v>
      </c>
      <c r="AJ226" s="166">
        <v>3.2181099999999998</v>
      </c>
      <c r="AK226" s="82" t="str">
        <v>Base</v>
      </c>
      <c r="AL226" s="162">
        <v>-21.75</v>
      </c>
      <c r="AM226" s="162">
        <v>-4.5604424072880363</v>
      </c>
      <c r="AN226" s="162">
        <v>-0.17240799716804706</v>
      </c>
      <c r="AO226" s="162">
        <v>15.039997828492986</v>
      </c>
      <c r="AP226" s="162">
        <v>0</v>
      </c>
      <c r="AQ226" s="162">
        <v>0</v>
      </c>
      <c r="AR226" s="710" t="str">
        <v>32193r1.par</v>
      </c>
      <c r="AV226" s="82" t="str">
        <v>97,255,97</v>
      </c>
      <c r="AW226" s="947">
        <v>0</v>
      </c>
      <c r="AX226" s="947">
        <v>15.039997828492986</v>
      </c>
      <c r="AY226" s="947">
        <v>0</v>
      </c>
    </row>
    <row r="227" spans="2:51" x14ac:dyDescent="0.25">
      <c r="B227" s="650">
        <v>-0.17776673919613889</v>
      </c>
      <c r="C227" s="651">
        <v>-6.0565099891274388</v>
      </c>
      <c r="D227" s="652">
        <v>-1.1996532207961144</v>
      </c>
      <c r="E227" s="653">
        <v>0.93589086308353497</v>
      </c>
      <c r="F227" s="651">
        <v>-0.28334507156457261</v>
      </c>
      <c r="G227" s="654">
        <v>0.20934149807628555</v>
      </c>
      <c r="H227" s="653">
        <v>0.314</v>
      </c>
      <c r="I227" s="920">
        <v>0.52</v>
      </c>
      <c r="J227" s="924">
        <v>4.125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419</v>
      </c>
      <c r="M227" s="981"/>
      <c r="N227" s="941"/>
      <c r="O227" s="942"/>
      <c r="Q227" s="162">
        <f t="shared" si="1075"/>
        <v>-0.17776673919613889</v>
      </c>
      <c r="R227" s="162">
        <f t="shared" si="1076"/>
        <v>-6.0565099891274388</v>
      </c>
      <c r="S227" s="162">
        <f t="shared" si="1077"/>
        <v>-1.1996532207961144</v>
      </c>
      <c r="T227" s="162">
        <f t="shared" si="1078"/>
        <v>0.93589086308353497</v>
      </c>
      <c r="U227" s="162">
        <f t="shared" si="1079"/>
        <v>-0.28334507156457261</v>
      </c>
      <c r="V227" s="162">
        <f t="shared" si="1080"/>
        <v>0.20934149807628555</v>
      </c>
      <c r="W227" s="162">
        <f>IFERROR(IF(ISNUMBER(MATCH($Z227,Settings!$AK$28:$AK$36,0)),INDEX(Settings!$AO$14:$AO$36,MATCH($Z227,Settings!$AK$14:$AK$36,0))/2,INDEX(Settings!$AM$14:$AM$36,MATCH($Z227,Settings!$AK$14:$AK$36,0))/2),"")</f>
        <v>0.3125</v>
      </c>
      <c r="X227" s="162">
        <f t="shared" si="1081"/>
        <v>0.52</v>
      </c>
      <c r="Y227" s="75">
        <v>4.125</v>
      </c>
      <c r="Z227" s="917">
        <f t="shared" si="1082"/>
        <v>1613</v>
      </c>
      <c r="AA227" s="82"/>
      <c r="AB227" s="75"/>
      <c r="AC227" s="75"/>
      <c r="AD227" s="166"/>
      <c r="AE227" s="75">
        <v>3.2149999999999999</v>
      </c>
      <c r="AF227" s="82">
        <v>3</v>
      </c>
      <c r="AG227" s="82">
        <v>2</v>
      </c>
      <c r="AH227" s="82">
        <v>1</v>
      </c>
      <c r="AI227" s="82">
        <v>0.99999999998544808</v>
      </c>
      <c r="AJ227" s="166">
        <v>3.2151099999999997</v>
      </c>
      <c r="AK227" s="82" t="str">
        <v>Base</v>
      </c>
      <c r="AL227" s="162">
        <v>-21.75</v>
      </c>
      <c r="AM227" s="162">
        <v>-3.8078821406039247</v>
      </c>
      <c r="AN227" s="162">
        <v>-6.402616742260199E-2</v>
      </c>
      <c r="AO227" s="162">
        <v>1.3999997978650411</v>
      </c>
      <c r="AP227" s="162">
        <v>0</v>
      </c>
      <c r="AQ227" s="162">
        <v>0</v>
      </c>
      <c r="AR227" s="710" t="str">
        <v>32193r1.par</v>
      </c>
      <c r="AV227" s="82" t="str">
        <v>97,255,97</v>
      </c>
      <c r="AW227" s="947">
        <v>0</v>
      </c>
      <c r="AX227" s="947">
        <v>1.3999997978650411</v>
      </c>
      <c r="AY227" s="947">
        <v>0</v>
      </c>
    </row>
    <row r="228" spans="2:51" x14ac:dyDescent="0.25">
      <c r="B228" s="650">
        <v>-0.25283801801288541</v>
      </c>
      <c r="C228" s="651">
        <v>-6.5095112166925855</v>
      </c>
      <c r="D228" s="652">
        <v>-1.806655051513635</v>
      </c>
      <c r="E228" s="653">
        <v>0.90855753119789939</v>
      </c>
      <c r="F228" s="651">
        <v>-0.3778504503551276</v>
      </c>
      <c r="G228" s="654">
        <v>0.17819160942649809</v>
      </c>
      <c r="H228" s="653">
        <v>0.314</v>
      </c>
      <c r="I228" s="920">
        <v>0.52</v>
      </c>
      <c r="J228" s="924">
        <v>4.1280000000000001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419</v>
      </c>
      <c r="M228" s="981"/>
      <c r="N228" s="941"/>
      <c r="O228" s="942"/>
      <c r="Q228" s="162">
        <f t="shared" si="1075"/>
        <v>-0.25283801801288541</v>
      </c>
      <c r="R228" s="162">
        <f t="shared" si="1076"/>
        <v>-6.5095112166925855</v>
      </c>
      <c r="S228" s="162">
        <f t="shared" si="1077"/>
        <v>-1.806655051513635</v>
      </c>
      <c r="T228" s="162">
        <f t="shared" si="1078"/>
        <v>0.90855753119789939</v>
      </c>
      <c r="U228" s="162">
        <f t="shared" si="1079"/>
        <v>-0.3778504503551276</v>
      </c>
      <c r="V228" s="162">
        <f t="shared" si="1080"/>
        <v>0.17819160942649809</v>
      </c>
      <c r="W228" s="162">
        <f>IFERROR(IF(ISNUMBER(MATCH($Z228,Settings!$AK$28:$AK$36,0)),INDEX(Settings!$AO$14:$AO$36,MATCH($Z228,Settings!$AK$14:$AK$36,0))/2,INDEX(Settings!$AM$14:$AM$36,MATCH($Z228,Settings!$AK$14:$AK$36,0))/2),"")</f>
        <v>0.3125</v>
      </c>
      <c r="X228" s="162">
        <f t="shared" si="1081"/>
        <v>0.52</v>
      </c>
      <c r="Y228" s="75">
        <v>4.1280000000000001</v>
      </c>
      <c r="Z228" s="917">
        <f t="shared" si="1082"/>
        <v>1613</v>
      </c>
      <c r="AA228" s="82"/>
      <c r="AB228" s="75"/>
      <c r="AC228" s="75"/>
      <c r="AD228" s="166"/>
      <c r="AE228" s="75">
        <v>3.1389999999999998</v>
      </c>
      <c r="AF228" s="82">
        <v>3</v>
      </c>
      <c r="AG228" s="82">
        <v>1</v>
      </c>
      <c r="AH228" s="82">
        <v>1</v>
      </c>
      <c r="AI228" s="82">
        <v>0.9999999999490683</v>
      </c>
      <c r="AJ228" s="166">
        <v>3.1391099999999996</v>
      </c>
      <c r="AK228" s="82" t="str">
        <v>Base</v>
      </c>
      <c r="AL228" s="162">
        <v>-21</v>
      </c>
      <c r="AM228" s="162">
        <v>-7.134921518923302</v>
      </c>
      <c r="AN228" s="162">
        <v>-4.3451008855975335</v>
      </c>
      <c r="AO228" s="162">
        <v>87.999987294373838</v>
      </c>
      <c r="AP228" s="162">
        <v>-32.399995322019443</v>
      </c>
      <c r="AQ228" s="162">
        <v>0</v>
      </c>
      <c r="AR228" s="710" t="str">
        <v>1613.par</v>
      </c>
      <c r="AV228" s="82" t="str">
        <v>0,204,0</v>
      </c>
      <c r="AW228" s="947">
        <v>0</v>
      </c>
      <c r="AX228" s="947">
        <v>87.999987294373838</v>
      </c>
      <c r="AY228" s="947">
        <v>0</v>
      </c>
    </row>
    <row r="229" spans="2:51" x14ac:dyDescent="0.25">
      <c r="B229" s="650">
        <v>-0.30887908871157976</v>
      </c>
      <c r="C229" s="651">
        <v>-6.8038129130794216</v>
      </c>
      <c r="D229" s="652">
        <v>-2.4961571310519068</v>
      </c>
      <c r="E229" s="653">
        <v>0.88205874820307217</v>
      </c>
      <c r="F229" s="651">
        <v>-0.45602628875969431</v>
      </c>
      <c r="G229" s="654">
        <v>0.11837393580720951</v>
      </c>
      <c r="H229" s="653">
        <v>0.314</v>
      </c>
      <c r="I229" s="920">
        <v>0.52</v>
      </c>
      <c r="J229" s="924">
        <v>4.1310000000000002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419</v>
      </c>
      <c r="M229" s="981"/>
      <c r="N229" s="941"/>
      <c r="O229" s="942"/>
      <c r="Q229" s="162">
        <f t="shared" si="1075"/>
        <v>-0.30887908871157976</v>
      </c>
      <c r="R229" s="162">
        <f t="shared" si="1076"/>
        <v>-6.8038129130794216</v>
      </c>
      <c r="S229" s="162">
        <f t="shared" si="1077"/>
        <v>-2.4961571310519068</v>
      </c>
      <c r="T229" s="162">
        <f t="shared" si="1078"/>
        <v>0.88205874820307217</v>
      </c>
      <c r="U229" s="162">
        <f t="shared" si="1079"/>
        <v>-0.45602628875969431</v>
      </c>
      <c r="V229" s="162">
        <f t="shared" si="1080"/>
        <v>0.11837393580720951</v>
      </c>
      <c r="W229" s="162">
        <f>IFERROR(IF(ISNUMBER(MATCH($Z229,Settings!$AK$28:$AK$36,0)),INDEX(Settings!$AO$14:$AO$36,MATCH($Z229,Settings!$AK$14:$AK$36,0))/2,INDEX(Settings!$AM$14:$AM$36,MATCH($Z229,Settings!$AK$14:$AK$36,0))/2),"")</f>
        <v>0.3125</v>
      </c>
      <c r="X229" s="162">
        <f t="shared" si="1081"/>
        <v>0.52</v>
      </c>
      <c r="Y229" s="75">
        <v>4.1310000000000002</v>
      </c>
      <c r="Z229" s="917">
        <f t="shared" si="1082"/>
        <v>1613</v>
      </c>
      <c r="AA229" s="82"/>
      <c r="AB229" s="75"/>
      <c r="AC229" s="75"/>
      <c r="AD229" s="166"/>
      <c r="AE229" s="75">
        <v>3.1360000000000001</v>
      </c>
      <c r="AF229" s="82">
        <v>3</v>
      </c>
      <c r="AG229" s="82">
        <v>1</v>
      </c>
      <c r="AH229" s="82">
        <v>1</v>
      </c>
      <c r="AI229" s="82">
        <v>0.99999999998544808</v>
      </c>
      <c r="AJ229" s="166">
        <v>3.13611</v>
      </c>
      <c r="AK229" s="82" t="str">
        <v>Base</v>
      </c>
      <c r="AL229" s="162">
        <v>-21</v>
      </c>
      <c r="AM229" s="162">
        <v>-7.0703213240891127</v>
      </c>
      <c r="AN229" s="162">
        <v>-3.5900585387650623</v>
      </c>
      <c r="AO229" s="162">
        <v>83.99998787190232</v>
      </c>
      <c r="AP229" s="162">
        <v>-30.099995654098311</v>
      </c>
      <c r="AQ229" s="162">
        <v>0</v>
      </c>
      <c r="AR229" s="710" t="str">
        <v>1613.par</v>
      </c>
      <c r="AV229" s="82" t="str">
        <v>0,204,0</v>
      </c>
      <c r="AW229" s="947">
        <v>0</v>
      </c>
      <c r="AX229" s="947">
        <v>83.99998787190232</v>
      </c>
      <c r="AY229" s="947">
        <v>0</v>
      </c>
    </row>
    <row r="230" spans="2:51" x14ac:dyDescent="0.25">
      <c r="B230" s="650">
        <v>-0.34498397369459832</v>
      </c>
      <c r="C230" s="651">
        <v>-6.9789997007141906</v>
      </c>
      <c r="D230" s="652">
        <v>-3.2130592932288291</v>
      </c>
      <c r="E230" s="653">
        <v>0.85992954432524948</v>
      </c>
      <c r="F230" s="651">
        <v>-0.50403258034934673</v>
      </c>
      <c r="G230" s="654">
        <v>8.045083432101946E-2</v>
      </c>
      <c r="H230" s="653">
        <v>0.314</v>
      </c>
      <c r="I230" s="920">
        <v>0.52</v>
      </c>
      <c r="J230" s="924">
        <v>4.1340000000000003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419</v>
      </c>
      <c r="M230" s="981"/>
      <c r="N230" s="941"/>
      <c r="O230" s="942"/>
      <c r="Q230" s="162">
        <f t="shared" si="1075"/>
        <v>-0.34498397369459832</v>
      </c>
      <c r="R230" s="162">
        <f t="shared" si="1076"/>
        <v>-6.9789997007141906</v>
      </c>
      <c r="S230" s="162">
        <f t="shared" si="1077"/>
        <v>-3.2130592932288291</v>
      </c>
      <c r="T230" s="162">
        <f t="shared" si="1078"/>
        <v>0.85992954432524948</v>
      </c>
      <c r="U230" s="162">
        <f t="shared" si="1079"/>
        <v>-0.50403258034934673</v>
      </c>
      <c r="V230" s="162">
        <f t="shared" si="1080"/>
        <v>8.045083432101946E-2</v>
      </c>
      <c r="W230" s="162">
        <f>IFERROR(IF(ISNUMBER(MATCH($Z230,Settings!$AK$28:$AK$36,0)),INDEX(Settings!$AO$14:$AO$36,MATCH($Z230,Settings!$AK$14:$AK$36,0))/2,INDEX(Settings!$AM$14:$AM$36,MATCH($Z230,Settings!$AK$14:$AK$36,0))/2),"")</f>
        <v>0.3125</v>
      </c>
      <c r="X230" s="162">
        <f t="shared" si="1081"/>
        <v>0.52</v>
      </c>
      <c r="Y230" s="75">
        <v>4.1340000000000003</v>
      </c>
      <c r="Z230" s="917">
        <f t="shared" si="1082"/>
        <v>1613</v>
      </c>
      <c r="AA230" s="82"/>
      <c r="AB230" s="75"/>
      <c r="AC230" s="75"/>
      <c r="AD230" s="166"/>
      <c r="AE230" s="75">
        <v>3.133</v>
      </c>
      <c r="AF230" s="82">
        <v>3</v>
      </c>
      <c r="AG230" s="82">
        <v>1</v>
      </c>
      <c r="AH230" s="82">
        <v>1</v>
      </c>
      <c r="AI230" s="82">
        <v>0.99999999998544808</v>
      </c>
      <c r="AJ230" s="166">
        <v>3.1331099999999998</v>
      </c>
      <c r="AK230" s="82" t="str">
        <v>Base</v>
      </c>
      <c r="AL230" s="162">
        <v>-21</v>
      </c>
      <c r="AM230" s="162">
        <v>-6.9348209154198814</v>
      </c>
      <c r="AN230" s="162">
        <v>-2.8507806837099796</v>
      </c>
      <c r="AO230" s="162">
        <v>78.099988723756752</v>
      </c>
      <c r="AP230" s="162">
        <v>-27.199996072806442</v>
      </c>
      <c r="AQ230" s="162">
        <v>0</v>
      </c>
      <c r="AR230" s="710" t="str">
        <v>1613.par</v>
      </c>
      <c r="AV230" s="82" t="str">
        <v>0,204,0</v>
      </c>
      <c r="AW230" s="947">
        <v>0</v>
      </c>
      <c r="AX230" s="947">
        <v>78.099988723756752</v>
      </c>
      <c r="AY230" s="947">
        <v>0</v>
      </c>
    </row>
    <row r="231" spans="2:51" x14ac:dyDescent="0.25">
      <c r="B231" s="650">
        <v>-0.36885544996704434</v>
      </c>
      <c r="C231" s="651">
        <v>-7.0897327285004081</v>
      </c>
      <c r="D231" s="652">
        <v>-3.9580615401556059</v>
      </c>
      <c r="E231" s="653">
        <v>0.82735973404697927</v>
      </c>
      <c r="F231" s="651">
        <v>-0.56050876103760616</v>
      </c>
      <c r="G231" s="654">
        <v>3.6135844777718251E-2</v>
      </c>
      <c r="H231" s="653">
        <v>0.314</v>
      </c>
      <c r="I231" s="920">
        <v>0.52</v>
      </c>
      <c r="J231" s="924">
        <v>4.1369999999999996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940" t="s">
        <v>419</v>
      </c>
      <c r="M231" s="981"/>
      <c r="N231" s="941"/>
      <c r="O231" s="942"/>
      <c r="Q231" s="162">
        <f t="shared" si="1075"/>
        <v>-0.36885544996704434</v>
      </c>
      <c r="R231" s="162">
        <f t="shared" si="1076"/>
        <v>-7.0897327285004081</v>
      </c>
      <c r="S231" s="162">
        <f t="shared" si="1077"/>
        <v>-3.9580615401556059</v>
      </c>
      <c r="T231" s="162">
        <f t="shared" si="1078"/>
        <v>0.82735973404697927</v>
      </c>
      <c r="U231" s="162">
        <f t="shared" si="1079"/>
        <v>-0.56050876103760616</v>
      </c>
      <c r="V231" s="162">
        <f t="shared" si="1080"/>
        <v>3.6135844777718251E-2</v>
      </c>
      <c r="W231" s="162">
        <f>IFERROR(IF(ISNUMBER(MATCH($Z231,Settings!$AK$28:$AK$36,0)),INDEX(Settings!$AO$14:$AO$36,MATCH($Z231,Settings!$AK$14:$AK$36,0))/2,INDEX(Settings!$AM$14:$AM$36,MATCH($Z231,Settings!$AK$14:$AK$36,0))/2),"")</f>
        <v>0.3125</v>
      </c>
      <c r="X231" s="162">
        <f t="shared" si="1081"/>
        <v>0.52</v>
      </c>
      <c r="Y231" s="75">
        <v>4.1369999999999996</v>
      </c>
      <c r="Z231" s="917">
        <f t="shared" si="1082"/>
        <v>1613</v>
      </c>
      <c r="AA231" s="82"/>
      <c r="AB231" s="75"/>
      <c r="AC231" s="75"/>
      <c r="AD231" s="166"/>
      <c r="AE231" s="75">
        <v>3.13</v>
      </c>
      <c r="AF231" s="82">
        <v>3</v>
      </c>
      <c r="AG231" s="82">
        <v>1</v>
      </c>
      <c r="AH231" s="82">
        <v>1</v>
      </c>
      <c r="AI231" s="82">
        <v>0.99999999998544808</v>
      </c>
      <c r="AJ231" s="166">
        <v>3.1301099999999997</v>
      </c>
      <c r="AK231" s="82" t="str">
        <v>Base</v>
      </c>
      <c r="AL231" s="162">
        <v>-21</v>
      </c>
      <c r="AM231" s="162">
        <v>-6.730020297741218</v>
      </c>
      <c r="AN231" s="162">
        <v>-2.1390625643643109</v>
      </c>
      <c r="AO231" s="162">
        <v>70.19998986437551</v>
      </c>
      <c r="AP231" s="162">
        <v>-24.799996419323509</v>
      </c>
      <c r="AQ231" s="162">
        <v>0</v>
      </c>
      <c r="AR231" s="710" t="str">
        <v>1613.par</v>
      </c>
      <c r="AV231" s="82" t="str">
        <v>0,204,0</v>
      </c>
      <c r="AW231" s="947">
        <v>0</v>
      </c>
      <c r="AX231" s="947">
        <v>70.19998986437551</v>
      </c>
      <c r="AY231" s="947">
        <v>0</v>
      </c>
    </row>
    <row r="232" spans="2:51" x14ac:dyDescent="0.25">
      <c r="B232" s="650">
        <v>-0.37663693140811461</v>
      </c>
      <c r="C232" s="651">
        <v>-7.1249736633263616</v>
      </c>
      <c r="D232" s="652">
        <v>-4.7181638326241195</v>
      </c>
      <c r="E232" s="653">
        <v>0.8148828736090673</v>
      </c>
      <c r="F232" s="651">
        <v>-0.57932392040286884</v>
      </c>
      <c r="G232" s="654">
        <v>1.8700201808521957E-2</v>
      </c>
      <c r="H232" s="653">
        <v>0.314</v>
      </c>
      <c r="I232" s="920">
        <v>0.52</v>
      </c>
      <c r="J232" s="924">
        <v>4.1399999999999997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940" t="s">
        <v>419</v>
      </c>
      <c r="M232" s="981"/>
      <c r="N232" s="941"/>
      <c r="O232" s="942"/>
      <c r="Q232" s="162">
        <f t="shared" si="1075"/>
        <v>-0.37663693140811461</v>
      </c>
      <c r="R232" s="162">
        <f t="shared" si="1076"/>
        <v>-7.1249736633263616</v>
      </c>
      <c r="S232" s="162">
        <f t="shared" si="1077"/>
        <v>-4.7181638326241195</v>
      </c>
      <c r="T232" s="162">
        <f t="shared" si="1078"/>
        <v>0.8148828736090673</v>
      </c>
      <c r="U232" s="162">
        <f t="shared" si="1079"/>
        <v>-0.57932392040286884</v>
      </c>
      <c r="V232" s="162">
        <f t="shared" si="1080"/>
        <v>1.8700201808521957E-2</v>
      </c>
      <c r="W232" s="162">
        <f>IFERROR(IF(ISNUMBER(MATCH($Z232,Settings!$AK$28:$AK$36,0)),INDEX(Settings!$AO$14:$AO$36,MATCH($Z232,Settings!$AK$14:$AK$36,0))/2,INDEX(Settings!$AM$14:$AM$36,MATCH($Z232,Settings!$AK$14:$AK$36,0))/2),"")</f>
        <v>0.3125</v>
      </c>
      <c r="X232" s="162">
        <f t="shared" si="1081"/>
        <v>0.52</v>
      </c>
      <c r="Y232" s="75">
        <v>4.1399999999999997</v>
      </c>
      <c r="Z232" s="917">
        <f t="shared" si="1082"/>
        <v>1613</v>
      </c>
      <c r="AA232" s="82"/>
      <c r="AB232" s="75"/>
      <c r="AC232" s="75"/>
      <c r="AD232" s="166"/>
      <c r="AE232" s="75">
        <v>3.1269999999999998</v>
      </c>
      <c r="AF232" s="82">
        <v>3</v>
      </c>
      <c r="AG232" s="82">
        <v>1</v>
      </c>
      <c r="AH232" s="82">
        <v>1</v>
      </c>
      <c r="AI232" s="82">
        <v>0.9999999999490683</v>
      </c>
      <c r="AJ232" s="166">
        <v>3.1271099999999996</v>
      </c>
      <c r="AK232" s="82" t="str">
        <v>Base</v>
      </c>
      <c r="AL232" s="162">
        <v>-21</v>
      </c>
      <c r="AM232" s="162">
        <v>-6.3792192397252263</v>
      </c>
      <c r="AN232" s="162">
        <v>-1.4727639566175252</v>
      </c>
      <c r="AO232" s="162">
        <v>58.499991553646254</v>
      </c>
      <c r="AP232" s="162">
        <v>-21.599996881346282</v>
      </c>
      <c r="AQ232" s="162">
        <v>0</v>
      </c>
      <c r="AR232" s="710" t="str">
        <v>1613.par</v>
      </c>
      <c r="AV232" s="82" t="str">
        <v>0,204,0</v>
      </c>
      <c r="AW232" s="947">
        <v>0</v>
      </c>
      <c r="AX232" s="947">
        <v>58.499991553646254</v>
      </c>
      <c r="AY232" s="947">
        <v>0</v>
      </c>
    </row>
    <row r="233" spans="2:51" x14ac:dyDescent="0.25">
      <c r="B233" s="650">
        <v>-1.1551599112972641</v>
      </c>
      <c r="C233" s="651">
        <v>-3.8858255640953652</v>
      </c>
      <c r="D233" s="652">
        <v>-0.20909901167198314</v>
      </c>
      <c r="E233" s="653">
        <v>-2.8845555326422904E-2</v>
      </c>
      <c r="F233" s="651">
        <v>-9.7033142512765722E-2</v>
      </c>
      <c r="G233" s="654">
        <v>0.99486305750691528</v>
      </c>
      <c r="H233" s="653">
        <v>0.25700000000000001</v>
      </c>
      <c r="I233" s="920">
        <v>0.41499999999999992</v>
      </c>
      <c r="J233" s="924">
        <v>4.2160000000000002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40" t="s">
        <v>421</v>
      </c>
      <c r="M233" s="981"/>
      <c r="N233" s="941"/>
      <c r="O233" s="942"/>
      <c r="Q233" s="162">
        <f t="shared" si="1075"/>
        <v>-1.1551599112972641</v>
      </c>
      <c r="R233" s="162">
        <f t="shared" si="1076"/>
        <v>-3.8858255640953652</v>
      </c>
      <c r="S233" s="162">
        <f t="shared" si="1077"/>
        <v>-0.20909901167198314</v>
      </c>
      <c r="T233" s="162">
        <f t="shared" si="1078"/>
        <v>-2.8845555326422904E-2</v>
      </c>
      <c r="U233" s="162">
        <f t="shared" si="1079"/>
        <v>-9.7033142512765722E-2</v>
      </c>
      <c r="V233" s="162">
        <f t="shared" si="1080"/>
        <v>0.99486305750691528</v>
      </c>
      <c r="W233" s="162">
        <f>IFERROR(IF(ISNUMBER(MATCH($Z233,Settings!$AK$28:$AK$36,0)),INDEX(Settings!$AO$14:$AO$36,MATCH($Z233,Settings!$AK$14:$AK$36,0))/2,INDEX(Settings!$AM$14:$AM$36,MATCH($Z233,Settings!$AK$14:$AK$36,0))/2),"")</f>
        <v>0.255</v>
      </c>
      <c r="X233" s="162">
        <f t="shared" si="1081"/>
        <v>0.41499999999999992</v>
      </c>
      <c r="Y233" s="75">
        <v>4.2160000000000002</v>
      </c>
      <c r="Z233" s="917" t="str">
        <f t="shared" si="1082"/>
        <v>CPS-32193r1</v>
      </c>
      <c r="AA233" s="82"/>
      <c r="AB233" s="75"/>
      <c r="AC233" s="75"/>
      <c r="AD233" s="166"/>
      <c r="AE233" s="75">
        <v>3.1240000000000001</v>
      </c>
      <c r="AF233" s="82">
        <v>3</v>
      </c>
      <c r="AG233" s="82">
        <v>1</v>
      </c>
      <c r="AH233" s="82">
        <v>1</v>
      </c>
      <c r="AI233" s="82">
        <v>0.99999999998544808</v>
      </c>
      <c r="AJ233" s="166">
        <v>3.1241099999999999</v>
      </c>
      <c r="AK233" s="82" t="str">
        <v>Base</v>
      </c>
      <c r="AL233" s="162">
        <v>-21</v>
      </c>
      <c r="AM233" s="162">
        <v>-5.8779177277998667</v>
      </c>
      <c r="AN233" s="162">
        <v>-0.90426578242744748</v>
      </c>
      <c r="AO233" s="162">
        <v>46.699993257355175</v>
      </c>
      <c r="AP233" s="162">
        <v>-18.099997386683679</v>
      </c>
      <c r="AQ233" s="162">
        <v>0</v>
      </c>
      <c r="AR233" s="710" t="str">
        <v>1613.par</v>
      </c>
      <c r="AV233" s="82" t="str">
        <v>0,204,0</v>
      </c>
      <c r="AW233" s="947">
        <v>0</v>
      </c>
      <c r="AX233" s="947">
        <v>46.699993257355175</v>
      </c>
      <c r="AY233" s="947">
        <v>0</v>
      </c>
    </row>
    <row r="234" spans="2:51" x14ac:dyDescent="0.25">
      <c r="B234" s="650">
        <v>-1.1894798289112185</v>
      </c>
      <c r="C234" s="651">
        <v>-4.6566525826411329</v>
      </c>
      <c r="D234" s="652">
        <v>-0.37771979623144186</v>
      </c>
      <c r="E234" s="653">
        <v>-8.3224374612669086E-2</v>
      </c>
      <c r="F234" s="651">
        <v>-0.32581216558629406</v>
      </c>
      <c r="G234" s="654">
        <v>0.94176437404814772</v>
      </c>
      <c r="H234" s="653">
        <v>0.25700000000000001</v>
      </c>
      <c r="I234" s="920">
        <v>0.41499999999999992</v>
      </c>
      <c r="J234" s="924">
        <v>4.2190000000000003</v>
      </c>
      <c r="K234" s="790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CPS-32193r1</v>
      </c>
      <c r="L234" s="940" t="s">
        <v>421</v>
      </c>
      <c r="M234" s="981"/>
      <c r="N234" s="941"/>
      <c r="O234" s="942"/>
      <c r="Q234" s="162">
        <f t="shared" si="1075"/>
        <v>-1.1894798289112185</v>
      </c>
      <c r="R234" s="162">
        <f t="shared" si="1076"/>
        <v>-4.6566525826411329</v>
      </c>
      <c r="S234" s="162">
        <f t="shared" si="1077"/>
        <v>-0.37771979623144186</v>
      </c>
      <c r="T234" s="162">
        <f t="shared" si="1078"/>
        <v>-8.3224374612669086E-2</v>
      </c>
      <c r="U234" s="162">
        <f t="shared" si="1079"/>
        <v>-0.32581216558629406</v>
      </c>
      <c r="V234" s="162">
        <f t="shared" si="1080"/>
        <v>0.94176437404814772</v>
      </c>
      <c r="W234" s="162">
        <f>IFERROR(IF(ISNUMBER(MATCH($Z234,Settings!$AK$28:$AK$36,0)),INDEX(Settings!$AO$14:$AO$36,MATCH($Z234,Settings!$AK$14:$AK$36,0))/2,INDEX(Settings!$AM$14:$AM$36,MATCH($Z234,Settings!$AK$14:$AK$36,0))/2),"")</f>
        <v>0.255</v>
      </c>
      <c r="X234" s="162">
        <f t="shared" si="1081"/>
        <v>0.41499999999999992</v>
      </c>
      <c r="Y234" s="75">
        <v>4.2190000000000003</v>
      </c>
      <c r="Z234" s="917" t="str">
        <f t="shared" si="1082"/>
        <v>CPS-32193r1</v>
      </c>
      <c r="AA234" s="82"/>
      <c r="AB234" s="75"/>
      <c r="AC234" s="75"/>
      <c r="AD234" s="166"/>
      <c r="AE234" s="75">
        <v>3.121</v>
      </c>
      <c r="AF234" s="82">
        <v>3</v>
      </c>
      <c r="AG234" s="82">
        <v>1</v>
      </c>
      <c r="AH234" s="82">
        <v>1</v>
      </c>
      <c r="AI234" s="82">
        <v>0.99999999998544808</v>
      </c>
      <c r="AJ234" s="166">
        <v>3.1211099999999998</v>
      </c>
      <c r="AK234" s="82" t="str">
        <v>Base</v>
      </c>
      <c r="AL234" s="162">
        <v>-21</v>
      </c>
      <c r="AM234" s="162">
        <v>-5.2601158645094488</v>
      </c>
      <c r="AN234" s="162">
        <v>-0.46720029619387438</v>
      </c>
      <c r="AO234" s="162">
        <v>34.899994961064216</v>
      </c>
      <c r="AP234" s="162">
        <v>-16.499997617695097</v>
      </c>
      <c r="AQ234" s="162">
        <v>0</v>
      </c>
      <c r="AR234" s="710" t="str">
        <v>1613.par</v>
      </c>
      <c r="AV234" s="82" t="str">
        <v>0,204,0</v>
      </c>
      <c r="AW234" s="947">
        <v>0</v>
      </c>
      <c r="AX234" s="947">
        <v>34.899994961064216</v>
      </c>
      <c r="AY234" s="947">
        <v>0</v>
      </c>
    </row>
    <row r="235" spans="2:51" x14ac:dyDescent="0.25">
      <c r="B235" s="650">
        <v>-1.2506086325707058</v>
      </c>
      <c r="C235" s="651">
        <v>-5.3415532676769359</v>
      </c>
      <c r="D235" s="652">
        <v>-0.71598554347302801</v>
      </c>
      <c r="E235" s="653">
        <v>-0.12509068210304364</v>
      </c>
      <c r="F235" s="651">
        <v>-0.53428268791809408</v>
      </c>
      <c r="G235" s="654">
        <v>0.83599900157955442</v>
      </c>
      <c r="H235" s="653">
        <v>0.25700000000000001</v>
      </c>
      <c r="I235" s="920">
        <v>0.41499999999999992</v>
      </c>
      <c r="J235" s="924">
        <v>4.2220000000000004</v>
      </c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940" t="s">
        <v>421</v>
      </c>
      <c r="M235" s="981"/>
      <c r="N235" s="941"/>
      <c r="O235" s="942"/>
      <c r="Q235" s="162">
        <f t="shared" si="1075"/>
        <v>-1.2506086325707058</v>
      </c>
      <c r="R235" s="162">
        <f t="shared" si="1076"/>
        <v>-5.3415532676769359</v>
      </c>
      <c r="S235" s="162">
        <f t="shared" si="1077"/>
        <v>-0.71598554347302801</v>
      </c>
      <c r="T235" s="162">
        <f t="shared" si="1078"/>
        <v>-0.12509068210304364</v>
      </c>
      <c r="U235" s="162">
        <f t="shared" si="1079"/>
        <v>-0.53428268791809408</v>
      </c>
      <c r="V235" s="162">
        <f t="shared" si="1080"/>
        <v>0.83599900157955442</v>
      </c>
      <c r="W235" s="162">
        <f>IFERROR(IF(ISNUMBER(MATCH($Z235,Settings!$AK$28:$AK$36,0)),INDEX(Settings!$AO$14:$AO$36,MATCH($Z235,Settings!$AK$14:$AK$36,0))/2,INDEX(Settings!$AM$14:$AM$36,MATCH($Z235,Settings!$AK$14:$AK$36,0))/2),"")</f>
        <v>0.255</v>
      </c>
      <c r="X235" s="162">
        <f t="shared" si="1081"/>
        <v>0.41499999999999992</v>
      </c>
      <c r="Y235" s="75">
        <v>4.2220000000000004</v>
      </c>
      <c r="Z235" s="917" t="str">
        <f t="shared" si="1082"/>
        <v>CPS-32193r1</v>
      </c>
      <c r="AA235" s="82"/>
      <c r="AB235" s="75"/>
      <c r="AC235" s="75"/>
      <c r="AD235" s="166"/>
      <c r="AE235" s="75">
        <v>3.1179999999999999</v>
      </c>
      <c r="AF235" s="82">
        <v>3</v>
      </c>
      <c r="AG235" s="82">
        <v>1</v>
      </c>
      <c r="AH235" s="82">
        <v>1</v>
      </c>
      <c r="AI235" s="82">
        <v>0.99999999998544808</v>
      </c>
      <c r="AJ235" s="166">
        <v>3.1181099999999997</v>
      </c>
      <c r="AK235" s="82" t="str">
        <v>Base</v>
      </c>
      <c r="AL235" s="162">
        <v>-21</v>
      </c>
      <c r="AM235" s="162">
        <v>-4.5544137361118278</v>
      </c>
      <c r="AN235" s="162">
        <v>-0.18408277443328283</v>
      </c>
      <c r="AO235" s="162">
        <v>22.999996679211449</v>
      </c>
      <c r="AP235" s="162">
        <v>-15.699997733200757</v>
      </c>
      <c r="AQ235" s="162">
        <v>0</v>
      </c>
      <c r="AR235" s="710" t="str">
        <v>1613.par</v>
      </c>
      <c r="AV235" s="82" t="str">
        <v>0,204,0</v>
      </c>
      <c r="AW235" s="947">
        <v>0</v>
      </c>
      <c r="AX235" s="947">
        <v>22.999996679211449</v>
      </c>
      <c r="AY235" s="947">
        <v>0</v>
      </c>
    </row>
    <row r="236" spans="2:51" x14ac:dyDescent="0.25">
      <c r="B236" s="650">
        <v>-1.32545197866183</v>
      </c>
      <c r="C236" s="651">
        <v>-5.918971612113606</v>
      </c>
      <c r="D236" s="652">
        <v>-1.206298210767641</v>
      </c>
      <c r="E236" s="653">
        <v>-0.15955567756054928</v>
      </c>
      <c r="F236" s="651">
        <v>-0.71251583703991273</v>
      </c>
      <c r="G236" s="654">
        <v>0.68327385997527124</v>
      </c>
      <c r="H236" s="653">
        <v>0.25700000000000001</v>
      </c>
      <c r="I236" s="920">
        <v>0.41499999999999992</v>
      </c>
      <c r="J236" s="924">
        <v>4.2249999999999996</v>
      </c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40" t="s">
        <v>421</v>
      </c>
      <c r="M236" s="981"/>
      <c r="N236" s="941"/>
      <c r="O236" s="942"/>
      <c r="Q236" s="162">
        <f t="shared" si="1075"/>
        <v>-1.32545197866183</v>
      </c>
      <c r="R236" s="162">
        <f t="shared" si="1076"/>
        <v>-5.918971612113606</v>
      </c>
      <c r="S236" s="162">
        <f t="shared" si="1077"/>
        <v>-1.206298210767641</v>
      </c>
      <c r="T236" s="162">
        <f t="shared" si="1078"/>
        <v>-0.15955567756054928</v>
      </c>
      <c r="U236" s="162">
        <f t="shared" si="1079"/>
        <v>-0.71251583703991273</v>
      </c>
      <c r="V236" s="162">
        <f t="shared" si="1080"/>
        <v>0.68327385997527124</v>
      </c>
      <c r="W236" s="162">
        <f>IFERROR(IF(ISNUMBER(MATCH($Z236,Settings!$AK$28:$AK$36,0)),INDEX(Settings!$AO$14:$AO$36,MATCH($Z236,Settings!$AK$14:$AK$36,0))/2,INDEX(Settings!$AM$14:$AM$36,MATCH($Z236,Settings!$AK$14:$AK$36,0))/2),"")</f>
        <v>0.255</v>
      </c>
      <c r="X236" s="162">
        <f t="shared" si="1081"/>
        <v>0.41499999999999992</v>
      </c>
      <c r="Y236" s="75">
        <v>4.2249999999999996</v>
      </c>
      <c r="Z236" s="917" t="str">
        <f t="shared" si="1082"/>
        <v>CPS-32193r1</v>
      </c>
      <c r="AA236" s="82"/>
      <c r="AB236" s="75"/>
      <c r="AC236" s="75"/>
      <c r="AD236" s="166"/>
      <c r="AE236" s="75">
        <v>3.1150000000000002</v>
      </c>
      <c r="AF236" s="82">
        <v>3</v>
      </c>
      <c r="AG236" s="82">
        <v>1</v>
      </c>
      <c r="AH236" s="82">
        <v>1</v>
      </c>
      <c r="AI236" s="82">
        <v>1.0000000000218279</v>
      </c>
      <c r="AJ236" s="166">
        <v>3.11511</v>
      </c>
      <c r="AK236" s="82" t="str">
        <v>Base</v>
      </c>
      <c r="AL236" s="162">
        <v>-21</v>
      </c>
      <c r="AM236" s="162">
        <v>-3.8047114750098086</v>
      </c>
      <c r="AN236" s="162">
        <v>-7.7584813716101056E-2</v>
      </c>
      <c r="AO236" s="162">
        <v>11.199998382920322</v>
      </c>
      <c r="AP236" s="162">
        <v>-15.19999780539186</v>
      </c>
      <c r="AQ236" s="162">
        <v>0</v>
      </c>
      <c r="AR236" s="710" t="str">
        <v>1613.par</v>
      </c>
      <c r="AV236" s="82" t="str">
        <v>0,204,0</v>
      </c>
      <c r="AW236" s="947">
        <v>0</v>
      </c>
      <c r="AX236" s="947">
        <v>11.199998382920322</v>
      </c>
      <c r="AY236" s="947">
        <v>0</v>
      </c>
    </row>
    <row r="237" spans="2:51" x14ac:dyDescent="0.25">
      <c r="B237" s="650">
        <v>-1.398113442646052</v>
      </c>
      <c r="C237" s="651">
        <v>-6.3631429271030227</v>
      </c>
      <c r="D237" s="652">
        <v>-1.8185699194528375</v>
      </c>
      <c r="E237" s="653">
        <v>-0.18683489461491753</v>
      </c>
      <c r="F237" s="651">
        <v>-0.85032952401554418</v>
      </c>
      <c r="G237" s="654">
        <v>0.49196790824375014</v>
      </c>
      <c r="H237" s="653">
        <v>0.25700000000000001</v>
      </c>
      <c r="I237" s="920">
        <v>0.41499999999999992</v>
      </c>
      <c r="J237" s="924">
        <v>4.2279999999999998</v>
      </c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CPS-32193r1</v>
      </c>
      <c r="L237" s="940" t="s">
        <v>421</v>
      </c>
      <c r="M237" s="981"/>
      <c r="N237" s="941"/>
      <c r="O237" s="942"/>
      <c r="Q237" s="162">
        <f t="shared" si="1075"/>
        <v>-1.398113442646052</v>
      </c>
      <c r="R237" s="162">
        <f t="shared" si="1076"/>
        <v>-6.3631429271030227</v>
      </c>
      <c r="S237" s="162">
        <f t="shared" si="1077"/>
        <v>-1.8185699194528375</v>
      </c>
      <c r="T237" s="162">
        <f t="shared" si="1078"/>
        <v>-0.18683489461491753</v>
      </c>
      <c r="U237" s="162">
        <f t="shared" si="1079"/>
        <v>-0.85032952401554418</v>
      </c>
      <c r="V237" s="162">
        <f t="shared" si="1080"/>
        <v>0.49196790824375014</v>
      </c>
      <c r="W237" s="162">
        <f>IFERROR(IF(ISNUMBER(MATCH($Z237,Settings!$AK$28:$AK$36,0)),INDEX(Settings!$AO$14:$AO$36,MATCH($Z237,Settings!$AK$14:$AK$36,0))/2,INDEX(Settings!$AM$14:$AM$36,MATCH($Z237,Settings!$AK$14:$AK$36,0))/2),"")</f>
        <v>0.255</v>
      </c>
      <c r="X237" s="162">
        <f t="shared" si="1081"/>
        <v>0.41499999999999992</v>
      </c>
      <c r="Y237" s="75">
        <v>4.2279999999999998</v>
      </c>
      <c r="Z237" s="917" t="str">
        <f t="shared" si="1082"/>
        <v>CPS-32193r1</v>
      </c>
      <c r="AA237" s="82"/>
      <c r="AB237" s="75"/>
      <c r="AC237" s="75"/>
      <c r="AD237" s="166"/>
      <c r="AE237" s="75">
        <v>3.1120000000000001</v>
      </c>
      <c r="AF237" s="82">
        <v>3</v>
      </c>
      <c r="AG237" s="82">
        <v>1</v>
      </c>
      <c r="AH237" s="82">
        <v>1</v>
      </c>
      <c r="AI237" s="82">
        <v>0.99999999998544808</v>
      </c>
      <c r="AJ237" s="166">
        <v>3.1121099999999999</v>
      </c>
      <c r="AK237" s="82" t="str">
        <v>Base</v>
      </c>
      <c r="AL237" s="162">
        <v>-21</v>
      </c>
      <c r="AM237" s="162">
        <v>-3.0632092386390637</v>
      </c>
      <c r="AN237" s="162">
        <v>-0.14658953569987082</v>
      </c>
      <c r="AO237" s="162">
        <v>-0.39999994224709218</v>
      </c>
      <c r="AP237" s="162">
        <v>-14.999997834268255</v>
      </c>
      <c r="AQ237" s="162">
        <v>0</v>
      </c>
      <c r="AR237" s="710" t="str">
        <v>1613.par</v>
      </c>
      <c r="AV237" s="82" t="str">
        <v>0,204,0</v>
      </c>
      <c r="AW237" s="947">
        <v>0</v>
      </c>
      <c r="AX237" s="947">
        <v>-0.39999994224709218</v>
      </c>
      <c r="AY237" s="947">
        <v>0</v>
      </c>
    </row>
    <row r="238" spans="2:51" x14ac:dyDescent="0.25">
      <c r="B238" s="650">
        <v>-1.451864869973067</v>
      </c>
      <c r="C238" s="651">
        <v>-6.6475615571313913</v>
      </c>
      <c r="D238" s="652">
        <v>-2.5104582603232037</v>
      </c>
      <c r="E238" s="653">
        <v>-0.20508942214575307</v>
      </c>
      <c r="F238" s="651">
        <v>-0.93902992394580853</v>
      </c>
      <c r="G238" s="654">
        <v>0.27597306183439418</v>
      </c>
      <c r="H238" s="653">
        <v>0.25700000000000001</v>
      </c>
      <c r="I238" s="920">
        <v>0.41499999999999992</v>
      </c>
      <c r="J238" s="924">
        <v>4.2309999999999999</v>
      </c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CPS-32193r1</v>
      </c>
      <c r="L238" s="940" t="s">
        <v>421</v>
      </c>
      <c r="M238" s="981"/>
      <c r="N238" s="941"/>
      <c r="O238" s="942"/>
      <c r="Q238" s="162">
        <f t="shared" si="1075"/>
        <v>-1.451864869973067</v>
      </c>
      <c r="R238" s="162">
        <f t="shared" si="1076"/>
        <v>-6.6475615571313913</v>
      </c>
      <c r="S238" s="162">
        <f t="shared" si="1077"/>
        <v>-2.5104582603232037</v>
      </c>
      <c r="T238" s="162">
        <f t="shared" si="1078"/>
        <v>-0.20508942214575307</v>
      </c>
      <c r="U238" s="162">
        <f t="shared" si="1079"/>
        <v>-0.93902992394580853</v>
      </c>
      <c r="V238" s="162">
        <f t="shared" si="1080"/>
        <v>0.27597306183439418</v>
      </c>
      <c r="W238" s="162">
        <f>IFERROR(IF(ISNUMBER(MATCH($Z238,Settings!$AK$28:$AK$36,0)),INDEX(Settings!$AO$14:$AO$36,MATCH($Z238,Settings!$AK$14:$AK$36,0))/2,INDEX(Settings!$AM$14:$AM$36,MATCH($Z238,Settings!$AK$14:$AK$36,0))/2),"")</f>
        <v>0.255</v>
      </c>
      <c r="X238" s="162">
        <f t="shared" si="1081"/>
        <v>0.41499999999999992</v>
      </c>
      <c r="Y238" s="75">
        <v>4.2309999999999999</v>
      </c>
      <c r="Z238" s="917" t="str">
        <f t="shared" si="1082"/>
        <v>CPS-32193r1</v>
      </c>
      <c r="AA238" s="82"/>
      <c r="AB238" s="75"/>
      <c r="AC238" s="75"/>
      <c r="AD238" s="166"/>
      <c r="AE238" s="75">
        <v>3.109</v>
      </c>
      <c r="AF238" s="82">
        <v>3</v>
      </c>
      <c r="AG238" s="82">
        <v>1</v>
      </c>
      <c r="AH238" s="82">
        <v>1</v>
      </c>
      <c r="AI238" s="82">
        <v>0.99999999998544808</v>
      </c>
      <c r="AJ238" s="166">
        <v>3.1091099999999998</v>
      </c>
      <c r="AK238" s="82" t="str">
        <v>Base</v>
      </c>
      <c r="AL238" s="162">
        <v>-21</v>
      </c>
      <c r="AM238" s="162">
        <v>-2.3207069992523097</v>
      </c>
      <c r="AN238" s="162">
        <v>-0.34119012261524101</v>
      </c>
      <c r="AO238" s="162">
        <v>-2.999999566853591</v>
      </c>
      <c r="AP238" s="162">
        <v>-14.999997834268255</v>
      </c>
      <c r="AQ238" s="162">
        <v>0</v>
      </c>
      <c r="AR238" s="710" t="str">
        <v>1613.par</v>
      </c>
      <c r="AV238" s="82" t="str">
        <v>0,204,0</v>
      </c>
      <c r="AW238" s="947">
        <v>0</v>
      </c>
      <c r="AX238" s="947">
        <v>-2.999999566853591</v>
      </c>
      <c r="AY238" s="947">
        <v>0</v>
      </c>
    </row>
    <row r="239" spans="2:51" x14ac:dyDescent="0.25">
      <c r="B239" s="650">
        <v>-1.4861136342313597</v>
      </c>
      <c r="C239" s="651">
        <v>-6.8143680191616323</v>
      </c>
      <c r="D239" s="652">
        <v>-3.2279361935988367</v>
      </c>
      <c r="E239" s="653">
        <v>-0.20933071122227848</v>
      </c>
      <c r="F239" s="651">
        <v>-0.95985695247270864</v>
      </c>
      <c r="G239" s="654">
        <v>0.18669569927820875</v>
      </c>
      <c r="H239" s="653">
        <v>0.25700000000000001</v>
      </c>
      <c r="I239" s="920">
        <v>0.41499999999999992</v>
      </c>
      <c r="J239" s="924">
        <v>4.234</v>
      </c>
      <c r="K239" s="790" t="str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CPS-32193r1</v>
      </c>
      <c r="L239" s="940" t="s">
        <v>421</v>
      </c>
      <c r="M239" s="981"/>
      <c r="N239" s="941"/>
      <c r="O239" s="942"/>
      <c r="Q239" s="162">
        <f t="shared" si="1075"/>
        <v>-1.4861136342313597</v>
      </c>
      <c r="R239" s="162">
        <f t="shared" si="1076"/>
        <v>-6.8143680191616323</v>
      </c>
      <c r="S239" s="162">
        <f t="shared" si="1077"/>
        <v>-3.2279361935988367</v>
      </c>
      <c r="T239" s="162">
        <f t="shared" si="1078"/>
        <v>-0.20933071122227848</v>
      </c>
      <c r="U239" s="162">
        <f t="shared" si="1079"/>
        <v>-0.95985695247270864</v>
      </c>
      <c r="V239" s="162">
        <f t="shared" si="1080"/>
        <v>0.18669569927820875</v>
      </c>
      <c r="W239" s="162">
        <f>IFERROR(IF(ISNUMBER(MATCH($Z239,Settings!$AK$28:$AK$36,0)),INDEX(Settings!$AO$14:$AO$36,MATCH($Z239,Settings!$AK$14:$AK$36,0))/2,INDEX(Settings!$AM$14:$AM$36,MATCH($Z239,Settings!$AK$14:$AK$36,0))/2),"")</f>
        <v>0.255</v>
      </c>
      <c r="X239" s="162">
        <f t="shared" si="1081"/>
        <v>0.41499999999999992</v>
      </c>
      <c r="Y239" s="75">
        <v>4.234</v>
      </c>
      <c r="Z239" s="917" t="str">
        <f t="shared" si="1082"/>
        <v>CPS-32193r1</v>
      </c>
      <c r="AA239" s="82"/>
      <c r="AB239" s="75"/>
      <c r="AC239" s="75"/>
      <c r="AD239" s="166"/>
      <c r="AE239" s="75">
        <v>3.1059999999999999</v>
      </c>
      <c r="AF239" s="82">
        <v>3</v>
      </c>
      <c r="AG239" s="82">
        <v>1</v>
      </c>
      <c r="AH239" s="82">
        <v>1</v>
      </c>
      <c r="AI239" s="82">
        <v>0.99999999998544808</v>
      </c>
      <c r="AJ239" s="166">
        <v>3.1061099999999997</v>
      </c>
      <c r="AK239" s="82" t="str">
        <v>Base</v>
      </c>
      <c r="AL239" s="162">
        <v>-21</v>
      </c>
      <c r="AM239" s="162">
        <v>-1.578804761675161</v>
      </c>
      <c r="AN239" s="162">
        <v>-0.53999072219784949</v>
      </c>
      <c r="AO239" s="162">
        <v>-2.9999995668536275</v>
      </c>
      <c r="AP239" s="162">
        <v>-14.999997834268255</v>
      </c>
      <c r="AQ239" s="162">
        <v>0</v>
      </c>
      <c r="AR239" s="710" t="str">
        <v>1613.par</v>
      </c>
      <c r="AV239" s="82" t="str">
        <v>0,204,0</v>
      </c>
      <c r="AW239" s="947">
        <v>0</v>
      </c>
      <c r="AX239" s="947">
        <v>-2.9999995668536275</v>
      </c>
      <c r="AY239" s="947">
        <v>0</v>
      </c>
    </row>
    <row r="240" spans="2:51" x14ac:dyDescent="0.25">
      <c r="B240" s="650">
        <v>-1.5075333793728607</v>
      </c>
      <c r="C240" s="651">
        <v>-6.9138718428726573</v>
      </c>
      <c r="D240" s="652">
        <v>-3.9724023626632281</v>
      </c>
      <c r="E240" s="653">
        <v>-0.2121991163395672</v>
      </c>
      <c r="F240" s="651">
        <v>-0.97319072042896815</v>
      </c>
      <c r="G240" s="654">
        <v>8.8720666677234272E-2</v>
      </c>
      <c r="H240" s="653">
        <v>0.25700000000000001</v>
      </c>
      <c r="I240" s="920">
        <v>0.41499999999999992</v>
      </c>
      <c r="J240" s="924">
        <v>4.2370000000000001</v>
      </c>
      <c r="K240" s="790" t="str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CPS-32193r1</v>
      </c>
      <c r="L240" s="940" t="s">
        <v>421</v>
      </c>
      <c r="M240" s="981"/>
      <c r="N240" s="941"/>
      <c r="O240" s="942"/>
      <c r="Q240" s="162">
        <f t="shared" si="1075"/>
        <v>-1.5075333793728607</v>
      </c>
      <c r="R240" s="162">
        <f t="shared" si="1076"/>
        <v>-6.9138718428726573</v>
      </c>
      <c r="S240" s="162">
        <f t="shared" si="1077"/>
        <v>-3.9724023626632281</v>
      </c>
      <c r="T240" s="162">
        <f t="shared" si="1078"/>
        <v>-0.2121991163395672</v>
      </c>
      <c r="U240" s="162">
        <f t="shared" si="1079"/>
        <v>-0.97319072042896815</v>
      </c>
      <c r="V240" s="162">
        <f t="shared" si="1080"/>
        <v>8.8720666677234272E-2</v>
      </c>
      <c r="W240" s="162">
        <f>IFERROR(IF(ISNUMBER(MATCH($Z240,Settings!$AK$28:$AK$36,0)),INDEX(Settings!$AO$14:$AO$36,MATCH($Z240,Settings!$AK$14:$AK$36,0))/2,INDEX(Settings!$AM$14:$AM$36,MATCH($Z240,Settings!$AK$14:$AK$36,0))/2),"")</f>
        <v>0.255</v>
      </c>
      <c r="X240" s="162">
        <f t="shared" si="1081"/>
        <v>0.41499999999999992</v>
      </c>
      <c r="Y240" s="75">
        <v>4.2370000000000001</v>
      </c>
      <c r="Z240" s="917" t="str">
        <f t="shared" si="1082"/>
        <v>CPS-32193r1</v>
      </c>
      <c r="AA240" s="82"/>
      <c r="AB240" s="75"/>
      <c r="AC240" s="75"/>
      <c r="AD240" s="166"/>
      <c r="AE240" s="75">
        <v>3.1030000000000002</v>
      </c>
      <c r="AF240" s="82">
        <v>3</v>
      </c>
      <c r="AG240" s="82">
        <v>1</v>
      </c>
      <c r="AH240" s="82">
        <v>1</v>
      </c>
      <c r="AI240" s="82">
        <v>0.99999999998544808</v>
      </c>
      <c r="AJ240" s="166">
        <v>3.10311</v>
      </c>
      <c r="AK240" s="82" t="str">
        <v>Base</v>
      </c>
      <c r="AL240" s="162">
        <v>-21</v>
      </c>
      <c r="AM240" s="162">
        <v>-0.83590252108200369</v>
      </c>
      <c r="AN240" s="162">
        <v>-0.73509131062122379</v>
      </c>
      <c r="AO240" s="162">
        <v>-3.999999422471531</v>
      </c>
      <c r="AP240" s="162">
        <v>-17.499997473312991</v>
      </c>
      <c r="AQ240" s="162">
        <v>0</v>
      </c>
      <c r="AR240" s="710" t="str">
        <v>1613.par</v>
      </c>
      <c r="AV240" s="82" t="str">
        <v>0,204,0</v>
      </c>
      <c r="AW240" s="947">
        <v>0</v>
      </c>
      <c r="AX240" s="947">
        <v>-3.999999422471531</v>
      </c>
      <c r="AY240" s="947">
        <v>0</v>
      </c>
    </row>
    <row r="241" spans="2:51" x14ac:dyDescent="0.25">
      <c r="B241" s="650">
        <v>-0.48125338362506481</v>
      </c>
      <c r="C241" s="651">
        <v>-0.33697702108800437</v>
      </c>
      <c r="D241" s="652">
        <v>-0.87695264488917701</v>
      </c>
      <c r="E241" s="653">
        <v>0.56827068396935076</v>
      </c>
      <c r="F241" s="651">
        <v>-0.74924549083357761</v>
      </c>
      <c r="G241" s="654">
        <v>0.34014647463491016</v>
      </c>
      <c r="H241" s="653">
        <v>0.314</v>
      </c>
      <c r="I241" s="920">
        <v>0.52</v>
      </c>
      <c r="J241" s="924">
        <v>5.1020000000000003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419</v>
      </c>
      <c r="M241" s="981"/>
      <c r="N241" s="941"/>
      <c r="O241" s="942"/>
      <c r="Q241" s="162">
        <f t="shared" si="1075"/>
        <v>-0.48125338362506481</v>
      </c>
      <c r="R241" s="162">
        <f t="shared" si="1076"/>
        <v>-0.33697702108800437</v>
      </c>
      <c r="S241" s="162">
        <f t="shared" si="1077"/>
        <v>-0.87695264488917701</v>
      </c>
      <c r="T241" s="162">
        <f t="shared" si="1078"/>
        <v>0.56827068396935076</v>
      </c>
      <c r="U241" s="162">
        <f t="shared" si="1079"/>
        <v>-0.74924549083357761</v>
      </c>
      <c r="V241" s="162">
        <f t="shared" si="1080"/>
        <v>0.34014647463491016</v>
      </c>
      <c r="W241" s="162">
        <f>IFERROR(IF(ISNUMBER(MATCH($Z241,Settings!$AK$28:$AK$36,0)),INDEX(Settings!$AO$14:$AO$36,MATCH($Z241,Settings!$AK$14:$AK$36,0))/2,INDEX(Settings!$AM$14:$AM$36,MATCH($Z241,Settings!$AK$14:$AK$36,0))/2),"")</f>
        <v>0.3125</v>
      </c>
      <c r="X241" s="162">
        <f t="shared" si="1081"/>
        <v>0.52</v>
      </c>
      <c r="Y241" s="75">
        <v>5.1020000000000003</v>
      </c>
      <c r="Z241" s="917">
        <f t="shared" si="1082"/>
        <v>1613</v>
      </c>
      <c r="AA241" s="82"/>
      <c r="AB241" s="75"/>
      <c r="AC241" s="75"/>
      <c r="AD241" s="166"/>
      <c r="AE241" s="75">
        <v>2.2349999999999999</v>
      </c>
      <c r="AF241" s="82">
        <v>2</v>
      </c>
      <c r="AG241" s="82">
        <v>2</v>
      </c>
      <c r="AH241" s="82">
        <v>1</v>
      </c>
      <c r="AI241" s="82">
        <v>0.99999999998544808</v>
      </c>
      <c r="AJ241" s="166">
        <v>2.2351099999999997</v>
      </c>
      <c r="AK241" s="82" t="str">
        <v>Base</v>
      </c>
      <c r="AL241" s="162">
        <v>-20.25</v>
      </c>
      <c r="AM241" s="162">
        <v>-7.0165105337643832</v>
      </c>
      <c r="AN241" s="162">
        <v>-3.4255306007347515</v>
      </c>
      <c r="AO241" s="162">
        <v>81.139988284835155</v>
      </c>
      <c r="AP241" s="162">
        <v>0</v>
      </c>
      <c r="AQ241" s="162">
        <v>0</v>
      </c>
      <c r="AR241" s="710" t="str">
        <v>32193r1.par</v>
      </c>
      <c r="AV241" s="82" t="str">
        <v>255,255,91</v>
      </c>
      <c r="AW241" s="947">
        <v>0</v>
      </c>
      <c r="AX241" s="947">
        <v>81.139988284835155</v>
      </c>
      <c r="AY241" s="947">
        <v>0</v>
      </c>
    </row>
    <row r="242" spans="2:51" x14ac:dyDescent="0.25">
      <c r="B242" s="650">
        <v>-1.0907044771008914</v>
      </c>
      <c r="C242" s="651">
        <v>-0.76371898481477096</v>
      </c>
      <c r="D242" s="652">
        <v>-0.68605206913304062</v>
      </c>
      <c r="E242" s="653">
        <v>0.56512790748005948</v>
      </c>
      <c r="F242" s="651">
        <v>-0.78347089964357719</v>
      </c>
      <c r="G242" s="654">
        <v>0.25846430623761779</v>
      </c>
      <c r="H242" s="653">
        <v>0.314</v>
      </c>
      <c r="I242" s="920">
        <v>0.52</v>
      </c>
      <c r="J242" s="924">
        <v>5.1050000000000004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419</v>
      </c>
      <c r="M242" s="981"/>
      <c r="N242" s="941"/>
      <c r="O242" s="942"/>
      <c r="Q242" s="162">
        <f t="shared" si="1075"/>
        <v>-1.0907044771008914</v>
      </c>
      <c r="R242" s="162">
        <f t="shared" si="1076"/>
        <v>-0.76371898481477096</v>
      </c>
      <c r="S242" s="162">
        <f t="shared" si="1077"/>
        <v>-0.68605206913304062</v>
      </c>
      <c r="T242" s="162">
        <f t="shared" si="1078"/>
        <v>0.56512790748005948</v>
      </c>
      <c r="U242" s="162">
        <f t="shared" si="1079"/>
        <v>-0.78347089964357719</v>
      </c>
      <c r="V242" s="162">
        <f t="shared" si="1080"/>
        <v>0.25846430623761779</v>
      </c>
      <c r="W242" s="162">
        <f>IFERROR(IF(ISNUMBER(MATCH($Z242,Settings!$AK$28:$AK$36,0)),INDEX(Settings!$AO$14:$AO$36,MATCH($Z242,Settings!$AK$14:$AK$36,0))/2,INDEX(Settings!$AM$14:$AM$36,MATCH($Z242,Settings!$AK$14:$AK$36,0))/2),"")</f>
        <v>0.3125</v>
      </c>
      <c r="X242" s="162">
        <f t="shared" si="1081"/>
        <v>0.52</v>
      </c>
      <c r="Y242" s="75">
        <v>5.1050000000000004</v>
      </c>
      <c r="Z242" s="917">
        <f t="shared" si="1082"/>
        <v>1613</v>
      </c>
      <c r="AA242" s="82"/>
      <c r="AB242" s="75"/>
      <c r="AC242" s="75"/>
      <c r="AD242" s="166"/>
      <c r="AE242" s="75">
        <v>2.2320000000000002</v>
      </c>
      <c r="AF242" s="82">
        <v>2</v>
      </c>
      <c r="AG242" s="82">
        <v>2</v>
      </c>
      <c r="AH242" s="82">
        <v>1</v>
      </c>
      <c r="AI242" s="82">
        <v>1.0000000000218279</v>
      </c>
      <c r="AJ242" s="166">
        <v>2.23211</v>
      </c>
      <c r="AK242" s="82" t="str">
        <v>Base</v>
      </c>
      <c r="AL242" s="162">
        <v>-20.25</v>
      </c>
      <c r="AM242" s="162">
        <v>-6.8662009777270292</v>
      </c>
      <c r="AN242" s="162">
        <v>-2.6968943101213867</v>
      </c>
      <c r="AO242" s="162">
        <v>75.519989096262663</v>
      </c>
      <c r="AP242" s="162">
        <v>0</v>
      </c>
      <c r="AQ242" s="162">
        <v>0</v>
      </c>
      <c r="AR242" s="710" t="str">
        <v>32193r1.par</v>
      </c>
      <c r="AV242" s="82" t="str">
        <v>255,255,91</v>
      </c>
      <c r="AW242" s="947">
        <v>0</v>
      </c>
      <c r="AX242" s="947">
        <v>75.519989096262663</v>
      </c>
      <c r="AY242" s="947">
        <v>0</v>
      </c>
    </row>
    <row r="243" spans="2:51" x14ac:dyDescent="0.25">
      <c r="B243" s="650">
        <v>-1.6984353457161006</v>
      </c>
      <c r="C243" s="651">
        <v>-1.189256434934244</v>
      </c>
      <c r="D243" s="652">
        <v>-0.4872514695504323</v>
      </c>
      <c r="E243" s="653">
        <v>0.56512790748005948</v>
      </c>
      <c r="F243" s="651">
        <v>-0.78347089964357741</v>
      </c>
      <c r="G243" s="654">
        <v>0.25846430623761785</v>
      </c>
      <c r="H243" s="653">
        <v>0.314</v>
      </c>
      <c r="I243" s="920">
        <v>0.52</v>
      </c>
      <c r="J243" s="924">
        <v>5.1079999999999997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419</v>
      </c>
      <c r="M243" s="981"/>
      <c r="N243" s="941"/>
      <c r="O243" s="942"/>
      <c r="Q243" s="162">
        <f t="shared" si="1075"/>
        <v>-1.6984353457161006</v>
      </c>
      <c r="R243" s="162">
        <f t="shared" si="1076"/>
        <v>-1.189256434934244</v>
      </c>
      <c r="S243" s="162">
        <f t="shared" si="1077"/>
        <v>-0.4872514695504323</v>
      </c>
      <c r="T243" s="162">
        <f t="shared" si="1078"/>
        <v>0.56512790748005948</v>
      </c>
      <c r="U243" s="162">
        <f t="shared" si="1079"/>
        <v>-0.78347089964357741</v>
      </c>
      <c r="V243" s="162">
        <f t="shared" si="1080"/>
        <v>0.25846430623761785</v>
      </c>
      <c r="W243" s="162">
        <f>IFERROR(IF(ISNUMBER(MATCH($Z243,Settings!$AK$28:$AK$36,0)),INDEX(Settings!$AO$14:$AO$36,MATCH($Z243,Settings!$AK$14:$AK$36,0))/2,INDEX(Settings!$AM$14:$AM$36,MATCH($Z243,Settings!$AK$14:$AK$36,0))/2),"")</f>
        <v>0.3125</v>
      </c>
      <c r="X243" s="162">
        <f t="shared" si="1081"/>
        <v>0.52</v>
      </c>
      <c r="Y243" s="75">
        <v>5.1079999999999997</v>
      </c>
      <c r="Z243" s="917">
        <f t="shared" si="1082"/>
        <v>1613</v>
      </c>
      <c r="AA243" s="82"/>
      <c r="AB243" s="75"/>
      <c r="AC243" s="75"/>
      <c r="AD243" s="166"/>
      <c r="AE243" s="75">
        <v>2.2290000000000001</v>
      </c>
      <c r="AF243" s="82">
        <v>2</v>
      </c>
      <c r="AG243" s="82">
        <v>2</v>
      </c>
      <c r="AH243" s="82">
        <v>1</v>
      </c>
      <c r="AI243" s="82">
        <v>0.99999999998544808</v>
      </c>
      <c r="AJ243" s="166">
        <v>2.2291099999999999</v>
      </c>
      <c r="AK243" s="82" t="str">
        <v>Base</v>
      </c>
      <c r="AL243" s="162">
        <v>-20.25</v>
      </c>
      <c r="AM243" s="162">
        <v>-6.6290549725447221</v>
      </c>
      <c r="AN243" s="162">
        <v>-1.9912428147568486</v>
      </c>
      <c r="AO243" s="162">
        <v>65.009990613718685</v>
      </c>
      <c r="AP243" s="162">
        <v>0</v>
      </c>
      <c r="AQ243" s="162">
        <v>0</v>
      </c>
      <c r="AR243" s="710" t="str">
        <v>32193r1.par</v>
      </c>
      <c r="AV243" s="82" t="str">
        <v>255,255,91</v>
      </c>
      <c r="AW243" s="947">
        <v>0</v>
      </c>
      <c r="AX243" s="947">
        <v>65.009990613718685</v>
      </c>
      <c r="AY243" s="947">
        <v>0</v>
      </c>
    </row>
    <row r="244" spans="2:51" x14ac:dyDescent="0.25">
      <c r="B244" s="650">
        <v>-2.3061662143313102</v>
      </c>
      <c r="C244" s="651">
        <v>-1.6147938850537171</v>
      </c>
      <c r="D244" s="652">
        <v>-0.28855087026942461</v>
      </c>
      <c r="E244" s="653">
        <v>0.561431166445156</v>
      </c>
      <c r="F244" s="651">
        <v>-0.78605938384766161</v>
      </c>
      <c r="G244" s="654">
        <v>0.25866134308989119</v>
      </c>
      <c r="H244" s="653">
        <v>0.314</v>
      </c>
      <c r="I244" s="920">
        <v>0.52</v>
      </c>
      <c r="J244" s="924">
        <v>5.1109999999999998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940" t="s">
        <v>419</v>
      </c>
      <c r="M244" s="981"/>
      <c r="N244" s="941"/>
      <c r="O244" s="942"/>
      <c r="Q244" s="162">
        <f t="shared" si="1075"/>
        <v>-2.3061662143313102</v>
      </c>
      <c r="R244" s="162">
        <f t="shared" si="1076"/>
        <v>-1.6147938850537171</v>
      </c>
      <c r="S244" s="162">
        <f t="shared" si="1077"/>
        <v>-0.28855087026942461</v>
      </c>
      <c r="T244" s="162">
        <f t="shared" si="1078"/>
        <v>0.561431166445156</v>
      </c>
      <c r="U244" s="162">
        <f t="shared" si="1079"/>
        <v>-0.78605938384766161</v>
      </c>
      <c r="V244" s="162">
        <f t="shared" si="1080"/>
        <v>0.25866134308989119</v>
      </c>
      <c r="W244" s="162">
        <f>IFERROR(IF(ISNUMBER(MATCH($Z244,Settings!$AK$28:$AK$36,0)),INDEX(Settings!$AO$14:$AO$36,MATCH($Z244,Settings!$AK$14:$AK$36,0))/2,INDEX(Settings!$AM$14:$AM$36,MATCH($Z244,Settings!$AK$14:$AK$36,0))/2),"")</f>
        <v>0.3125</v>
      </c>
      <c r="X244" s="162">
        <f t="shared" si="1081"/>
        <v>0.52</v>
      </c>
      <c r="Y244" s="75">
        <v>5.1109999999999998</v>
      </c>
      <c r="Z244" s="917">
        <f t="shared" si="1082"/>
        <v>1613</v>
      </c>
      <c r="AA244" s="82"/>
      <c r="AB244" s="75"/>
      <c r="AC244" s="75"/>
      <c r="AD244" s="166"/>
      <c r="AE244" s="75">
        <v>2.226</v>
      </c>
      <c r="AF244" s="82">
        <v>2</v>
      </c>
      <c r="AG244" s="82">
        <v>2</v>
      </c>
      <c r="AH244" s="82">
        <v>1</v>
      </c>
      <c r="AI244" s="82">
        <v>0.99999999998544808</v>
      </c>
      <c r="AJ244" s="166">
        <v>2.2261099999999998</v>
      </c>
      <c r="AK244" s="82" t="str">
        <v>Base</v>
      </c>
      <c r="AL244" s="162">
        <v>-20.25</v>
      </c>
      <c r="AM244" s="162">
        <v>-6.2307698386228481</v>
      </c>
      <c r="AN244" s="162">
        <v>-1.3483833295402201</v>
      </c>
      <c r="AO244" s="162">
        <v>51.44999257154015</v>
      </c>
      <c r="AP244" s="162">
        <v>0</v>
      </c>
      <c r="AQ244" s="162">
        <v>0</v>
      </c>
      <c r="AR244" s="710" t="str">
        <v>32193r1.par</v>
      </c>
      <c r="AV244" s="82" t="str">
        <v>255,255,91</v>
      </c>
      <c r="AW244" s="947">
        <v>0</v>
      </c>
      <c r="AX244" s="947">
        <v>51.44999257154015</v>
      </c>
      <c r="AY244" s="947">
        <v>0</v>
      </c>
    </row>
    <row r="245" spans="2:51" x14ac:dyDescent="0.25">
      <c r="B245" s="650">
        <v>-2.9156173078071363</v>
      </c>
      <c r="C245" s="651">
        <v>-2.0415358487804833</v>
      </c>
      <c r="D245" s="652">
        <v>-0.16095048542666404</v>
      </c>
      <c r="E245" s="653">
        <v>0.52628805625721975</v>
      </c>
      <c r="F245" s="651">
        <v>-0.81011358885998586</v>
      </c>
      <c r="G245" s="654">
        <v>0.25833477308599262</v>
      </c>
      <c r="H245" s="653">
        <v>0.314</v>
      </c>
      <c r="I245" s="920">
        <v>0.52</v>
      </c>
      <c r="J245" s="924">
        <v>5.1139999999999999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940" t="s">
        <v>419</v>
      </c>
      <c r="M245" s="981"/>
      <c r="N245" s="941"/>
      <c r="O245" s="942"/>
      <c r="Q245" s="162">
        <f t="shared" si="1075"/>
        <v>-2.9156173078071363</v>
      </c>
      <c r="R245" s="162">
        <f t="shared" si="1076"/>
        <v>-2.0415358487804833</v>
      </c>
      <c r="S245" s="162">
        <f t="shared" si="1077"/>
        <v>-0.16095048542666404</v>
      </c>
      <c r="T245" s="162">
        <f t="shared" si="1078"/>
        <v>0.52628805625721975</v>
      </c>
      <c r="U245" s="162">
        <f t="shared" si="1079"/>
        <v>-0.81011358885998586</v>
      </c>
      <c r="V245" s="162">
        <f t="shared" si="1080"/>
        <v>0.25833477308599262</v>
      </c>
      <c r="W245" s="162">
        <f>IFERROR(IF(ISNUMBER(MATCH($Z245,Settings!$AK$28:$AK$36,0)),INDEX(Settings!$AO$14:$AO$36,MATCH($Z245,Settings!$AK$14:$AK$36,0))/2,INDEX(Settings!$AM$14:$AM$36,MATCH($Z245,Settings!$AK$14:$AK$36,0))/2),"")</f>
        <v>0.3125</v>
      </c>
      <c r="X245" s="162">
        <f t="shared" si="1081"/>
        <v>0.52</v>
      </c>
      <c r="Y245" s="75">
        <v>5.1139999999999999</v>
      </c>
      <c r="Z245" s="917">
        <f t="shared" si="1082"/>
        <v>1613</v>
      </c>
      <c r="AA245" s="82"/>
      <c r="AB245" s="75"/>
      <c r="AC245" s="75"/>
      <c r="AD245" s="166"/>
      <c r="AE245" s="75">
        <v>2.2229999999999999</v>
      </c>
      <c r="AF245" s="82">
        <v>2</v>
      </c>
      <c r="AG245" s="82">
        <v>2</v>
      </c>
      <c r="AH245" s="82">
        <v>1</v>
      </c>
      <c r="AI245" s="82">
        <v>0.99999999998544808</v>
      </c>
      <c r="AJ245" s="166">
        <v>2.2231099999999997</v>
      </c>
      <c r="AK245" s="82" t="str">
        <v>Base</v>
      </c>
      <c r="AL245" s="162">
        <v>-20.25</v>
      </c>
      <c r="AM245" s="162">
        <v>-5.69201707950619</v>
      </c>
      <c r="AN245" s="162">
        <v>-0.81334474755112707</v>
      </c>
      <c r="AO245" s="162">
        <v>37.819994539468404</v>
      </c>
      <c r="AP245" s="162">
        <v>0</v>
      </c>
      <c r="AQ245" s="162">
        <v>0</v>
      </c>
      <c r="AR245" s="710" t="str">
        <v>32193r1.par</v>
      </c>
      <c r="AV245" s="82" t="str">
        <v>255,255,91</v>
      </c>
      <c r="AW245" s="947">
        <v>0</v>
      </c>
      <c r="AX245" s="947">
        <v>37.819994539468404</v>
      </c>
      <c r="AY245" s="947">
        <v>0</v>
      </c>
    </row>
    <row r="246" spans="2:51" x14ac:dyDescent="0.25">
      <c r="B246" s="650">
        <v>-3.5322456416083301</v>
      </c>
      <c r="C246" s="651">
        <v>-2.4586960246328173</v>
      </c>
      <c r="D246" s="652">
        <v>-0.20905063049670169</v>
      </c>
      <c r="E246" s="653">
        <v>0.47911045857362083</v>
      </c>
      <c r="F246" s="651">
        <v>-0.84059894348437225</v>
      </c>
      <c r="G246" s="654">
        <v>0.25267881727270308</v>
      </c>
      <c r="H246" s="653">
        <v>0.314</v>
      </c>
      <c r="I246" s="920">
        <v>0.52</v>
      </c>
      <c r="J246" s="924">
        <v>5.117</v>
      </c>
      <c r="K246" s="790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940" t="s">
        <v>419</v>
      </c>
      <c r="M246" s="981"/>
      <c r="N246" s="941"/>
      <c r="O246" s="942"/>
      <c r="Q246" s="162">
        <f t="shared" si="1075"/>
        <v>-3.5322456416083301</v>
      </c>
      <c r="R246" s="162">
        <f t="shared" si="1076"/>
        <v>-2.4586960246328173</v>
      </c>
      <c r="S246" s="162">
        <f t="shared" si="1077"/>
        <v>-0.20905063049670169</v>
      </c>
      <c r="T246" s="162">
        <f t="shared" si="1078"/>
        <v>0.47911045857362083</v>
      </c>
      <c r="U246" s="162">
        <f t="shared" si="1079"/>
        <v>-0.84059894348437225</v>
      </c>
      <c r="V246" s="162">
        <f t="shared" si="1080"/>
        <v>0.25267881727270308</v>
      </c>
      <c r="W246" s="162">
        <f>IFERROR(IF(ISNUMBER(MATCH($Z246,Settings!$AK$28:$AK$36,0)),INDEX(Settings!$AO$14:$AO$36,MATCH($Z246,Settings!$AK$14:$AK$36,0))/2,INDEX(Settings!$AM$14:$AM$36,MATCH($Z246,Settings!$AK$14:$AK$36,0))/2),"")</f>
        <v>0.3125</v>
      </c>
      <c r="X246" s="162">
        <f t="shared" si="1081"/>
        <v>0.52</v>
      </c>
      <c r="Y246" s="75">
        <v>5.117</v>
      </c>
      <c r="Z246" s="917">
        <f t="shared" si="1082"/>
        <v>1613</v>
      </c>
      <c r="AA246" s="82"/>
      <c r="AB246" s="75"/>
      <c r="AC246" s="75"/>
      <c r="AD246" s="166"/>
      <c r="AE246" s="75">
        <v>2.2200000000000002</v>
      </c>
      <c r="AF246" s="82">
        <v>2</v>
      </c>
      <c r="AG246" s="82">
        <v>2</v>
      </c>
      <c r="AH246" s="82">
        <v>1</v>
      </c>
      <c r="AI246" s="82">
        <v>0.99999999998544808</v>
      </c>
      <c r="AJ246" s="166">
        <v>2.22011</v>
      </c>
      <c r="AK246" s="82" t="str">
        <v>Base</v>
      </c>
      <c r="AL246" s="162">
        <v>-20.25</v>
      </c>
      <c r="AM246" s="162">
        <v>-5.0413149669126422</v>
      </c>
      <c r="AN246" s="162">
        <v>-0.42158437114590797</v>
      </c>
      <c r="AO246" s="162">
        <v>24.199996505952807</v>
      </c>
      <c r="AP246" s="162">
        <v>0</v>
      </c>
      <c r="AQ246" s="162">
        <v>0</v>
      </c>
      <c r="AR246" s="710" t="str">
        <v>32193r1.par</v>
      </c>
      <c r="AV246" s="82" t="str">
        <v>255,255,91</v>
      </c>
      <c r="AW246" s="947">
        <v>0</v>
      </c>
      <c r="AX246" s="947">
        <v>24.199996505952807</v>
      </c>
      <c r="AY246" s="947">
        <v>0</v>
      </c>
    </row>
    <row r="247" spans="2:51" x14ac:dyDescent="0.25">
      <c r="B247" s="650">
        <v>-4.156067230290355</v>
      </c>
      <c r="C247" s="651">
        <v>-2.8403181581960517</v>
      </c>
      <c r="D247" s="652">
        <v>-0.43505131211475706</v>
      </c>
      <c r="E247" s="653">
        <v>0.42186489734918442</v>
      </c>
      <c r="F247" s="651">
        <v>-0.87422742698202716</v>
      </c>
      <c r="G247" s="654">
        <v>0.24032564219605534</v>
      </c>
      <c r="H247" s="653">
        <v>0.314</v>
      </c>
      <c r="I247" s="920">
        <v>0.52</v>
      </c>
      <c r="J247" s="924">
        <v>5.12</v>
      </c>
      <c r="K247" s="790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1613</v>
      </c>
      <c r="L247" s="940" t="s">
        <v>419</v>
      </c>
      <c r="M247" s="981"/>
      <c r="N247" s="941"/>
      <c r="O247" s="942"/>
      <c r="Q247" s="162">
        <f t="shared" si="1075"/>
        <v>-4.156067230290355</v>
      </c>
      <c r="R247" s="162">
        <f t="shared" si="1076"/>
        <v>-2.8403181581960517</v>
      </c>
      <c r="S247" s="162">
        <f t="shared" si="1077"/>
        <v>-0.43505131211475706</v>
      </c>
      <c r="T247" s="162">
        <f t="shared" si="1078"/>
        <v>0.42186489734918442</v>
      </c>
      <c r="U247" s="162">
        <f t="shared" si="1079"/>
        <v>-0.87422742698202716</v>
      </c>
      <c r="V247" s="162">
        <f t="shared" si="1080"/>
        <v>0.24032564219605534</v>
      </c>
      <c r="W247" s="162">
        <f>IFERROR(IF(ISNUMBER(MATCH($Z247,Settings!$AK$28:$AK$36,0)),INDEX(Settings!$AO$14:$AO$36,MATCH($Z247,Settings!$AK$14:$AK$36,0))/2,INDEX(Settings!$AM$14:$AM$36,MATCH($Z247,Settings!$AK$14:$AK$36,0))/2),"")</f>
        <v>0.3125</v>
      </c>
      <c r="X247" s="162">
        <f t="shared" si="1081"/>
        <v>0.52</v>
      </c>
      <c r="Y247" s="75">
        <v>5.12</v>
      </c>
      <c r="Z247" s="917">
        <f t="shared" si="1082"/>
        <v>1613</v>
      </c>
      <c r="AA247" s="82"/>
      <c r="AB247" s="75"/>
      <c r="AC247" s="75"/>
      <c r="AD247" s="166"/>
      <c r="AE247" s="75">
        <v>2.2170000000000001</v>
      </c>
      <c r="AF247" s="82">
        <v>2</v>
      </c>
      <c r="AG247" s="82">
        <v>2</v>
      </c>
      <c r="AH247" s="82">
        <v>1</v>
      </c>
      <c r="AI247" s="82">
        <v>0.99999999998544808</v>
      </c>
      <c r="AJ247" s="166">
        <v>2.2171099999999999</v>
      </c>
      <c r="AK247" s="82" t="str">
        <v>Base</v>
      </c>
      <c r="AL247" s="162">
        <v>-20.25</v>
      </c>
      <c r="AM247" s="162">
        <v>-4.3088536342635777</v>
      </c>
      <c r="AN247" s="162">
        <v>-0.19276156878314196</v>
      </c>
      <c r="AO247" s="162">
        <v>10.429998494094541</v>
      </c>
      <c r="AP247" s="162">
        <v>0</v>
      </c>
      <c r="AQ247" s="162">
        <v>0</v>
      </c>
      <c r="AR247" s="710" t="str">
        <v>32193r1.par</v>
      </c>
      <c r="AV247" s="82" t="str">
        <v>255,255,91</v>
      </c>
      <c r="AW247" s="947">
        <v>0</v>
      </c>
      <c r="AX247" s="947">
        <v>10.429998494094541</v>
      </c>
      <c r="AY247" s="947">
        <v>0</v>
      </c>
    </row>
    <row r="248" spans="2:51" x14ac:dyDescent="0.25">
      <c r="B248" s="650">
        <v>-4.7265037109602188</v>
      </c>
      <c r="C248" s="651">
        <v>-3.1559873881482505</v>
      </c>
      <c r="D248" s="652">
        <v>-0.82355248383429136</v>
      </c>
      <c r="E248" s="653">
        <v>0.36461016846577415</v>
      </c>
      <c r="F248" s="651">
        <v>-0.90582173731396654</v>
      </c>
      <c r="G248" s="654">
        <v>0.21574615931892543</v>
      </c>
      <c r="H248" s="653">
        <v>0.314</v>
      </c>
      <c r="I248" s="920">
        <v>0.52</v>
      </c>
      <c r="J248" s="924">
        <v>5.1230000000000002</v>
      </c>
      <c r="K248" s="790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1613</v>
      </c>
      <c r="L248" s="940" t="s">
        <v>419</v>
      </c>
      <c r="M248" s="981"/>
      <c r="N248" s="941"/>
      <c r="O248" s="942"/>
      <c r="Q248" s="162">
        <f t="shared" si="1075"/>
        <v>-4.7265037109602188</v>
      </c>
      <c r="R248" s="162">
        <f t="shared" si="1076"/>
        <v>-3.1559873881482505</v>
      </c>
      <c r="S248" s="162">
        <f t="shared" si="1077"/>
        <v>-0.82355248383429136</v>
      </c>
      <c r="T248" s="162">
        <f t="shared" si="1078"/>
        <v>0.36461016846577415</v>
      </c>
      <c r="U248" s="162">
        <f t="shared" si="1079"/>
        <v>-0.90582173731396654</v>
      </c>
      <c r="V248" s="162">
        <f t="shared" si="1080"/>
        <v>0.21574615931892543</v>
      </c>
      <c r="W248" s="162">
        <f>IFERROR(IF(ISNUMBER(MATCH($Z248,Settings!$AK$28:$AK$36,0)),INDEX(Settings!$AO$14:$AO$36,MATCH($Z248,Settings!$AK$14:$AK$36,0))/2,INDEX(Settings!$AM$14:$AM$36,MATCH($Z248,Settings!$AK$14:$AK$36,0))/2),"")</f>
        <v>0.3125</v>
      </c>
      <c r="X248" s="162">
        <f t="shared" si="1081"/>
        <v>0.52</v>
      </c>
      <c r="Y248" s="75">
        <v>5.1230000000000002</v>
      </c>
      <c r="Z248" s="917">
        <f t="shared" si="1082"/>
        <v>1613</v>
      </c>
      <c r="AA248" s="82"/>
      <c r="AB248" s="75"/>
      <c r="AC248" s="75"/>
      <c r="AD248" s="166"/>
      <c r="AE248" s="75">
        <v>2.1379999999999999</v>
      </c>
      <c r="AF248" s="82">
        <v>2</v>
      </c>
      <c r="AG248" s="82">
        <v>1</v>
      </c>
      <c r="AH248" s="82">
        <v>1</v>
      </c>
      <c r="AI248" s="82">
        <v>0.99999999998544808</v>
      </c>
      <c r="AJ248" s="166">
        <v>2.1381099999999997</v>
      </c>
      <c r="AK248" s="82" t="str">
        <v>Base</v>
      </c>
      <c r="AL248" s="162">
        <v>-19.5</v>
      </c>
      <c r="AM248" s="162">
        <v>-7.1349215189233002</v>
      </c>
      <c r="AN248" s="162">
        <v>-4.1681942784337229</v>
      </c>
      <c r="AO248" s="162">
        <v>87.999987294373824</v>
      </c>
      <c r="AP248" s="162">
        <v>-32.399995322019493</v>
      </c>
      <c r="AQ248" s="162">
        <v>0</v>
      </c>
      <c r="AR248" s="710" t="str">
        <v>1613.par</v>
      </c>
      <c r="AV248" s="82" t="str">
        <v>204,204,0</v>
      </c>
      <c r="AW248" s="947">
        <v>0</v>
      </c>
      <c r="AX248" s="947">
        <v>87.999987294373824</v>
      </c>
      <c r="AY248" s="947">
        <v>0</v>
      </c>
    </row>
    <row r="249" spans="2:51" x14ac:dyDescent="0.25">
      <c r="B249" s="650">
        <v>-5.2142710344847014</v>
      </c>
      <c r="C249" s="651">
        <v>-3.4023422250527937</v>
      </c>
      <c r="D249" s="652">
        <v>-1.3520540777950991</v>
      </c>
      <c r="E249" s="653">
        <v>0.27278539692255482</v>
      </c>
      <c r="F249" s="651">
        <v>-0.94044270276056163</v>
      </c>
      <c r="G249" s="654">
        <v>0.20286855362577591</v>
      </c>
      <c r="H249" s="653">
        <v>0.314</v>
      </c>
      <c r="I249" s="920">
        <v>0.52</v>
      </c>
      <c r="J249" s="924">
        <v>5.1260000000000003</v>
      </c>
      <c r="K249" s="790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1613</v>
      </c>
      <c r="L249" s="940" t="s">
        <v>419</v>
      </c>
      <c r="M249" s="981"/>
      <c r="N249" s="941"/>
      <c r="O249" s="942"/>
      <c r="Q249" s="162">
        <f t="shared" si="1075"/>
        <v>-5.2142710344847014</v>
      </c>
      <c r="R249" s="162">
        <f t="shared" si="1076"/>
        <v>-3.4023422250527937</v>
      </c>
      <c r="S249" s="162">
        <f t="shared" si="1077"/>
        <v>-1.3520540777950991</v>
      </c>
      <c r="T249" s="162">
        <f t="shared" si="1078"/>
        <v>0.27278539692255482</v>
      </c>
      <c r="U249" s="162">
        <f t="shared" si="1079"/>
        <v>-0.94044270276056163</v>
      </c>
      <c r="V249" s="162">
        <f t="shared" si="1080"/>
        <v>0.20286855362577591</v>
      </c>
      <c r="W249" s="162">
        <f>IFERROR(IF(ISNUMBER(MATCH($Z249,Settings!$AK$28:$AK$36,0)),INDEX(Settings!$AO$14:$AO$36,MATCH($Z249,Settings!$AK$14:$AK$36,0))/2,INDEX(Settings!$AM$14:$AM$36,MATCH($Z249,Settings!$AK$14:$AK$36,0))/2),"")</f>
        <v>0.3125</v>
      </c>
      <c r="X249" s="162">
        <f t="shared" si="1081"/>
        <v>0.52</v>
      </c>
      <c r="Y249" s="75">
        <v>5.1260000000000003</v>
      </c>
      <c r="Z249" s="917">
        <f t="shared" si="1082"/>
        <v>1613</v>
      </c>
      <c r="AA249" s="82"/>
      <c r="AB249" s="75"/>
      <c r="AC249" s="75"/>
      <c r="AD249" s="166"/>
      <c r="AE249" s="75">
        <v>2.1349999999999998</v>
      </c>
      <c r="AF249" s="82">
        <v>2</v>
      </c>
      <c r="AG249" s="82">
        <v>1</v>
      </c>
      <c r="AH249" s="82">
        <v>1</v>
      </c>
      <c r="AI249" s="82">
        <v>0.9999999999490683</v>
      </c>
      <c r="AJ249" s="166">
        <v>2.1351099999999996</v>
      </c>
      <c r="AK249" s="82" t="str">
        <v>Base</v>
      </c>
      <c r="AL249" s="162">
        <v>-19.5</v>
      </c>
      <c r="AM249" s="162">
        <v>-7.0330212115919748</v>
      </c>
      <c r="AN249" s="162">
        <v>-3.4170863877849706</v>
      </c>
      <c r="AO249" s="162">
        <v>81.999988160666504</v>
      </c>
      <c r="AP249" s="162">
        <v>-29.099995798480432</v>
      </c>
      <c r="AQ249" s="162">
        <v>0</v>
      </c>
      <c r="AR249" s="710" t="str">
        <v>1613.par</v>
      </c>
      <c r="AV249" s="82" t="str">
        <v>204,204,0</v>
      </c>
      <c r="AW249" s="947">
        <v>0</v>
      </c>
      <c r="AX249" s="947">
        <v>81.999988160666504</v>
      </c>
      <c r="AY249" s="947">
        <v>0</v>
      </c>
    </row>
    <row r="250" spans="2:51" x14ac:dyDescent="0.25">
      <c r="B250" s="650">
        <v>-5.5844421827479751</v>
      </c>
      <c r="C250" s="651">
        <v>-3.5755323710960965</v>
      </c>
      <c r="D250" s="652">
        <v>-1.9903560029137051</v>
      </c>
      <c r="E250" s="653">
        <v>0.18216711102703756</v>
      </c>
      <c r="F250" s="651">
        <v>-0.96979634433775708</v>
      </c>
      <c r="G250" s="654">
        <v>0.16220417432725154</v>
      </c>
      <c r="H250" s="653">
        <v>0.314</v>
      </c>
      <c r="I250" s="920">
        <v>0.52</v>
      </c>
      <c r="J250" s="924">
        <v>5.1289999999999996</v>
      </c>
      <c r="K250" s="790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1613</v>
      </c>
      <c r="L250" s="940" t="s">
        <v>419</v>
      </c>
      <c r="M250" s="981"/>
      <c r="N250" s="941"/>
      <c r="O250" s="942"/>
      <c r="Q250" s="162">
        <f t="shared" si="1075"/>
        <v>-5.5844421827479751</v>
      </c>
      <c r="R250" s="162">
        <f t="shared" si="1076"/>
        <v>-3.5755323710960965</v>
      </c>
      <c r="S250" s="162">
        <f t="shared" si="1077"/>
        <v>-1.9903560029137051</v>
      </c>
      <c r="T250" s="162">
        <f t="shared" si="1078"/>
        <v>0.18216711102703756</v>
      </c>
      <c r="U250" s="162">
        <f t="shared" si="1079"/>
        <v>-0.96979634433775708</v>
      </c>
      <c r="V250" s="162">
        <f t="shared" si="1080"/>
        <v>0.16220417432725154</v>
      </c>
      <c r="W250" s="162">
        <f>IFERROR(IF(ISNUMBER(MATCH($Z250,Settings!$AK$28:$AK$36,0)),INDEX(Settings!$AO$14:$AO$36,MATCH($Z250,Settings!$AK$14:$AK$36,0))/2,INDEX(Settings!$AM$14:$AM$36,MATCH($Z250,Settings!$AK$14:$AK$36,0))/2),"")</f>
        <v>0.3125</v>
      </c>
      <c r="X250" s="162">
        <f t="shared" si="1081"/>
        <v>0.52</v>
      </c>
      <c r="Y250" s="75">
        <v>5.1289999999999996</v>
      </c>
      <c r="Z250" s="917">
        <f t="shared" si="1082"/>
        <v>1613</v>
      </c>
      <c r="AA250" s="82"/>
      <c r="AB250" s="75"/>
      <c r="AC250" s="75"/>
      <c r="AD250" s="166"/>
      <c r="AE250" s="75">
        <v>2.1320000000000001</v>
      </c>
      <c r="AF250" s="82">
        <v>2</v>
      </c>
      <c r="AG250" s="82">
        <v>1</v>
      </c>
      <c r="AH250" s="82">
        <v>1</v>
      </c>
      <c r="AI250" s="82">
        <v>0.99999999998544808</v>
      </c>
      <c r="AJ250" s="166">
        <v>2.1321099999999999</v>
      </c>
      <c r="AK250" s="82" t="str">
        <v>Base</v>
      </c>
      <c r="AL250" s="162">
        <v>-19.5</v>
      </c>
      <c r="AM250" s="162">
        <v>-6.8749207347609369</v>
      </c>
      <c r="AN250" s="162">
        <v>-2.6889284273249259</v>
      </c>
      <c r="AO250" s="162">
        <v>76.099989012521036</v>
      </c>
      <c r="AP250" s="162">
        <v>-26.399996188312151</v>
      </c>
      <c r="AQ250" s="162">
        <v>0</v>
      </c>
      <c r="AR250" s="710" t="str">
        <v>1613.par</v>
      </c>
      <c r="AV250" s="82" t="str">
        <v>204,204,0</v>
      </c>
      <c r="AW250" s="947">
        <v>0</v>
      </c>
      <c r="AX250" s="947">
        <v>76.099989012521036</v>
      </c>
      <c r="AY250" s="947">
        <v>0</v>
      </c>
    </row>
    <row r="251" spans="2:51" x14ac:dyDescent="0.25">
      <c r="B251" s="650">
        <v>-5.8099740893043847</v>
      </c>
      <c r="C251" s="651">
        <v>-3.6754232668983247</v>
      </c>
      <c r="D251" s="652">
        <v>-2.6944581264857086</v>
      </c>
      <c r="E251" s="653">
        <v>0.11410316330169244</v>
      </c>
      <c r="F251" s="651">
        <v>-0.98771010795691649</v>
      </c>
      <c r="G251" s="654">
        <v>0.10681390716701487</v>
      </c>
      <c r="H251" s="653">
        <v>0.314</v>
      </c>
      <c r="I251" s="920">
        <v>0.52</v>
      </c>
      <c r="J251" s="924">
        <v>5.1319999999999997</v>
      </c>
      <c r="K251" s="790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1613</v>
      </c>
      <c r="L251" s="940" t="s">
        <v>419</v>
      </c>
      <c r="M251" s="981"/>
      <c r="N251" s="941"/>
      <c r="O251" s="942"/>
      <c r="Q251" s="162">
        <f t="shared" si="1075"/>
        <v>-5.8099740893043847</v>
      </c>
      <c r="R251" s="162">
        <f t="shared" si="1076"/>
        <v>-3.6754232668983247</v>
      </c>
      <c r="S251" s="162">
        <f t="shared" si="1077"/>
        <v>-2.6944581264857086</v>
      </c>
      <c r="T251" s="162">
        <f t="shared" si="1078"/>
        <v>0.11410316330169244</v>
      </c>
      <c r="U251" s="162">
        <f t="shared" si="1079"/>
        <v>-0.98771010795691649</v>
      </c>
      <c r="V251" s="162">
        <f t="shared" si="1080"/>
        <v>0.10681390716701487</v>
      </c>
      <c r="W251" s="162">
        <f>IFERROR(IF(ISNUMBER(MATCH($Z251,Settings!$AK$28:$AK$36,0)),INDEX(Settings!$AO$14:$AO$36,MATCH($Z251,Settings!$AK$14:$AK$36,0))/2,INDEX(Settings!$AM$14:$AM$36,MATCH($Z251,Settings!$AK$14:$AK$36,0))/2),"")</f>
        <v>0.3125</v>
      </c>
      <c r="X251" s="162">
        <f t="shared" si="1081"/>
        <v>0.52</v>
      </c>
      <c r="Y251" s="75">
        <v>5.1319999999999997</v>
      </c>
      <c r="Z251" s="917">
        <f t="shared" si="1082"/>
        <v>1613</v>
      </c>
      <c r="AA251" s="82"/>
      <c r="AB251" s="75"/>
      <c r="AC251" s="75"/>
      <c r="AD251" s="166"/>
      <c r="AE251" s="75">
        <v>2.129</v>
      </c>
      <c r="AF251" s="82">
        <v>2</v>
      </c>
      <c r="AG251" s="82">
        <v>1</v>
      </c>
      <c r="AH251" s="82">
        <v>1</v>
      </c>
      <c r="AI251" s="82">
        <v>0.99999999998544808</v>
      </c>
      <c r="AJ251" s="166">
        <v>2.1291099999999998</v>
      </c>
      <c r="AK251" s="82" t="str">
        <v>Base</v>
      </c>
      <c r="AL251" s="162">
        <v>-19.5</v>
      </c>
      <c r="AM251" s="162">
        <v>-6.6310199991563152</v>
      </c>
      <c r="AN251" s="162">
        <v>-1.9850432481660429</v>
      </c>
      <c r="AO251" s="162">
        <v>66.299990427465758</v>
      </c>
      <c r="AP251" s="162">
        <v>-23.799996563705651</v>
      </c>
      <c r="AQ251" s="162">
        <v>0</v>
      </c>
      <c r="AR251" s="710" t="str">
        <v>1613.par</v>
      </c>
      <c r="AV251" s="82" t="str">
        <v>204,204,0</v>
      </c>
      <c r="AW251" s="947">
        <v>0</v>
      </c>
      <c r="AX251" s="947">
        <v>66.299990427465758</v>
      </c>
      <c r="AY251" s="947">
        <v>0</v>
      </c>
    </row>
    <row r="252" spans="2:51" x14ac:dyDescent="0.25">
      <c r="B252" s="650">
        <v>-5.9571752130392497</v>
      </c>
      <c r="C252" s="651">
        <v>-3.7383754284252189</v>
      </c>
      <c r="D252" s="652">
        <v>-3.4227603230451353</v>
      </c>
      <c r="E252" s="653">
        <v>5.6519001407475664E-2</v>
      </c>
      <c r="F252" s="651">
        <v>-0.99610459172640053</v>
      </c>
      <c r="G252" s="654">
        <v>6.7684893598814966E-2</v>
      </c>
      <c r="H252" s="653">
        <v>0.314</v>
      </c>
      <c r="I252" s="920">
        <v>0.52</v>
      </c>
      <c r="J252" s="924">
        <v>5.1349999999999998</v>
      </c>
      <c r="K252" s="790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1613</v>
      </c>
      <c r="L252" s="940" t="s">
        <v>419</v>
      </c>
      <c r="M252" s="981"/>
      <c r="N252" s="941"/>
      <c r="O252" s="942"/>
      <c r="Q252" s="162">
        <f t="shared" si="1075"/>
        <v>-5.9571752130392497</v>
      </c>
      <c r="R252" s="162">
        <f t="shared" si="1076"/>
        <v>-3.7383754284252189</v>
      </c>
      <c r="S252" s="162">
        <f t="shared" si="1077"/>
        <v>-3.4227603230451353</v>
      </c>
      <c r="T252" s="162">
        <f t="shared" si="1078"/>
        <v>5.6519001407475664E-2</v>
      </c>
      <c r="U252" s="162">
        <f t="shared" si="1079"/>
        <v>-0.99610459172640053</v>
      </c>
      <c r="V252" s="162">
        <f t="shared" si="1080"/>
        <v>6.7684893598814966E-2</v>
      </c>
      <c r="W252" s="162">
        <f>IFERROR(IF(ISNUMBER(MATCH($Z252,Settings!$AK$28:$AK$36,0)),INDEX(Settings!$AO$14:$AO$36,MATCH($Z252,Settings!$AK$14:$AK$36,0))/2,INDEX(Settings!$AM$14:$AM$36,MATCH($Z252,Settings!$AK$14:$AK$36,0))/2),"")</f>
        <v>0.3125</v>
      </c>
      <c r="X252" s="162">
        <f t="shared" si="1081"/>
        <v>0.52</v>
      </c>
      <c r="Y252" s="75">
        <v>5.1349999999999998</v>
      </c>
      <c r="Z252" s="917">
        <f t="shared" si="1082"/>
        <v>1613</v>
      </c>
      <c r="AA252" s="82"/>
      <c r="AB252" s="75"/>
      <c r="AC252" s="75"/>
      <c r="AD252" s="166"/>
      <c r="AE252" s="75">
        <v>2.1259999999999999</v>
      </c>
      <c r="AF252" s="82">
        <v>2</v>
      </c>
      <c r="AG252" s="82">
        <v>1</v>
      </c>
      <c r="AH252" s="82">
        <v>1</v>
      </c>
      <c r="AI252" s="82">
        <v>0.99999999998544808</v>
      </c>
      <c r="AJ252" s="166">
        <v>2.1261099999999997</v>
      </c>
      <c r="AK252" s="82" t="str">
        <v>Base</v>
      </c>
      <c r="AL252" s="162">
        <v>-19.5</v>
      </c>
      <c r="AM252" s="162">
        <v>-6.226118777974234</v>
      </c>
      <c r="AN252" s="162">
        <v>-1.3470847952200673</v>
      </c>
      <c r="AO252" s="162">
        <v>54.599992116736487</v>
      </c>
      <c r="AP252" s="162">
        <v>-20.499997040166612</v>
      </c>
      <c r="AQ252" s="162">
        <v>0</v>
      </c>
      <c r="AR252" s="710" t="str">
        <v>1613.par</v>
      </c>
      <c r="AV252" s="82" t="str">
        <v>204,204,0</v>
      </c>
      <c r="AW252" s="947">
        <v>0</v>
      </c>
      <c r="AX252" s="947">
        <v>54.599992116736487</v>
      </c>
      <c r="AY252" s="947">
        <v>0</v>
      </c>
    </row>
    <row r="253" spans="2:51" x14ac:dyDescent="0.25">
      <c r="B253" s="650">
        <v>-6.0524662870882988</v>
      </c>
      <c r="C253" s="651">
        <v>-3.7781949294410908</v>
      </c>
      <c r="D253" s="652">
        <v>-4.1739625886711682</v>
      </c>
      <c r="E253" s="653">
        <v>-7.1566204462388313E-3</v>
      </c>
      <c r="F253" s="651">
        <v>-0.99979952252244508</v>
      </c>
      <c r="G253" s="654">
        <v>1.8700201808521728E-2</v>
      </c>
      <c r="H253" s="653">
        <v>0.314</v>
      </c>
      <c r="I253" s="920">
        <v>0.52</v>
      </c>
      <c r="J253" s="924">
        <v>5.1379999999999999</v>
      </c>
      <c r="K253" s="790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1613</v>
      </c>
      <c r="L253" s="940" t="s">
        <v>419</v>
      </c>
      <c r="M253" s="981"/>
      <c r="N253" s="941"/>
      <c r="O253" s="942"/>
      <c r="Q253" s="162">
        <f t="shared" si="1075"/>
        <v>-6.0524662870882988</v>
      </c>
      <c r="R253" s="162">
        <f t="shared" si="1076"/>
        <v>-3.7781949294410908</v>
      </c>
      <c r="S253" s="162">
        <f t="shared" si="1077"/>
        <v>-4.1739625886711682</v>
      </c>
      <c r="T253" s="162">
        <f t="shared" si="1078"/>
        <v>-7.1566204462388313E-3</v>
      </c>
      <c r="U253" s="162">
        <f t="shared" si="1079"/>
        <v>-0.99979952252244508</v>
      </c>
      <c r="V253" s="162">
        <f t="shared" si="1080"/>
        <v>1.8700201808521728E-2</v>
      </c>
      <c r="W253" s="162">
        <f>IFERROR(IF(ISNUMBER(MATCH($Z253,Settings!$AK$28:$AK$36,0)),INDEX(Settings!$AO$14:$AO$36,MATCH($Z253,Settings!$AK$14:$AK$36,0))/2,INDEX(Settings!$AM$14:$AM$36,MATCH($Z253,Settings!$AK$14:$AK$36,0))/2),"")</f>
        <v>0.3125</v>
      </c>
      <c r="X253" s="162">
        <f t="shared" si="1081"/>
        <v>0.52</v>
      </c>
      <c r="Y253" s="75">
        <v>5.1379999999999999</v>
      </c>
      <c r="Z253" s="917">
        <f t="shared" si="1082"/>
        <v>1613</v>
      </c>
      <c r="AA253" s="82"/>
      <c r="AB253" s="75"/>
      <c r="AC253" s="75"/>
      <c r="AD253" s="166"/>
      <c r="AE253" s="75">
        <v>2.1230000000000002</v>
      </c>
      <c r="AF253" s="82">
        <v>2</v>
      </c>
      <c r="AG253" s="82">
        <v>1</v>
      </c>
      <c r="AH253" s="82">
        <v>1</v>
      </c>
      <c r="AI253" s="82">
        <v>1.0000000000218279</v>
      </c>
      <c r="AJ253" s="166">
        <v>2.1231100000000001</v>
      </c>
      <c r="AK253" s="82" t="str">
        <v>Base</v>
      </c>
      <c r="AL253" s="162">
        <v>-19.5</v>
      </c>
      <c r="AM253" s="162">
        <v>-5.6833171408844958</v>
      </c>
      <c r="AN253" s="162">
        <v>-0.81900486787414084</v>
      </c>
      <c r="AO253" s="162">
        <v>42.799993820445501</v>
      </c>
      <c r="AP253" s="162">
        <v>-17.09999753106581</v>
      </c>
      <c r="AQ253" s="162">
        <v>0</v>
      </c>
      <c r="AR253" s="710" t="str">
        <v>1613.par</v>
      </c>
      <c r="AV253" s="82" t="str">
        <v>204,204,0</v>
      </c>
      <c r="AW253" s="947">
        <v>0</v>
      </c>
      <c r="AX253" s="947">
        <v>42.799993820445501</v>
      </c>
      <c r="AY253" s="947">
        <v>0</v>
      </c>
    </row>
    <row r="254" spans="2:51" x14ac:dyDescent="0.25">
      <c r="B254" s="650">
        <v>-4.0656487332316749</v>
      </c>
      <c r="C254" s="651">
        <v>-1.4271370009491426</v>
      </c>
      <c r="D254" s="652">
        <v>-0.20730198039390568</v>
      </c>
      <c r="E254" s="653">
        <v>-0.17081597265838019</v>
      </c>
      <c r="F254" s="651">
        <v>-5.9960368179697347E-2</v>
      </c>
      <c r="G254" s="654">
        <v>0.98347682114655188</v>
      </c>
      <c r="H254" s="653">
        <v>0.25700000000000001</v>
      </c>
      <c r="I254" s="920">
        <v>0.41499999999999992</v>
      </c>
      <c r="J254" s="924">
        <v>5.2169999999999996</v>
      </c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>CPS-32193r1</v>
      </c>
      <c r="L254" s="940" t="s">
        <v>421</v>
      </c>
      <c r="M254" s="981"/>
      <c r="N254" s="941"/>
      <c r="O254" s="942"/>
      <c r="Q254" s="162">
        <f t="shared" si="1075"/>
        <v>-4.0656487332316749</v>
      </c>
      <c r="R254" s="162">
        <f t="shared" si="1076"/>
        <v>-1.4271370009491426</v>
      </c>
      <c r="S254" s="162">
        <f t="shared" si="1077"/>
        <v>-0.20730198039390568</v>
      </c>
      <c r="T254" s="162">
        <f t="shared" si="1078"/>
        <v>-0.17081597265838019</v>
      </c>
      <c r="U254" s="162">
        <f t="shared" si="1079"/>
        <v>-5.9960368179697347E-2</v>
      </c>
      <c r="V254" s="162">
        <f t="shared" si="1080"/>
        <v>0.98347682114655188</v>
      </c>
      <c r="W254" s="162">
        <f>IFERROR(IF(ISNUMBER(MATCH($Z254,Settings!$AK$28:$AK$36,0)),INDEX(Settings!$AO$14:$AO$36,MATCH($Z254,Settings!$AK$14:$AK$36,0))/2,INDEX(Settings!$AM$14:$AM$36,MATCH($Z254,Settings!$AK$14:$AK$36,0))/2),"")</f>
        <v>0.255</v>
      </c>
      <c r="X254" s="162">
        <f t="shared" si="1081"/>
        <v>0.41499999999999992</v>
      </c>
      <c r="Y254" s="75">
        <v>5.2169999999999996</v>
      </c>
      <c r="Z254" s="917" t="str">
        <f t="shared" si="1082"/>
        <v>CPS-32193r1</v>
      </c>
      <c r="AA254" s="82"/>
      <c r="AB254" s="75"/>
      <c r="AC254" s="75"/>
      <c r="AD254" s="166"/>
      <c r="AE254" s="75">
        <v>2.12</v>
      </c>
      <c r="AF254" s="82">
        <v>2</v>
      </c>
      <c r="AG254" s="82">
        <v>1</v>
      </c>
      <c r="AH254" s="82">
        <v>1</v>
      </c>
      <c r="AI254" s="82">
        <v>0.99999999998544808</v>
      </c>
      <c r="AJ254" s="166">
        <v>2.1201099999999999</v>
      </c>
      <c r="AK254" s="82" t="str">
        <v>Base</v>
      </c>
      <c r="AL254" s="162">
        <v>-19.5</v>
      </c>
      <c r="AM254" s="162">
        <v>-5.0339151822881893</v>
      </c>
      <c r="AN254" s="162">
        <v>-0.43093244608360814</v>
      </c>
      <c r="AO254" s="162">
        <v>31.099995509716226</v>
      </c>
      <c r="AP254" s="162">
        <v>-16.299997646571494</v>
      </c>
      <c r="AQ254" s="162">
        <v>0</v>
      </c>
      <c r="AR254" s="710" t="str">
        <v>1613.par</v>
      </c>
      <c r="AV254" s="82" t="str">
        <v>204,204,0</v>
      </c>
      <c r="AW254" s="947">
        <v>0</v>
      </c>
      <c r="AX254" s="947">
        <v>31.099995509716226</v>
      </c>
      <c r="AY254" s="947">
        <v>0</v>
      </c>
    </row>
    <row r="255" spans="2:51" x14ac:dyDescent="0.25">
      <c r="B255" s="650">
        <v>-4.7019370340605242</v>
      </c>
      <c r="C255" s="651">
        <v>-1.8184181926464393</v>
      </c>
      <c r="D255" s="652">
        <v>-0.43487399887963918</v>
      </c>
      <c r="E255" s="653">
        <v>-0.38232723903311422</v>
      </c>
      <c r="F255" s="651">
        <v>-0.14786050982092966</v>
      </c>
      <c r="G255" s="654">
        <v>0.91212014117045515</v>
      </c>
      <c r="H255" s="653">
        <v>0.25700000000000001</v>
      </c>
      <c r="I255" s="920">
        <v>0.41499999999999992</v>
      </c>
      <c r="J255" s="924">
        <v>5.22</v>
      </c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>CPS-32193r1</v>
      </c>
      <c r="L255" s="940" t="s">
        <v>421</v>
      </c>
      <c r="M255" s="981"/>
      <c r="N255" s="941"/>
      <c r="O255" s="942"/>
      <c r="Q255" s="162">
        <f t="shared" si="1075"/>
        <v>-4.7019370340605242</v>
      </c>
      <c r="R255" s="162">
        <f t="shared" si="1076"/>
        <v>-1.8184181926464393</v>
      </c>
      <c r="S255" s="162">
        <f t="shared" si="1077"/>
        <v>-0.43487399887963918</v>
      </c>
      <c r="T255" s="162">
        <f t="shared" si="1078"/>
        <v>-0.38232723903311422</v>
      </c>
      <c r="U255" s="162">
        <f t="shared" si="1079"/>
        <v>-0.14786050982092966</v>
      </c>
      <c r="V255" s="162">
        <f t="shared" si="1080"/>
        <v>0.91212014117045515</v>
      </c>
      <c r="W255" s="162">
        <f>IFERROR(IF(ISNUMBER(MATCH($Z255,Settings!$AK$28:$AK$36,0)),INDEX(Settings!$AO$14:$AO$36,MATCH($Z255,Settings!$AK$14:$AK$36,0))/2,INDEX(Settings!$AM$14:$AM$36,MATCH($Z255,Settings!$AK$14:$AK$36,0))/2),"")</f>
        <v>0.255</v>
      </c>
      <c r="X255" s="162">
        <f t="shared" si="1081"/>
        <v>0.41499999999999992</v>
      </c>
      <c r="Y255" s="75">
        <v>5.22</v>
      </c>
      <c r="Z255" s="917" t="str">
        <f t="shared" si="1082"/>
        <v>CPS-32193r1</v>
      </c>
      <c r="AA255" s="82"/>
      <c r="AB255" s="75"/>
      <c r="AC255" s="75"/>
      <c r="AD255" s="166"/>
      <c r="AE255" s="75">
        <v>2.117</v>
      </c>
      <c r="AF255" s="82">
        <v>2</v>
      </c>
      <c r="AG255" s="82">
        <v>1</v>
      </c>
      <c r="AH255" s="82">
        <v>1</v>
      </c>
      <c r="AI255" s="82">
        <v>0.99999999998544808</v>
      </c>
      <c r="AJ255" s="166">
        <v>2.1171099999999998</v>
      </c>
      <c r="AK255" s="82" t="str">
        <v>Base</v>
      </c>
      <c r="AL255" s="162">
        <v>-19.5</v>
      </c>
      <c r="AM255" s="162">
        <v>-4.3037129799983482</v>
      </c>
      <c r="AN255" s="162">
        <v>-0.2052730144162816</v>
      </c>
      <c r="AO255" s="162">
        <v>18.999997256739832</v>
      </c>
      <c r="AP255" s="162">
        <v>-15.499997762077202</v>
      </c>
      <c r="AQ255" s="162">
        <v>0</v>
      </c>
      <c r="AR255" s="710" t="str">
        <v>1613.par</v>
      </c>
      <c r="AV255" s="82" t="str">
        <v>204,204,0</v>
      </c>
      <c r="AW255" s="947">
        <v>0</v>
      </c>
      <c r="AX255" s="947">
        <v>18.999997256739832</v>
      </c>
      <c r="AY255" s="947">
        <v>0</v>
      </c>
    </row>
    <row r="256" spans="2:51" x14ac:dyDescent="0.25">
      <c r="B256" s="650">
        <v>-5.2753989008872564</v>
      </c>
      <c r="C256" s="651">
        <v>-2.137574529673226</v>
      </c>
      <c r="D256" s="652">
        <v>-0.82599948192906913</v>
      </c>
      <c r="E256" s="653">
        <v>-0.56830181602537289</v>
      </c>
      <c r="F256" s="651">
        <v>-0.23027405319028363</v>
      </c>
      <c r="G256" s="654">
        <v>0.78994107775807043</v>
      </c>
      <c r="H256" s="653">
        <v>0.25700000000000001</v>
      </c>
      <c r="I256" s="920">
        <v>0.41499999999999992</v>
      </c>
      <c r="J256" s="924">
        <v>5.2229999999999999</v>
      </c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>CPS-32193r1</v>
      </c>
      <c r="L256" s="940" t="s">
        <v>421</v>
      </c>
      <c r="M256" s="981"/>
      <c r="N256" s="941"/>
      <c r="O256" s="942"/>
      <c r="Q256" s="162">
        <f t="shared" si="1075"/>
        <v>-5.2753989008872564</v>
      </c>
      <c r="R256" s="162">
        <f t="shared" si="1076"/>
        <v>-2.137574529673226</v>
      </c>
      <c r="S256" s="162">
        <f t="shared" si="1077"/>
        <v>-0.82599948192906913</v>
      </c>
      <c r="T256" s="162">
        <f t="shared" si="1078"/>
        <v>-0.56830181602537289</v>
      </c>
      <c r="U256" s="162">
        <f t="shared" si="1079"/>
        <v>-0.23027405319028363</v>
      </c>
      <c r="V256" s="162">
        <f t="shared" si="1080"/>
        <v>0.78994107775807043</v>
      </c>
      <c r="W256" s="162">
        <f>IFERROR(IF(ISNUMBER(MATCH($Z256,Settings!$AK$28:$AK$36,0)),INDEX(Settings!$AO$14:$AO$36,MATCH($Z256,Settings!$AK$14:$AK$36,0))/2,INDEX(Settings!$AM$14:$AM$36,MATCH($Z256,Settings!$AK$14:$AK$36,0))/2),"")</f>
        <v>0.255</v>
      </c>
      <c r="X256" s="162">
        <f t="shared" si="1081"/>
        <v>0.41499999999999992</v>
      </c>
      <c r="Y256" s="75">
        <v>5.2229999999999999</v>
      </c>
      <c r="Z256" s="917" t="str">
        <f t="shared" si="1082"/>
        <v>CPS-32193r1</v>
      </c>
      <c r="AA256" s="82"/>
      <c r="AB256" s="75"/>
      <c r="AC256" s="75"/>
      <c r="AD256" s="166"/>
      <c r="AE256" s="75">
        <v>2.1139999999999999</v>
      </c>
      <c r="AF256" s="82">
        <v>2</v>
      </c>
      <c r="AG256" s="82">
        <v>1</v>
      </c>
      <c r="AH256" s="82">
        <v>1</v>
      </c>
      <c r="AI256" s="82">
        <v>0.99999999998544808</v>
      </c>
      <c r="AJ256" s="166">
        <v>2.1141099999999997</v>
      </c>
      <c r="AK256" s="82" t="str">
        <v>Base</v>
      </c>
      <c r="AL256" s="162">
        <v>-19.5</v>
      </c>
      <c r="AM256" s="162">
        <v>-3.5593107348811763</v>
      </c>
      <c r="AN256" s="162">
        <v>-0.15728349433027211</v>
      </c>
      <c r="AO256" s="162">
        <v>7.3999989315723473</v>
      </c>
      <c r="AP256" s="162">
        <v>-15.099997819830071</v>
      </c>
      <c r="AQ256" s="162">
        <v>0</v>
      </c>
      <c r="AR256" s="710" t="str">
        <v>1613.par</v>
      </c>
      <c r="AV256" s="82" t="str">
        <v>204,204,0</v>
      </c>
      <c r="AW256" s="947">
        <v>0</v>
      </c>
      <c r="AX256" s="947">
        <v>7.3999989315723473</v>
      </c>
      <c r="AY256" s="947">
        <v>0</v>
      </c>
    </row>
    <row r="257" spans="2:51" x14ac:dyDescent="0.25">
      <c r="B257" s="650">
        <v>-5.7572846978003041</v>
      </c>
      <c r="C257" s="651">
        <v>-2.3824705014683114</v>
      </c>
      <c r="D257" s="652">
        <v>-1.3607442850222711</v>
      </c>
      <c r="E257" s="653">
        <v>-0.72263432565101515</v>
      </c>
      <c r="F257" s="651">
        <v>-0.29903940044336957</v>
      </c>
      <c r="G257" s="654">
        <v>0.62319745536496907</v>
      </c>
      <c r="H257" s="653">
        <v>0.25700000000000001</v>
      </c>
      <c r="I257" s="920">
        <v>0.41499999999999992</v>
      </c>
      <c r="J257" s="924">
        <v>5.226</v>
      </c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>CPS-32193r1</v>
      </c>
      <c r="L257" s="940" t="s">
        <v>421</v>
      </c>
      <c r="M257" s="981"/>
      <c r="N257" s="941"/>
      <c r="O257" s="942"/>
      <c r="Q257" s="162">
        <f t="shared" si="1075"/>
        <v>-5.7572846978003041</v>
      </c>
      <c r="R257" s="162">
        <f t="shared" si="1076"/>
        <v>-2.3824705014683114</v>
      </c>
      <c r="S257" s="162">
        <f t="shared" si="1077"/>
        <v>-1.3607442850222711</v>
      </c>
      <c r="T257" s="162">
        <f t="shared" si="1078"/>
        <v>-0.72263432565101515</v>
      </c>
      <c r="U257" s="162">
        <f t="shared" si="1079"/>
        <v>-0.29903940044336957</v>
      </c>
      <c r="V257" s="162">
        <f t="shared" si="1080"/>
        <v>0.62319745536496907</v>
      </c>
      <c r="W257" s="162">
        <f>IFERROR(IF(ISNUMBER(MATCH($Z257,Settings!$AK$28:$AK$36,0)),INDEX(Settings!$AO$14:$AO$36,MATCH($Z257,Settings!$AK$14:$AK$36,0))/2,INDEX(Settings!$AM$14:$AM$36,MATCH($Z257,Settings!$AK$14:$AK$36,0))/2),"")</f>
        <v>0.255</v>
      </c>
      <c r="X257" s="162">
        <f t="shared" si="1081"/>
        <v>0.41499999999999992</v>
      </c>
      <c r="Y257" s="75">
        <v>5.226</v>
      </c>
      <c r="Z257" s="917" t="str">
        <f t="shared" si="1082"/>
        <v>CPS-32193r1</v>
      </c>
      <c r="AA257" s="82"/>
      <c r="AB257" s="75"/>
      <c r="AC257" s="75"/>
      <c r="AD257" s="166"/>
      <c r="AE257" s="75">
        <v>1.2370000000000001</v>
      </c>
      <c r="AF257" s="82">
        <v>1</v>
      </c>
      <c r="AG257" s="82">
        <v>2</v>
      </c>
      <c r="AH257" s="82">
        <v>1</v>
      </c>
      <c r="AI257" s="82">
        <v>1.0000000000218279</v>
      </c>
      <c r="AJ257" s="166">
        <v>1.2371100000000002</v>
      </c>
      <c r="AK257" s="82" t="str">
        <v>Base</v>
      </c>
      <c r="AL257" s="162">
        <v>-18.75</v>
      </c>
      <c r="AM257" s="162">
        <v>-7.0763183047111937</v>
      </c>
      <c r="AN257" s="162">
        <v>-3.9258606251922612</v>
      </c>
      <c r="AO257" s="162">
        <v>84.909987740514595</v>
      </c>
      <c r="AP257" s="162">
        <v>0</v>
      </c>
      <c r="AQ257" s="162">
        <v>0</v>
      </c>
      <c r="AR257" s="710" t="str">
        <v>32193r1.par</v>
      </c>
      <c r="AV257" s="82" t="str">
        <v>255,188,121</v>
      </c>
      <c r="AW257" s="947">
        <v>0</v>
      </c>
      <c r="AX257" s="947">
        <v>84.909987740514595</v>
      </c>
      <c r="AY257" s="947">
        <v>0</v>
      </c>
    </row>
    <row r="258" spans="2:51" x14ac:dyDescent="0.25">
      <c r="B258" s="650">
        <v>-6.1181020019985475</v>
      </c>
      <c r="C258" s="651">
        <v>-2.5520967305651379</v>
      </c>
      <c r="D258" s="652">
        <v>-2.0034911108785551</v>
      </c>
      <c r="E258" s="653">
        <v>-0.83651957594138415</v>
      </c>
      <c r="F258" s="651">
        <v>-0.3489446357900477</v>
      </c>
      <c r="G258" s="654">
        <v>0.4224602232402454</v>
      </c>
      <c r="H258" s="653">
        <v>0.25700000000000001</v>
      </c>
      <c r="I258" s="920">
        <v>0.41499999999999992</v>
      </c>
      <c r="J258" s="924">
        <v>5.2290000000000001</v>
      </c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>CPS-32193r1</v>
      </c>
      <c r="L258" s="940" t="s">
        <v>421</v>
      </c>
      <c r="M258" s="981"/>
      <c r="N258" s="941"/>
      <c r="O258" s="942"/>
      <c r="Q258" s="162">
        <f t="shared" si="1075"/>
        <v>-6.1181020019985475</v>
      </c>
      <c r="R258" s="162">
        <f t="shared" si="1076"/>
        <v>-2.5520967305651379</v>
      </c>
      <c r="S258" s="162">
        <f t="shared" si="1077"/>
        <v>-2.0034911108785551</v>
      </c>
      <c r="T258" s="162">
        <f t="shared" si="1078"/>
        <v>-0.83651957594138415</v>
      </c>
      <c r="U258" s="162">
        <f t="shared" si="1079"/>
        <v>-0.3489446357900477</v>
      </c>
      <c r="V258" s="162">
        <f t="shared" si="1080"/>
        <v>0.4224602232402454</v>
      </c>
      <c r="W258" s="162">
        <f>IFERROR(IF(ISNUMBER(MATCH($Z258,Settings!$AK$28:$AK$36,0)),INDEX(Settings!$AO$14:$AO$36,MATCH($Z258,Settings!$AK$14:$AK$36,0))/2,INDEX(Settings!$AM$14:$AM$36,MATCH($Z258,Settings!$AK$14:$AK$36,0))/2),"")</f>
        <v>0.255</v>
      </c>
      <c r="X258" s="162">
        <f t="shared" si="1081"/>
        <v>0.41499999999999992</v>
      </c>
      <c r="Y258" s="75">
        <v>5.2290000000000001</v>
      </c>
      <c r="Z258" s="917" t="str">
        <f t="shared" si="1082"/>
        <v>CPS-32193r1</v>
      </c>
      <c r="AA258" s="82"/>
      <c r="AB258" s="75"/>
      <c r="AC258" s="75"/>
      <c r="AD258" s="166"/>
      <c r="AE258" s="75">
        <v>1.234</v>
      </c>
      <c r="AF258" s="82">
        <v>1</v>
      </c>
      <c r="AG258" s="82">
        <v>2</v>
      </c>
      <c r="AH258" s="82">
        <v>1</v>
      </c>
      <c r="AI258" s="82">
        <v>1.000000000003638</v>
      </c>
      <c r="AJ258" s="166">
        <v>1.23411</v>
      </c>
      <c r="AK258" s="82" t="str">
        <v>Base</v>
      </c>
      <c r="AL258" s="162">
        <v>-18.75</v>
      </c>
      <c r="AM258" s="162">
        <v>-6.9745354852076851</v>
      </c>
      <c r="AN258" s="162">
        <v>-3.1813929147177258</v>
      </c>
      <c r="AO258" s="162">
        <v>79.239988559161176</v>
      </c>
      <c r="AP258" s="162">
        <v>0</v>
      </c>
      <c r="AQ258" s="162">
        <v>0</v>
      </c>
      <c r="AR258" s="710" t="str">
        <v>32193r1.par</v>
      </c>
      <c r="AV258" s="82" t="str">
        <v>255,188,121</v>
      </c>
      <c r="AW258" s="947">
        <v>0</v>
      </c>
      <c r="AX258" s="947">
        <v>79.239988559161176</v>
      </c>
      <c r="AY258" s="947">
        <v>0</v>
      </c>
    </row>
    <row r="259" spans="2:51" x14ac:dyDescent="0.25">
      <c r="B259" s="650">
        <v>-6.3348749603264167</v>
      </c>
      <c r="C259" s="651">
        <v>-2.6484099198517166</v>
      </c>
      <c r="D259" s="652">
        <v>-2.7091111116030993</v>
      </c>
      <c r="E259" s="653">
        <v>-0.89331018013477681</v>
      </c>
      <c r="F259" s="651">
        <v>-0.37346459991556974</v>
      </c>
      <c r="G259" s="654">
        <v>0.2500422257889176</v>
      </c>
      <c r="H259" s="653">
        <v>0.25700000000000001</v>
      </c>
      <c r="I259" s="920">
        <v>0.41499999999999992</v>
      </c>
      <c r="J259" s="924">
        <v>5.2320000000000002</v>
      </c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>CPS-32193r1</v>
      </c>
      <c r="L259" s="940" t="s">
        <v>421</v>
      </c>
      <c r="M259" s="981"/>
      <c r="N259" s="941"/>
      <c r="O259" s="942"/>
      <c r="Q259" s="162">
        <f t="shared" si="1075"/>
        <v>-6.3348749603264167</v>
      </c>
      <c r="R259" s="162">
        <f t="shared" si="1076"/>
        <v>-2.6484099198517166</v>
      </c>
      <c r="S259" s="162">
        <f t="shared" si="1077"/>
        <v>-2.7091111116030993</v>
      </c>
      <c r="T259" s="162">
        <f t="shared" si="1078"/>
        <v>-0.89331018013477681</v>
      </c>
      <c r="U259" s="162">
        <f t="shared" si="1079"/>
        <v>-0.37346459991556974</v>
      </c>
      <c r="V259" s="162">
        <f t="shared" si="1080"/>
        <v>0.2500422257889176</v>
      </c>
      <c r="W259" s="162">
        <f>IFERROR(IF(ISNUMBER(MATCH($Z259,Settings!$AK$28:$AK$36,0)),INDEX(Settings!$AO$14:$AO$36,MATCH($Z259,Settings!$AK$14:$AK$36,0))/2,INDEX(Settings!$AM$14:$AM$36,MATCH($Z259,Settings!$AK$14:$AK$36,0))/2),"")</f>
        <v>0.255</v>
      </c>
      <c r="X259" s="162">
        <f t="shared" si="1081"/>
        <v>0.41499999999999992</v>
      </c>
      <c r="Y259" s="75">
        <v>5.2320000000000002</v>
      </c>
      <c r="Z259" s="917" t="str">
        <f t="shared" si="1082"/>
        <v>CPS-32193r1</v>
      </c>
      <c r="AA259" s="82"/>
      <c r="AB259" s="75"/>
      <c r="AC259" s="75"/>
      <c r="AD259" s="166"/>
      <c r="AE259" s="75">
        <v>1.2310000000000001</v>
      </c>
      <c r="AF259" s="82">
        <v>1</v>
      </c>
      <c r="AG259" s="82">
        <v>2</v>
      </c>
      <c r="AH259" s="82">
        <v>1</v>
      </c>
      <c r="AI259" s="82">
        <v>1.0000000000218279</v>
      </c>
      <c r="AJ259" s="166">
        <v>1.2311100000000001</v>
      </c>
      <c r="AK259" s="82" t="str">
        <v>Base</v>
      </c>
      <c r="AL259" s="162">
        <v>-18.75</v>
      </c>
      <c r="AM259" s="162">
        <v>-6.8042623594709379</v>
      </c>
      <c r="AN259" s="162">
        <v>-2.4639028161850423</v>
      </c>
      <c r="AO259" s="162">
        <v>73.979989318611075</v>
      </c>
      <c r="AP259" s="162">
        <v>0</v>
      </c>
      <c r="AQ259" s="162">
        <v>0</v>
      </c>
      <c r="AR259" s="710" t="str">
        <v>32193r1.par</v>
      </c>
      <c r="AV259" s="82" t="str">
        <v>255,188,121</v>
      </c>
      <c r="AW259" s="947">
        <v>0</v>
      </c>
      <c r="AX259" s="947">
        <v>73.979989318611075</v>
      </c>
      <c r="AY259" s="947">
        <v>0</v>
      </c>
    </row>
    <row r="260" spans="2:51" x14ac:dyDescent="0.25">
      <c r="B260" s="650">
        <v>-6.4730448520767094</v>
      </c>
      <c r="C260" s="651">
        <v>-2.707602336649479</v>
      </c>
      <c r="D260" s="652">
        <v>-3.4377399311815706</v>
      </c>
      <c r="E260" s="653">
        <v>-0.91153656395552085</v>
      </c>
      <c r="F260" s="651">
        <v>-0.38128555987304619</v>
      </c>
      <c r="G260" s="654">
        <v>0.15402082458051086</v>
      </c>
      <c r="H260" s="653">
        <v>0.25700000000000001</v>
      </c>
      <c r="I260" s="920">
        <v>0.41499999999999992</v>
      </c>
      <c r="J260" s="924">
        <v>5.2350000000000003</v>
      </c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>CPS-32193r1</v>
      </c>
      <c r="L260" s="940" t="s">
        <v>421</v>
      </c>
      <c r="M260" s="981"/>
      <c r="N260" s="941"/>
      <c r="O260" s="942"/>
      <c r="Q260" s="162">
        <f t="shared" si="1075"/>
        <v>-6.4730448520767094</v>
      </c>
      <c r="R260" s="162">
        <f t="shared" si="1076"/>
        <v>-2.707602336649479</v>
      </c>
      <c r="S260" s="162">
        <f t="shared" si="1077"/>
        <v>-3.4377399311815706</v>
      </c>
      <c r="T260" s="162">
        <f t="shared" si="1078"/>
        <v>-0.91153656395552085</v>
      </c>
      <c r="U260" s="162">
        <f t="shared" si="1079"/>
        <v>-0.38128555987304619</v>
      </c>
      <c r="V260" s="162">
        <f t="shared" si="1080"/>
        <v>0.15402082458051086</v>
      </c>
      <c r="W260" s="162">
        <f>IFERROR(IF(ISNUMBER(MATCH($Z260,Settings!$AK$28:$AK$36,0)),INDEX(Settings!$AO$14:$AO$36,MATCH($Z260,Settings!$AK$14:$AK$36,0))/2,INDEX(Settings!$AM$14:$AM$36,MATCH($Z260,Settings!$AK$14:$AK$36,0))/2),"")</f>
        <v>0.255</v>
      </c>
      <c r="X260" s="162">
        <f t="shared" si="1081"/>
        <v>0.41499999999999992</v>
      </c>
      <c r="Y260" s="75">
        <v>5.2350000000000003</v>
      </c>
      <c r="Z260" s="917" t="str">
        <f t="shared" si="1082"/>
        <v>CPS-32193r1</v>
      </c>
      <c r="AA260" s="82"/>
      <c r="AB260" s="75"/>
      <c r="AC260" s="75"/>
      <c r="AD260" s="166"/>
      <c r="AE260" s="75">
        <v>1.228</v>
      </c>
      <c r="AF260" s="82">
        <v>1</v>
      </c>
      <c r="AG260" s="82">
        <v>2</v>
      </c>
      <c r="AH260" s="82">
        <v>1</v>
      </c>
      <c r="AI260" s="82">
        <v>1.000000000003638</v>
      </c>
      <c r="AJ260" s="166">
        <v>1.22811</v>
      </c>
      <c r="AK260" s="82" t="str">
        <v>Base</v>
      </c>
      <c r="AL260" s="162">
        <v>-18.75</v>
      </c>
      <c r="AM260" s="162">
        <v>-6.514929708695929</v>
      </c>
      <c r="AN260" s="162">
        <v>-1.771964550993417</v>
      </c>
      <c r="AO260" s="162">
        <v>60.52999126055056</v>
      </c>
      <c r="AP260" s="162">
        <v>0</v>
      </c>
      <c r="AQ260" s="162">
        <v>0</v>
      </c>
      <c r="AR260" s="710" t="str">
        <v>32193r1.par</v>
      </c>
      <c r="AV260" s="82" t="str">
        <v>255,188,121</v>
      </c>
      <c r="AW260" s="947">
        <v>0</v>
      </c>
      <c r="AX260" s="947">
        <v>60.52999126055056</v>
      </c>
      <c r="AY260" s="947">
        <v>0</v>
      </c>
    </row>
    <row r="261" spans="2:51" x14ac:dyDescent="0.25">
      <c r="B261" s="650">
        <v>-2.6528167861951797</v>
      </c>
      <c r="C261" s="651">
        <v>1.5316050204164218</v>
      </c>
      <c r="D261" s="652">
        <v>-0.26445040022440713</v>
      </c>
      <c r="E261" s="653">
        <v>-0.48139823841079377</v>
      </c>
      <c r="F261" s="651">
        <v>-0.83741968072856821</v>
      </c>
      <c r="G261" s="654">
        <v>0.25881270135649748</v>
      </c>
      <c r="H261" s="653">
        <v>0.314</v>
      </c>
      <c r="I261" s="920">
        <v>0.52</v>
      </c>
      <c r="J261" s="924">
        <v>6.1120000000000001</v>
      </c>
      <c r="K261" s="790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>1613</v>
      </c>
      <c r="L261" s="940" t="s">
        <v>419</v>
      </c>
      <c r="M261" s="981"/>
      <c r="N261" s="941"/>
      <c r="O261" s="942"/>
      <c r="Q261" s="162">
        <f t="shared" si="1075"/>
        <v>-2.6528167861951797</v>
      </c>
      <c r="R261" s="162">
        <f t="shared" si="1076"/>
        <v>1.5316050204164218</v>
      </c>
      <c r="S261" s="162">
        <f t="shared" si="1077"/>
        <v>-0.26445040022440713</v>
      </c>
      <c r="T261" s="162">
        <f t="shared" si="1078"/>
        <v>-0.48139823841079377</v>
      </c>
      <c r="U261" s="162">
        <f t="shared" si="1079"/>
        <v>-0.83741968072856821</v>
      </c>
      <c r="V261" s="162">
        <f t="shared" si="1080"/>
        <v>0.25881270135649748</v>
      </c>
      <c r="W261" s="162">
        <f>IFERROR(IF(ISNUMBER(MATCH($Z261,Settings!$AK$28:$AK$36,0)),INDEX(Settings!$AO$14:$AO$36,MATCH($Z261,Settings!$AK$14:$AK$36,0))/2,INDEX(Settings!$AM$14:$AM$36,MATCH($Z261,Settings!$AK$14:$AK$36,0))/2),"")</f>
        <v>0.3125</v>
      </c>
      <c r="X261" s="162">
        <f t="shared" si="1081"/>
        <v>0.52</v>
      </c>
      <c r="Y261" s="75">
        <v>6.1120000000000001</v>
      </c>
      <c r="Z261" s="917">
        <f t="shared" si="1082"/>
        <v>1613</v>
      </c>
      <c r="AA261" s="82"/>
      <c r="AB261" s="75"/>
      <c r="AC261" s="75"/>
      <c r="AD261" s="166"/>
      <c r="AE261" s="75">
        <v>1.2250000000000001</v>
      </c>
      <c r="AF261" s="82">
        <v>1</v>
      </c>
      <c r="AG261" s="82">
        <v>2</v>
      </c>
      <c r="AH261" s="82">
        <v>1</v>
      </c>
      <c r="AI261" s="82">
        <v>1.0000000000218279</v>
      </c>
      <c r="AJ261" s="166">
        <v>1.2251100000000001</v>
      </c>
      <c r="AK261" s="82" t="str">
        <v>Base</v>
      </c>
      <c r="AL261" s="162">
        <v>-18.75</v>
      </c>
      <c r="AM261" s="162">
        <v>-6.0655624547724605</v>
      </c>
      <c r="AN261" s="162">
        <v>-1.1595331031961471</v>
      </c>
      <c r="AO261" s="162">
        <v>46.899993228478813</v>
      </c>
      <c r="AP261" s="162">
        <v>0</v>
      </c>
      <c r="AQ261" s="162">
        <v>0</v>
      </c>
      <c r="AR261" s="710" t="str">
        <v>32193r1.par</v>
      </c>
      <c r="AV261" s="82" t="str">
        <v>255,188,121</v>
      </c>
      <c r="AW261" s="947">
        <v>0</v>
      </c>
      <c r="AX261" s="947">
        <v>46.899993228478813</v>
      </c>
      <c r="AY261" s="947">
        <v>0</v>
      </c>
    </row>
    <row r="262" spans="2:51" x14ac:dyDescent="0.25">
      <c r="B262" s="650">
        <v>-3.2947606671581351</v>
      </c>
      <c r="C262" s="651">
        <v>1.9027300266246372</v>
      </c>
      <c r="D262" s="652">
        <v>-0.1954501921197796</v>
      </c>
      <c r="E262" s="653">
        <v>-0.52670361587989478</v>
      </c>
      <c r="F262" s="651">
        <v>-0.81020591566611322</v>
      </c>
      <c r="G262" s="654">
        <v>0.25719579164263073</v>
      </c>
      <c r="H262" s="653">
        <v>0.314</v>
      </c>
      <c r="I262" s="920">
        <v>0.52</v>
      </c>
      <c r="J262" s="924">
        <v>6.1150000000000002</v>
      </c>
      <c r="K262" s="790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>1613</v>
      </c>
      <c r="L262" s="940" t="s">
        <v>419</v>
      </c>
      <c r="M262" s="981"/>
      <c r="N262" s="941"/>
      <c r="O262" s="942"/>
      <c r="Q262" s="162">
        <f t="shared" si="1075"/>
        <v>-3.2947606671581351</v>
      </c>
      <c r="R262" s="162">
        <f t="shared" si="1076"/>
        <v>1.9027300266246372</v>
      </c>
      <c r="S262" s="162">
        <f t="shared" si="1077"/>
        <v>-0.1954501921197796</v>
      </c>
      <c r="T262" s="162">
        <f t="shared" si="1078"/>
        <v>-0.52670361587989478</v>
      </c>
      <c r="U262" s="162">
        <f t="shared" si="1079"/>
        <v>-0.81020591566611322</v>
      </c>
      <c r="V262" s="162">
        <f t="shared" si="1080"/>
        <v>0.25719579164263073</v>
      </c>
      <c r="W262" s="162">
        <f>IFERROR(IF(ISNUMBER(MATCH($Z262,Settings!$AK$28:$AK$36,0)),INDEX(Settings!$AO$14:$AO$36,MATCH($Z262,Settings!$AK$14:$AK$36,0))/2,INDEX(Settings!$AM$14:$AM$36,MATCH($Z262,Settings!$AK$14:$AK$36,0))/2),"")</f>
        <v>0.3125</v>
      </c>
      <c r="X262" s="162">
        <f t="shared" si="1081"/>
        <v>0.52</v>
      </c>
      <c r="Y262" s="75">
        <v>6.1150000000000002</v>
      </c>
      <c r="Z262" s="917">
        <f t="shared" si="1082"/>
        <v>1613</v>
      </c>
      <c r="AA262" s="82"/>
      <c r="AB262" s="75"/>
      <c r="AC262" s="75"/>
      <c r="AD262" s="166"/>
      <c r="AE262" s="75">
        <v>1.222</v>
      </c>
      <c r="AF262" s="82">
        <v>1</v>
      </c>
      <c r="AG262" s="82">
        <v>2</v>
      </c>
      <c r="AH262" s="82">
        <v>1</v>
      </c>
      <c r="AI262" s="82">
        <v>1.000000000003638</v>
      </c>
      <c r="AJ262" s="166">
        <v>1.22211</v>
      </c>
      <c r="AK262" s="82" t="str">
        <v>Base</v>
      </c>
      <c r="AL262" s="162">
        <v>-18.75</v>
      </c>
      <c r="AM262" s="162">
        <v>-5.4860015733948257</v>
      </c>
      <c r="AN262" s="162">
        <v>-0.66883499269740354</v>
      </c>
      <c r="AO262" s="162">
        <v>33.279995194963199</v>
      </c>
      <c r="AP262" s="162">
        <v>0</v>
      </c>
      <c r="AQ262" s="162">
        <v>0</v>
      </c>
      <c r="AR262" s="710" t="str">
        <v>32193r1.par</v>
      </c>
      <c r="AV262" s="82" t="str">
        <v>255,188,121</v>
      </c>
      <c r="AW262" s="947">
        <v>0</v>
      </c>
      <c r="AX262" s="947">
        <v>33.279995194963199</v>
      </c>
      <c r="AY262" s="947">
        <v>0</v>
      </c>
    </row>
    <row r="263" spans="2:51" x14ac:dyDescent="0.25">
      <c r="B263" s="650">
        <v>-3.9323444268410213</v>
      </c>
      <c r="C263" s="651">
        <v>2.2976840053359084</v>
      </c>
      <c r="D263" s="652">
        <v>-0.30215051392795023</v>
      </c>
      <c r="E263" s="653">
        <v>-0.57696472030083967</v>
      </c>
      <c r="F263" s="651">
        <v>-0.77786013146965238</v>
      </c>
      <c r="G263" s="654">
        <v>0.24908899493592435</v>
      </c>
      <c r="H263" s="653">
        <v>0.314</v>
      </c>
      <c r="I263" s="920">
        <v>0.52</v>
      </c>
      <c r="J263" s="924">
        <v>6.1180000000000003</v>
      </c>
      <c r="K263" s="790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>1613</v>
      </c>
      <c r="L263" s="940" t="s">
        <v>419</v>
      </c>
      <c r="M263" s="981"/>
      <c r="N263" s="941"/>
      <c r="O263" s="942"/>
      <c r="Q263" s="162">
        <f t="shared" si="1075"/>
        <v>-3.9323444268410213</v>
      </c>
      <c r="R263" s="162">
        <f t="shared" si="1076"/>
        <v>2.2976840053359084</v>
      </c>
      <c r="S263" s="162">
        <f t="shared" si="1077"/>
        <v>-0.30215051392795023</v>
      </c>
      <c r="T263" s="162">
        <f t="shared" si="1078"/>
        <v>-0.57696472030083967</v>
      </c>
      <c r="U263" s="162">
        <f t="shared" si="1079"/>
        <v>-0.77786013146965238</v>
      </c>
      <c r="V263" s="162">
        <f t="shared" si="1080"/>
        <v>0.24908899493592435</v>
      </c>
      <c r="W263" s="162">
        <f>IFERROR(IF(ISNUMBER(MATCH($Z263,Settings!$AK$28:$AK$36,0)),INDEX(Settings!$AO$14:$AO$36,MATCH($Z263,Settings!$AK$14:$AK$36,0))/2,INDEX(Settings!$AM$14:$AM$36,MATCH($Z263,Settings!$AK$14:$AK$36,0))/2),"")</f>
        <v>0.3125</v>
      </c>
      <c r="X263" s="162">
        <f t="shared" si="1081"/>
        <v>0.52</v>
      </c>
      <c r="Y263" s="75">
        <v>6.1180000000000003</v>
      </c>
      <c r="Z263" s="917">
        <f t="shared" si="1082"/>
        <v>1613</v>
      </c>
      <c r="AA263" s="82"/>
      <c r="AB263" s="75"/>
      <c r="AC263" s="75"/>
      <c r="AD263" s="166"/>
      <c r="AE263" s="75">
        <v>1.2190000000000001</v>
      </c>
      <c r="AF263" s="82">
        <v>1</v>
      </c>
      <c r="AG263" s="82">
        <v>2</v>
      </c>
      <c r="AH263" s="82">
        <v>1</v>
      </c>
      <c r="AI263" s="82">
        <v>1.0000000000218279</v>
      </c>
      <c r="AJ263" s="166">
        <v>1.2191100000000001</v>
      </c>
      <c r="AK263" s="82" t="str">
        <v>Base</v>
      </c>
      <c r="AL263" s="162">
        <v>-18.75</v>
      </c>
      <c r="AM263" s="162">
        <v>-4.8061705690502698</v>
      </c>
      <c r="AN263" s="162">
        <v>-0.32976936239691179</v>
      </c>
      <c r="AO263" s="162">
        <v>19.649997162891438</v>
      </c>
      <c r="AP263" s="162">
        <v>0</v>
      </c>
      <c r="AQ263" s="162">
        <v>0</v>
      </c>
      <c r="AR263" s="710" t="str">
        <v>32193r1.par</v>
      </c>
      <c r="AV263" s="82" t="str">
        <v>255,188,121</v>
      </c>
      <c r="AW263" s="947">
        <v>0</v>
      </c>
      <c r="AX263" s="947">
        <v>19.649997162891438</v>
      </c>
      <c r="AY263" s="947">
        <v>0</v>
      </c>
    </row>
    <row r="264" spans="2:51" x14ac:dyDescent="0.25">
      <c r="B264" s="650">
        <v>-4.5158807273167954</v>
      </c>
      <c r="C264" s="651">
        <v>2.6973394604151517</v>
      </c>
      <c r="D264" s="652">
        <v>-0.58565136896652858</v>
      </c>
      <c r="E264" s="653">
        <v>-0.63118090009161532</v>
      </c>
      <c r="F264" s="651">
        <v>-0.73983216430292398</v>
      </c>
      <c r="G264" s="654">
        <v>0.23293569933007249</v>
      </c>
      <c r="H264" s="653">
        <v>0.314</v>
      </c>
      <c r="I264" s="920">
        <v>0.52</v>
      </c>
      <c r="J264" s="924">
        <v>6.1210000000000004</v>
      </c>
      <c r="K264" s="790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>1613</v>
      </c>
      <c r="L264" s="940" t="s">
        <v>419</v>
      </c>
      <c r="M264" s="981"/>
      <c r="N264" s="941"/>
      <c r="O264" s="942"/>
      <c r="Q264" s="162">
        <f t="shared" si="1075"/>
        <v>-4.5158807273167954</v>
      </c>
      <c r="R264" s="162">
        <f t="shared" si="1076"/>
        <v>2.6973394604151517</v>
      </c>
      <c r="S264" s="162">
        <f t="shared" si="1077"/>
        <v>-0.58565136896652858</v>
      </c>
      <c r="T264" s="162">
        <f t="shared" si="1078"/>
        <v>-0.63118090009161532</v>
      </c>
      <c r="U264" s="162">
        <f t="shared" si="1079"/>
        <v>-0.73983216430292398</v>
      </c>
      <c r="V264" s="162">
        <f t="shared" si="1080"/>
        <v>0.23293569933007249</v>
      </c>
      <c r="W264" s="162">
        <f>IFERROR(IF(ISNUMBER(MATCH($Z264,Settings!$AK$28:$AK$36,0)),INDEX(Settings!$AO$14:$AO$36,MATCH($Z264,Settings!$AK$14:$AK$36,0))/2,INDEX(Settings!$AM$14:$AM$36,MATCH($Z264,Settings!$AK$14:$AK$36,0))/2),"")</f>
        <v>0.3125</v>
      </c>
      <c r="X264" s="162">
        <f t="shared" si="1081"/>
        <v>0.52</v>
      </c>
      <c r="Y264" s="75">
        <v>6.1210000000000004</v>
      </c>
      <c r="Z264" s="917">
        <f t="shared" si="1082"/>
        <v>1613</v>
      </c>
      <c r="AA264" s="82"/>
      <c r="AB264" s="75"/>
      <c r="AC264" s="75"/>
      <c r="AD264" s="166"/>
      <c r="AE264" s="75">
        <v>1.216</v>
      </c>
      <c r="AF264" s="82">
        <v>1</v>
      </c>
      <c r="AG264" s="82">
        <v>2</v>
      </c>
      <c r="AH264" s="82">
        <v>1</v>
      </c>
      <c r="AI264" s="82">
        <v>1.000000000003638</v>
      </c>
      <c r="AJ264" s="166">
        <v>1.21611</v>
      </c>
      <c r="AK264" s="82" t="str">
        <v>Base</v>
      </c>
      <c r="AL264" s="162">
        <v>-18.75</v>
      </c>
      <c r="AM264" s="162">
        <v>-4.0538913077739727</v>
      </c>
      <c r="AN264" s="162">
        <v>-0.15960213927652134</v>
      </c>
      <c r="AO264" s="162">
        <v>5.809999161139908</v>
      </c>
      <c r="AP264" s="162">
        <v>0</v>
      </c>
      <c r="AQ264" s="162">
        <v>0</v>
      </c>
      <c r="AR264" s="710" t="str">
        <v>32193r1.par</v>
      </c>
      <c r="AV264" s="82" t="str">
        <v>255,188,121</v>
      </c>
      <c r="AW264" s="947">
        <v>0</v>
      </c>
      <c r="AX264" s="947">
        <v>5.809999161139908</v>
      </c>
      <c r="AY264" s="947">
        <v>0</v>
      </c>
    </row>
    <row r="265" spans="2:51" x14ac:dyDescent="0.25">
      <c r="B265" s="650">
        <v>-5.0129539572163626</v>
      </c>
      <c r="C265" s="651">
        <v>3.0692359696857419</v>
      </c>
      <c r="D265" s="652">
        <v>-1.0231526884705078</v>
      </c>
      <c r="E265" s="653">
        <v>-0.68915475576984297</v>
      </c>
      <c r="F265" s="651">
        <v>-0.69258062557955258</v>
      </c>
      <c r="G265" s="654">
        <v>0.21306759413773824</v>
      </c>
      <c r="H265" s="653">
        <v>0.314</v>
      </c>
      <c r="I265" s="920">
        <v>0.52</v>
      </c>
      <c r="J265" s="924">
        <v>6.1239999999999997</v>
      </c>
      <c r="K265" s="790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>1613</v>
      </c>
      <c r="L265" s="940" t="s">
        <v>419</v>
      </c>
      <c r="M265" s="981"/>
      <c r="N265" s="941"/>
      <c r="O265" s="942"/>
      <c r="Q265" s="162">
        <f t="shared" si="1075"/>
        <v>-5.0129539572163626</v>
      </c>
      <c r="R265" s="162">
        <f t="shared" si="1076"/>
        <v>3.0692359696857419</v>
      </c>
      <c r="S265" s="162">
        <f t="shared" si="1077"/>
        <v>-1.0231526884705078</v>
      </c>
      <c r="T265" s="162">
        <f t="shared" si="1078"/>
        <v>-0.68915475576984297</v>
      </c>
      <c r="U265" s="162">
        <f t="shared" si="1079"/>
        <v>-0.69258062557955258</v>
      </c>
      <c r="V265" s="162">
        <f t="shared" si="1080"/>
        <v>0.21306759413773824</v>
      </c>
      <c r="W265" s="162">
        <f>IFERROR(IF(ISNUMBER(MATCH($Z265,Settings!$AK$28:$AK$36,0)),INDEX(Settings!$AO$14:$AO$36,MATCH($Z265,Settings!$AK$14:$AK$36,0))/2,INDEX(Settings!$AM$14:$AM$36,MATCH($Z265,Settings!$AK$14:$AK$36,0))/2),"")</f>
        <v>0.3125</v>
      </c>
      <c r="X265" s="162">
        <f t="shared" si="1081"/>
        <v>0.52</v>
      </c>
      <c r="Y265" s="75">
        <v>6.1239999999999997</v>
      </c>
      <c r="Z265" s="917">
        <f t="shared" si="1082"/>
        <v>1613</v>
      </c>
      <c r="AA265" s="82"/>
      <c r="AB265" s="75"/>
      <c r="AC265" s="75"/>
      <c r="AD265" s="166"/>
      <c r="AE265" s="75">
        <v>1.1399999999999999</v>
      </c>
      <c r="AF265" s="82">
        <v>1</v>
      </c>
      <c r="AG265" s="82">
        <v>1</v>
      </c>
      <c r="AH265" s="82">
        <v>1</v>
      </c>
      <c r="AI265" s="82">
        <v>1.000000000003638</v>
      </c>
      <c r="AJ265" s="166">
        <v>1.14011</v>
      </c>
      <c r="AK265" s="82" t="str">
        <v>Base</v>
      </c>
      <c r="AL265" s="162">
        <v>-18</v>
      </c>
      <c r="AM265" s="162">
        <v>-7.1349215217547588</v>
      </c>
      <c r="AN265" s="162">
        <v>-4.6780627845652223</v>
      </c>
      <c r="AO265" s="162">
        <v>87.999987296345381</v>
      </c>
      <c r="AP265" s="162">
        <v>-32.399995357848091</v>
      </c>
      <c r="AQ265" s="162">
        <v>0</v>
      </c>
      <c r="AR265" s="710" t="str">
        <v>1613.par</v>
      </c>
      <c r="AV265" s="82" t="str">
        <v>255,127,0</v>
      </c>
      <c r="AW265" s="947">
        <v>0</v>
      </c>
      <c r="AX265" s="947">
        <v>87.999987296345381</v>
      </c>
      <c r="AY265" s="947">
        <v>0</v>
      </c>
    </row>
    <row r="266" spans="2:51" x14ac:dyDescent="0.25">
      <c r="B266" s="650">
        <v>-5.4064239873067219</v>
      </c>
      <c r="C266" s="651">
        <v>3.3860032158807805</v>
      </c>
      <c r="D266" s="652">
        <v>-1.5920544042780838</v>
      </c>
      <c r="E266" s="653">
        <v>-0.75952589564283579</v>
      </c>
      <c r="F266" s="651">
        <v>-0.62138875122278303</v>
      </c>
      <c r="G266" s="654">
        <v>0.1923445702424123</v>
      </c>
      <c r="H266" s="653">
        <v>0.314</v>
      </c>
      <c r="I266" s="920">
        <v>0.52</v>
      </c>
      <c r="J266" s="924">
        <v>6.1269999999999998</v>
      </c>
      <c r="K266" s="790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>1613</v>
      </c>
      <c r="L266" s="940" t="s">
        <v>419</v>
      </c>
      <c r="M266" s="981"/>
      <c r="N266" s="941"/>
      <c r="O266" s="942"/>
      <c r="Q266" s="162">
        <f t="shared" si="1075"/>
        <v>-5.4064239873067219</v>
      </c>
      <c r="R266" s="162">
        <f t="shared" si="1076"/>
        <v>3.3860032158807805</v>
      </c>
      <c r="S266" s="162">
        <f t="shared" si="1077"/>
        <v>-1.5920544042780838</v>
      </c>
      <c r="T266" s="162">
        <f t="shared" si="1078"/>
        <v>-0.75952589564283579</v>
      </c>
      <c r="U266" s="162">
        <f t="shared" si="1079"/>
        <v>-0.62138875122278303</v>
      </c>
      <c r="V266" s="162">
        <f t="shared" si="1080"/>
        <v>0.1923445702424123</v>
      </c>
      <c r="W266" s="162">
        <f>IFERROR(IF(ISNUMBER(MATCH($Z266,Settings!$AK$28:$AK$36,0)),INDEX(Settings!$AO$14:$AO$36,MATCH($Z266,Settings!$AK$14:$AK$36,0))/2,INDEX(Settings!$AM$14:$AM$36,MATCH($Z266,Settings!$AK$14:$AK$36,0))/2),"")</f>
        <v>0.3125</v>
      </c>
      <c r="X266" s="162">
        <f t="shared" si="1081"/>
        <v>0.52</v>
      </c>
      <c r="Y266" s="75">
        <v>6.1269999999999998</v>
      </c>
      <c r="Z266" s="917">
        <f t="shared" si="1082"/>
        <v>1613</v>
      </c>
      <c r="AA266" s="82"/>
      <c r="AB266" s="75"/>
      <c r="AC266" s="75"/>
      <c r="AD266" s="166"/>
      <c r="AE266" s="75">
        <v>1.137</v>
      </c>
      <c r="AF266" s="82">
        <v>1</v>
      </c>
      <c r="AG266" s="82">
        <v>1</v>
      </c>
      <c r="AH266" s="82">
        <v>1</v>
      </c>
      <c r="AI266" s="82">
        <v>1.000000000003638</v>
      </c>
      <c r="AJ266" s="166">
        <v>1.1371100000000001</v>
      </c>
      <c r="AK266" s="82" t="str">
        <v>Base</v>
      </c>
      <c r="AL266" s="162">
        <v>-18</v>
      </c>
      <c r="AM266" s="162">
        <v>-7.0993214168333942</v>
      </c>
      <c r="AN266" s="162">
        <v>-3.9179936168456702</v>
      </c>
      <c r="AO266" s="162">
        <v>85.999987591262339</v>
      </c>
      <c r="AP266" s="162">
        <v>-31.199995565640261</v>
      </c>
      <c r="AQ266" s="162">
        <v>0</v>
      </c>
      <c r="AR266" s="710" t="str">
        <v>1613.par</v>
      </c>
      <c r="AV266" s="82" t="str">
        <v>255,127,0</v>
      </c>
      <c r="AW266" s="947">
        <v>0</v>
      </c>
      <c r="AX266" s="947">
        <v>85.999987591262339</v>
      </c>
      <c r="AY266" s="947">
        <v>0</v>
      </c>
    </row>
    <row r="267" spans="2:51" x14ac:dyDescent="0.25">
      <c r="B267" s="650">
        <v>-5.6763250107300038</v>
      </c>
      <c r="C267" s="651">
        <v>3.6155922862747989</v>
      </c>
      <c r="D267" s="652">
        <v>-2.2586564147497463</v>
      </c>
      <c r="E267" s="653">
        <v>-0.8205531756331732</v>
      </c>
      <c r="F267" s="651">
        <v>-0.55362849987237917</v>
      </c>
      <c r="G267" s="654">
        <v>0.14208437664772949</v>
      </c>
      <c r="H267" s="653">
        <v>0.314</v>
      </c>
      <c r="I267" s="920">
        <v>0.52</v>
      </c>
      <c r="J267" s="924">
        <v>6.13</v>
      </c>
      <c r="K267" s="790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>1613</v>
      </c>
      <c r="L267" s="940" t="s">
        <v>419</v>
      </c>
      <c r="M267" s="981"/>
      <c r="N267" s="941"/>
      <c r="O267" s="942"/>
      <c r="Q267" s="162">
        <f t="shared" si="1075"/>
        <v>-5.6763250107300038</v>
      </c>
      <c r="R267" s="162">
        <f t="shared" si="1076"/>
        <v>3.6155922862747989</v>
      </c>
      <c r="S267" s="162">
        <f t="shared" si="1077"/>
        <v>-2.2586564147497463</v>
      </c>
      <c r="T267" s="162">
        <f t="shared" si="1078"/>
        <v>-0.8205531756331732</v>
      </c>
      <c r="U267" s="162">
        <f t="shared" si="1079"/>
        <v>-0.55362849987237917</v>
      </c>
      <c r="V267" s="162">
        <f t="shared" si="1080"/>
        <v>0.14208437664772949</v>
      </c>
      <c r="W267" s="162">
        <f>IFERROR(IF(ISNUMBER(MATCH($Z267,Settings!$AK$28:$AK$36,0)),INDEX(Settings!$AO$14:$AO$36,MATCH($Z267,Settings!$AK$14:$AK$36,0))/2,INDEX(Settings!$AM$14:$AM$36,MATCH($Z267,Settings!$AK$14:$AK$36,0))/2),"")</f>
        <v>0.3125</v>
      </c>
      <c r="X267" s="162">
        <f t="shared" si="1081"/>
        <v>0.52</v>
      </c>
      <c r="Y267" s="75">
        <v>6.13</v>
      </c>
      <c r="Z267" s="917">
        <f t="shared" si="1082"/>
        <v>1613</v>
      </c>
      <c r="AA267" s="82"/>
      <c r="AB267" s="75"/>
      <c r="AC267" s="75"/>
      <c r="AD267" s="166"/>
      <c r="AE267" s="75">
        <v>1.1339999999999999</v>
      </c>
      <c r="AF267" s="82">
        <v>1</v>
      </c>
      <c r="AG267" s="82">
        <v>1</v>
      </c>
      <c r="AH267" s="82">
        <v>1</v>
      </c>
      <c r="AI267" s="82">
        <v>1.000000000003638</v>
      </c>
      <c r="AJ267" s="166">
        <v>1.13411</v>
      </c>
      <c r="AK267" s="82" t="str">
        <v>Base</v>
      </c>
      <c r="AL267" s="162">
        <v>-18</v>
      </c>
      <c r="AM267" s="162">
        <v>-6.9875210848493108</v>
      </c>
      <c r="AN267" s="162">
        <v>-3.1730943546197867</v>
      </c>
      <c r="AO267" s="162">
        <v>80.099988488520111</v>
      </c>
      <c r="AP267" s="162">
        <v>-27.899996134127584</v>
      </c>
      <c r="AQ267" s="162">
        <v>0</v>
      </c>
      <c r="AR267" s="710" t="str">
        <v>1613.par</v>
      </c>
      <c r="AV267" s="82" t="str">
        <v>255,127,0</v>
      </c>
      <c r="AW267" s="947">
        <v>0</v>
      </c>
      <c r="AX267" s="947">
        <v>80.099988488520111</v>
      </c>
      <c r="AY267" s="947">
        <v>0</v>
      </c>
    </row>
    <row r="268" spans="2:51" x14ac:dyDescent="0.25">
      <c r="B268" s="650">
        <v>-5.8317667890985279</v>
      </c>
      <c r="C268" s="651">
        <v>3.7526307101169007</v>
      </c>
      <c r="D268" s="652">
        <v>-2.9705585618466226</v>
      </c>
      <c r="E268" s="653">
        <v>-0.85741954830871925</v>
      </c>
      <c r="F268" s="651">
        <v>-0.50591264423791926</v>
      </c>
      <c r="G268" s="654">
        <v>9.4255581151825335E-2</v>
      </c>
      <c r="H268" s="653">
        <v>0.314</v>
      </c>
      <c r="I268" s="920">
        <v>0.52</v>
      </c>
      <c r="J268" s="924">
        <v>6.133</v>
      </c>
      <c r="K268" s="790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>1613</v>
      </c>
      <c r="L268" s="940" t="s">
        <v>419</v>
      </c>
      <c r="M268" s="981"/>
      <c r="N268" s="941"/>
      <c r="O268" s="942"/>
      <c r="Q268" s="162">
        <f t="shared" si="1075"/>
        <v>-5.8317667890985279</v>
      </c>
      <c r="R268" s="162">
        <f t="shared" si="1076"/>
        <v>3.7526307101169007</v>
      </c>
      <c r="S268" s="162">
        <f t="shared" si="1077"/>
        <v>-2.9705585618466226</v>
      </c>
      <c r="T268" s="162">
        <f t="shared" si="1078"/>
        <v>-0.85741954830871925</v>
      </c>
      <c r="U268" s="162">
        <f t="shared" si="1079"/>
        <v>-0.50591264423791926</v>
      </c>
      <c r="V268" s="162">
        <f t="shared" si="1080"/>
        <v>9.4255581151825335E-2</v>
      </c>
      <c r="W268" s="162">
        <f>IFERROR(IF(ISNUMBER(MATCH($Z268,Settings!$AK$28:$AK$36,0)),INDEX(Settings!$AO$14:$AO$36,MATCH($Z268,Settings!$AK$14:$AK$36,0))/2,INDEX(Settings!$AM$14:$AM$36,MATCH($Z268,Settings!$AK$14:$AK$36,0))/2),"")</f>
        <v>0.3125</v>
      </c>
      <c r="X268" s="162">
        <f t="shared" si="1081"/>
        <v>0.52</v>
      </c>
      <c r="Y268" s="75">
        <v>6.133</v>
      </c>
      <c r="Z268" s="917">
        <f t="shared" si="1082"/>
        <v>1613</v>
      </c>
      <c r="AA268" s="82"/>
      <c r="AB268" s="75"/>
      <c r="AC268" s="75"/>
      <c r="AD268" s="166"/>
      <c r="AE268" s="75">
        <v>1.131</v>
      </c>
      <c r="AF268" s="82">
        <v>1</v>
      </c>
      <c r="AG268" s="82">
        <v>1</v>
      </c>
      <c r="AH268" s="82">
        <v>1</v>
      </c>
      <c r="AI268" s="82">
        <v>1.000000000003638</v>
      </c>
      <c r="AJ268" s="166">
        <v>1.1311100000000001</v>
      </c>
      <c r="AK268" s="82" t="str">
        <v>Base</v>
      </c>
      <c r="AL268" s="162">
        <v>-18</v>
      </c>
      <c r="AM268" s="162">
        <v>-6.8108205553435051</v>
      </c>
      <c r="AN268" s="162">
        <v>-2.4563523292385407</v>
      </c>
      <c r="AO268" s="162">
        <v>74.099989446480123</v>
      </c>
      <c r="AP268" s="162">
        <v>-25.599996548029999</v>
      </c>
      <c r="AQ268" s="162">
        <v>0</v>
      </c>
      <c r="AR268" s="710" t="str">
        <v>1613.par</v>
      </c>
      <c r="AV268" s="82" t="str">
        <v>255,127,0</v>
      </c>
      <c r="AW268" s="947">
        <v>0</v>
      </c>
      <c r="AX268" s="947">
        <v>74.099989446480123</v>
      </c>
      <c r="AY268" s="947">
        <v>0</v>
      </c>
    </row>
    <row r="269" spans="2:51" x14ac:dyDescent="0.25">
      <c r="B269" s="650">
        <v>-5.9337259555835518</v>
      </c>
      <c r="C269" s="651">
        <v>3.8445207646601816</v>
      </c>
      <c r="D269" s="652">
        <v>-3.7099607918837489</v>
      </c>
      <c r="E269" s="653">
        <v>-0.88901442959639865</v>
      </c>
      <c r="F269" s="651">
        <v>-0.45486838993085804</v>
      </c>
      <c r="G269" s="654">
        <v>5.2422245383987522E-2</v>
      </c>
      <c r="H269" s="653">
        <v>0.314</v>
      </c>
      <c r="I269" s="920">
        <v>0.52</v>
      </c>
      <c r="J269" s="924">
        <v>6.1360000000000001</v>
      </c>
      <c r="K269" s="790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>1613</v>
      </c>
      <c r="L269" s="940" t="s">
        <v>419</v>
      </c>
      <c r="M269" s="981"/>
      <c r="N269" s="941"/>
      <c r="O269" s="942"/>
      <c r="Q269" s="162">
        <f t="shared" si="1075"/>
        <v>-5.9337259555835518</v>
      </c>
      <c r="R269" s="162">
        <f t="shared" si="1076"/>
        <v>3.8445207646601816</v>
      </c>
      <c r="S269" s="162">
        <f t="shared" si="1077"/>
        <v>-3.7099607918837489</v>
      </c>
      <c r="T269" s="162">
        <f t="shared" si="1078"/>
        <v>-0.88901442959639865</v>
      </c>
      <c r="U269" s="162">
        <f t="shared" si="1079"/>
        <v>-0.45486838993085804</v>
      </c>
      <c r="V269" s="162">
        <f t="shared" si="1080"/>
        <v>5.2422245383987522E-2</v>
      </c>
      <c r="W269" s="162">
        <f>IFERROR(IF(ISNUMBER(MATCH($Z269,Settings!$AK$28:$AK$36,0)),INDEX(Settings!$AO$14:$AO$36,MATCH($Z269,Settings!$AK$14:$AK$36,0))/2,INDEX(Settings!$AM$14:$AM$36,MATCH($Z269,Settings!$AK$14:$AK$36,0))/2),"")</f>
        <v>0.3125</v>
      </c>
      <c r="X269" s="162">
        <f t="shared" si="1081"/>
        <v>0.52</v>
      </c>
      <c r="Y269" s="75">
        <v>6.1360000000000001</v>
      </c>
      <c r="Z269" s="917">
        <f t="shared" si="1082"/>
        <v>1613</v>
      </c>
      <c r="AA269" s="82"/>
      <c r="AB269" s="75"/>
      <c r="AC269" s="75"/>
      <c r="AD269" s="166"/>
      <c r="AE269" s="75">
        <v>1.1279999999999999</v>
      </c>
      <c r="AF269" s="82">
        <v>1</v>
      </c>
      <c r="AG269" s="82">
        <v>1</v>
      </c>
      <c r="AH269" s="82">
        <v>1</v>
      </c>
      <c r="AI269" s="82">
        <v>1.000000000003638</v>
      </c>
      <c r="AJ269" s="166">
        <v>1.1281099999999999</v>
      </c>
      <c r="AK269" s="82" t="str">
        <v>Base</v>
      </c>
      <c r="AL269" s="162">
        <v>-18</v>
      </c>
      <c r="AM269" s="162">
        <v>-6.5144196647361827</v>
      </c>
      <c r="AN269" s="162">
        <v>-1.7671106614209338</v>
      </c>
      <c r="AO269" s="162">
        <v>62.499991427382007</v>
      </c>
      <c r="AP269" s="162">
        <v>-22.699997085145576</v>
      </c>
      <c r="AQ269" s="162">
        <v>0</v>
      </c>
      <c r="AR269" s="710" t="str">
        <v>1613.par</v>
      </c>
      <c r="AV269" s="82" t="str">
        <v>255,127,0</v>
      </c>
      <c r="AW269" s="947">
        <v>0</v>
      </c>
      <c r="AX269" s="947">
        <v>62.499991427382007</v>
      </c>
      <c r="AY269" s="947">
        <v>0</v>
      </c>
    </row>
    <row r="270" spans="2:51" x14ac:dyDescent="0.25">
      <c r="B270" s="650">
        <v>-5.9820909039369008</v>
      </c>
      <c r="C270" s="651">
        <v>3.8886621733226181</v>
      </c>
      <c r="D270" s="652">
        <v>-4.4650630692722171</v>
      </c>
      <c r="E270" s="653">
        <v>-0.90915054308349519</v>
      </c>
      <c r="F270" s="651">
        <v>-0.41604758437383893</v>
      </c>
      <c r="G270" s="654">
        <v>1.8700201808521031E-2</v>
      </c>
      <c r="H270" s="653">
        <v>0.314</v>
      </c>
      <c r="I270" s="920">
        <v>0.52</v>
      </c>
      <c r="J270" s="924">
        <v>6.1390000000000002</v>
      </c>
      <c r="K270" s="790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>1613</v>
      </c>
      <c r="L270" s="940" t="s">
        <v>419</v>
      </c>
      <c r="M270" s="981"/>
      <c r="N270" s="941"/>
      <c r="O270" s="942"/>
      <c r="Q270" s="162">
        <f t="shared" si="1075"/>
        <v>-5.9820909039369008</v>
      </c>
      <c r="R270" s="162">
        <f t="shared" si="1076"/>
        <v>3.8886621733226181</v>
      </c>
      <c r="S270" s="162">
        <f t="shared" si="1077"/>
        <v>-4.4650630692722171</v>
      </c>
      <c r="T270" s="162">
        <f t="shared" si="1078"/>
        <v>-0.90915054308349519</v>
      </c>
      <c r="U270" s="162">
        <f t="shared" si="1079"/>
        <v>-0.41604758437383893</v>
      </c>
      <c r="V270" s="162">
        <f t="shared" si="1080"/>
        <v>1.8700201808521031E-2</v>
      </c>
      <c r="W270" s="162">
        <f>IFERROR(IF(ISNUMBER(MATCH($Z270,Settings!$AK$28:$AK$36,0)),INDEX(Settings!$AO$14:$AO$36,MATCH($Z270,Settings!$AK$14:$AK$36,0))/2,INDEX(Settings!$AM$14:$AM$36,MATCH($Z270,Settings!$AK$14:$AK$36,0))/2),"")</f>
        <v>0.3125</v>
      </c>
      <c r="X270" s="162">
        <f t="shared" si="1081"/>
        <v>0.52</v>
      </c>
      <c r="Y270" s="75">
        <v>6.1390000000000002</v>
      </c>
      <c r="Z270" s="917">
        <f t="shared" si="1082"/>
        <v>1613</v>
      </c>
      <c r="AA270" s="82"/>
      <c r="AB270" s="75"/>
      <c r="AC270" s="75"/>
      <c r="AD270" s="166"/>
      <c r="AE270" s="75">
        <v>1.125</v>
      </c>
      <c r="AF270" s="82">
        <v>1</v>
      </c>
      <c r="AG270" s="82">
        <v>1</v>
      </c>
      <c r="AH270" s="82">
        <v>1</v>
      </c>
      <c r="AI270" s="82">
        <v>1.000000000003638</v>
      </c>
      <c r="AJ270" s="166">
        <v>1.1251100000000001</v>
      </c>
      <c r="AK270" s="82" t="str">
        <v>Base</v>
      </c>
      <c r="AL270" s="162">
        <v>-18</v>
      </c>
      <c r="AM270" s="162">
        <v>-6.0591182894398417</v>
      </c>
      <c r="AN270" s="162">
        <v>-1.1604859800964318</v>
      </c>
      <c r="AO270" s="162">
        <v>50.699993635276748</v>
      </c>
      <c r="AP270" s="162">
        <v>-19.299997622218779</v>
      </c>
      <c r="AQ270" s="162">
        <v>0</v>
      </c>
      <c r="AR270" s="710" t="str">
        <v>1613.par</v>
      </c>
      <c r="AV270" s="82" t="str">
        <v>255,127,0</v>
      </c>
      <c r="AW270" s="947">
        <v>0</v>
      </c>
      <c r="AX270" s="947">
        <v>50.699993635276748</v>
      </c>
      <c r="AY270" s="947">
        <v>0</v>
      </c>
    </row>
    <row r="271" spans="2:51" x14ac:dyDescent="0.25">
      <c r="B271" s="650">
        <v>-2.5676755740563051</v>
      </c>
      <c r="C271" s="651">
        <v>2.811940351985609</v>
      </c>
      <c r="D271" s="652">
        <v>-0.19410908465126392</v>
      </c>
      <c r="E271" s="653">
        <v>-1.6474747823407951E-2</v>
      </c>
      <c r="F271" s="651">
        <v>1.8042002136681161E-2</v>
      </c>
      <c r="G271" s="654">
        <v>0.99970148986737795</v>
      </c>
      <c r="H271" s="653">
        <v>0.25700000000000001</v>
      </c>
      <c r="I271" s="920">
        <v>0.41499999999999992</v>
      </c>
      <c r="J271" s="924">
        <v>6.2149999999999999</v>
      </c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>CPS-32193r1</v>
      </c>
      <c r="L271" s="940" t="s">
        <v>421</v>
      </c>
      <c r="M271" s="981"/>
      <c r="N271" s="941"/>
      <c r="O271" s="942"/>
      <c r="Q271" s="162">
        <f t="shared" si="1075"/>
        <v>-2.5676755740563051</v>
      </c>
      <c r="R271" s="162">
        <f t="shared" si="1076"/>
        <v>2.811940351985609</v>
      </c>
      <c r="S271" s="162">
        <f t="shared" si="1077"/>
        <v>-0.19410908465126392</v>
      </c>
      <c r="T271" s="162">
        <f t="shared" si="1078"/>
        <v>-1.6474747823407951E-2</v>
      </c>
      <c r="U271" s="162">
        <f t="shared" si="1079"/>
        <v>1.8042002136681161E-2</v>
      </c>
      <c r="V271" s="162">
        <f t="shared" si="1080"/>
        <v>0.99970148986737795</v>
      </c>
      <c r="W271" s="162">
        <f>IFERROR(IF(ISNUMBER(MATCH($Z271,Settings!$AK$28:$AK$36,0)),INDEX(Settings!$AO$14:$AO$36,MATCH($Z271,Settings!$AK$14:$AK$36,0))/2,INDEX(Settings!$AM$14:$AM$36,MATCH($Z271,Settings!$AK$14:$AK$36,0))/2),"")</f>
        <v>0.255</v>
      </c>
      <c r="X271" s="162">
        <f t="shared" si="1081"/>
        <v>0.41499999999999992</v>
      </c>
      <c r="Y271" s="75">
        <v>6.2149999999999999</v>
      </c>
      <c r="Z271" s="917" t="str">
        <f t="shared" si="1082"/>
        <v>CPS-32193r1</v>
      </c>
      <c r="AA271" s="82"/>
      <c r="AB271" s="75"/>
      <c r="AC271" s="75"/>
      <c r="AD271" s="166"/>
      <c r="AE271" s="75">
        <v>1.1220000000000001</v>
      </c>
      <c r="AF271" s="82">
        <v>1</v>
      </c>
      <c r="AG271" s="82">
        <v>1</v>
      </c>
      <c r="AH271" s="82">
        <v>1</v>
      </c>
      <c r="AI271" s="82">
        <v>1.0000000000218279</v>
      </c>
      <c r="AJ271" s="166">
        <v>1.1221100000000002</v>
      </c>
      <c r="AK271" s="82" t="str">
        <v>Base</v>
      </c>
      <c r="AL271" s="162">
        <v>-18</v>
      </c>
      <c r="AM271" s="162">
        <v>-5.477616532026329</v>
      </c>
      <c r="AN271" s="162">
        <v>-0.67581729287101011</v>
      </c>
      <c r="AO271" s="162">
        <v>38.799996044241624</v>
      </c>
      <c r="AP271" s="162">
        <v>-16.799997974008789</v>
      </c>
      <c r="AQ271" s="162">
        <v>0</v>
      </c>
      <c r="AR271" s="710" t="str">
        <v>1613.par</v>
      </c>
      <c r="AV271" s="82" t="str">
        <v>255,127,0</v>
      </c>
      <c r="AW271" s="947">
        <v>0</v>
      </c>
      <c r="AX271" s="947">
        <v>38.799996044241624</v>
      </c>
      <c r="AY271" s="947">
        <v>0</v>
      </c>
    </row>
    <row r="272" spans="2:51" x14ac:dyDescent="0.25">
      <c r="B272" s="650">
        <v>-3.2290175405532122</v>
      </c>
      <c r="C272" s="651">
        <v>3.220416226668656</v>
      </c>
      <c r="D272" s="652">
        <v>-0.30063245796358562</v>
      </c>
      <c r="E272" s="653">
        <v>-0.18373401227372133</v>
      </c>
      <c r="F272" s="651">
        <v>0.18324458975093</v>
      </c>
      <c r="G272" s="654">
        <v>0.96574491096811554</v>
      </c>
      <c r="H272" s="653">
        <v>0.25700000000000001</v>
      </c>
      <c r="I272" s="920">
        <v>0.41499999999999992</v>
      </c>
      <c r="J272" s="924">
        <v>6.218</v>
      </c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>CPS-32193r1</v>
      </c>
      <c r="L272" s="940" t="s">
        <v>421</v>
      </c>
      <c r="M272" s="981"/>
      <c r="N272" s="941"/>
      <c r="O272" s="942"/>
      <c r="Q272" s="162">
        <f t="shared" si="1075"/>
        <v>-3.2290175405532122</v>
      </c>
      <c r="R272" s="162">
        <f t="shared" si="1076"/>
        <v>3.220416226668656</v>
      </c>
      <c r="S272" s="162">
        <f t="shared" si="1077"/>
        <v>-0.30063245796358562</v>
      </c>
      <c r="T272" s="162">
        <f t="shared" si="1078"/>
        <v>-0.18373401227372133</v>
      </c>
      <c r="U272" s="162">
        <f t="shared" si="1079"/>
        <v>0.18324458975093</v>
      </c>
      <c r="V272" s="162">
        <f t="shared" si="1080"/>
        <v>0.96574491096811554</v>
      </c>
      <c r="W272" s="162">
        <f>IFERROR(IF(ISNUMBER(MATCH($Z272,Settings!$AK$28:$AK$36,0)),INDEX(Settings!$AO$14:$AO$36,MATCH($Z272,Settings!$AK$14:$AK$36,0))/2,INDEX(Settings!$AM$14:$AM$36,MATCH($Z272,Settings!$AK$14:$AK$36,0))/2),"")</f>
        <v>0.255</v>
      </c>
      <c r="X272" s="162">
        <f t="shared" si="1081"/>
        <v>0.41499999999999992</v>
      </c>
      <c r="Y272" s="75">
        <v>6.218</v>
      </c>
      <c r="Z272" s="917" t="str">
        <f t="shared" si="1082"/>
        <v>CPS-32193r1</v>
      </c>
      <c r="AA272" s="82"/>
      <c r="AB272" s="75"/>
      <c r="AC272" s="75"/>
      <c r="AD272" s="166"/>
      <c r="AE272" s="75">
        <v>1.119</v>
      </c>
      <c r="AF272" s="82">
        <v>1</v>
      </c>
      <c r="AG272" s="82">
        <v>1</v>
      </c>
      <c r="AH272" s="82">
        <v>1</v>
      </c>
      <c r="AI272" s="82">
        <v>1.000000000003638</v>
      </c>
      <c r="AJ272" s="166">
        <v>1.11911</v>
      </c>
      <c r="AK272" s="82" t="str">
        <v>Base</v>
      </c>
      <c r="AL272" s="162">
        <v>-18</v>
      </c>
      <c r="AM272" s="162">
        <v>-4.7994144837238126</v>
      </c>
      <c r="AN272" s="162">
        <v>-0.34032787435422257</v>
      </c>
      <c r="AO272" s="162">
        <v>26.999998577869427</v>
      </c>
      <c r="AP272" s="162">
        <v>-15.999998051666994</v>
      </c>
      <c r="AQ272" s="162">
        <v>0</v>
      </c>
      <c r="AR272" s="710" t="str">
        <v>1613.par</v>
      </c>
      <c r="AV272" s="82" t="str">
        <v>255,127,0</v>
      </c>
      <c r="AW272" s="947">
        <v>0</v>
      </c>
      <c r="AX272" s="947">
        <v>26.999998577869427</v>
      </c>
      <c r="AY272" s="947">
        <v>0</v>
      </c>
    </row>
    <row r="273" spans="2:51" x14ac:dyDescent="0.25">
      <c r="B273" s="650">
        <v>-3.8227155928705874</v>
      </c>
      <c r="C273" s="651">
        <v>3.6248724227595011</v>
      </c>
      <c r="D273" s="652">
        <v>-0.58614971573351049</v>
      </c>
      <c r="E273" s="653">
        <v>-0.34891114739238643</v>
      </c>
      <c r="F273" s="651">
        <v>0.33085338562325362</v>
      </c>
      <c r="G273" s="654">
        <v>0.87681072555424366</v>
      </c>
      <c r="H273" s="653">
        <v>0.25700000000000001</v>
      </c>
      <c r="I273" s="920">
        <v>0.41499999999999992</v>
      </c>
      <c r="J273" s="924">
        <v>6.2210000000000001</v>
      </c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>CPS-32193r1</v>
      </c>
      <c r="L273" s="940" t="s">
        <v>421</v>
      </c>
      <c r="M273" s="981"/>
      <c r="N273" s="941"/>
      <c r="O273" s="942"/>
      <c r="Q273" s="162">
        <f t="shared" si="1075"/>
        <v>-3.8227155928705874</v>
      </c>
      <c r="R273" s="162">
        <f t="shared" si="1076"/>
        <v>3.6248724227595011</v>
      </c>
      <c r="S273" s="162">
        <f t="shared" si="1077"/>
        <v>-0.58614971573351049</v>
      </c>
      <c r="T273" s="162">
        <f t="shared" si="1078"/>
        <v>-0.34891114739238643</v>
      </c>
      <c r="U273" s="162">
        <f t="shared" si="1079"/>
        <v>0.33085338562325362</v>
      </c>
      <c r="V273" s="162">
        <f t="shared" si="1080"/>
        <v>0.87681072555424366</v>
      </c>
      <c r="W273" s="162">
        <f>IFERROR(IF(ISNUMBER(MATCH($Z273,Settings!$AK$28:$AK$36,0)),INDEX(Settings!$AO$14:$AO$36,MATCH($Z273,Settings!$AK$14:$AK$36,0))/2,INDEX(Settings!$AM$14:$AM$36,MATCH($Z273,Settings!$AK$14:$AK$36,0))/2),"")</f>
        <v>0.255</v>
      </c>
      <c r="X273" s="162">
        <f t="shared" si="1081"/>
        <v>0.41499999999999992</v>
      </c>
      <c r="Y273" s="75">
        <v>6.2210000000000001</v>
      </c>
      <c r="Z273" s="917" t="str">
        <f t="shared" si="1082"/>
        <v>CPS-32193r1</v>
      </c>
      <c r="AA273" s="82"/>
      <c r="AB273" s="75"/>
      <c r="AC273" s="75"/>
      <c r="AD273" s="166"/>
      <c r="AE273" s="75">
        <v>1.1160000000000001</v>
      </c>
      <c r="AF273" s="82">
        <v>1</v>
      </c>
      <c r="AG273" s="82">
        <v>1</v>
      </c>
      <c r="AH273" s="82">
        <v>1</v>
      </c>
      <c r="AI273" s="82">
        <v>1.0000000000218279</v>
      </c>
      <c r="AJ273" s="166">
        <v>1.1161100000000002</v>
      </c>
      <c r="AK273" s="82" t="str">
        <v>Base</v>
      </c>
      <c r="AL273" s="162">
        <v>-18</v>
      </c>
      <c r="AM273" s="162">
        <v>-4.0497122188539496</v>
      </c>
      <c r="AN273" s="162">
        <v>-0.17280986704701776</v>
      </c>
      <c r="AO273" s="162">
        <v>15.000001306799158</v>
      </c>
      <c r="AP273" s="162">
        <v>-15.299998045499139</v>
      </c>
      <c r="AQ273" s="162">
        <v>0</v>
      </c>
      <c r="AR273" s="710" t="str">
        <v>1613.par</v>
      </c>
      <c r="AV273" s="82" t="str">
        <v>255,127,0</v>
      </c>
      <c r="AW273" s="947">
        <v>0</v>
      </c>
      <c r="AX273" s="947">
        <v>15.000001306799158</v>
      </c>
      <c r="AY273" s="947">
        <v>0</v>
      </c>
    </row>
    <row r="274" spans="2:51" x14ac:dyDescent="0.25">
      <c r="B274" s="650">
        <v>-4.3213672566184389</v>
      </c>
      <c r="C274" s="651">
        <v>3.9960428003341493</v>
      </c>
      <c r="D274" s="652">
        <v>-1.0275949929872317</v>
      </c>
      <c r="E274" s="653">
        <v>-0.4946960918884884</v>
      </c>
      <c r="F274" s="651">
        <v>0.45745400447434831</v>
      </c>
      <c r="G274" s="654">
        <v>0.73892598442647783</v>
      </c>
      <c r="H274" s="653">
        <v>0.25700000000000001</v>
      </c>
      <c r="I274" s="920">
        <v>0.41499999999999992</v>
      </c>
      <c r="J274" s="924">
        <v>6.2240000000000002</v>
      </c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>CPS-32193r1</v>
      </c>
      <c r="L274" s="940" t="s">
        <v>421</v>
      </c>
      <c r="M274" s="981"/>
      <c r="N274" s="941"/>
      <c r="O274" s="942"/>
      <c r="Q274" s="162">
        <f t="shared" ref="Q274:Q305" si="1083">IFERROR(INDEX(B$164:B$305,MATCH($Y274,$J$164:$J$305,0)),"")</f>
        <v>-4.3213672566184389</v>
      </c>
      <c r="R274" s="162">
        <f t="shared" ref="R274:R305" si="1084">IFERROR(INDEX(C$164:C$305,MATCH($Y274,$J$164:$J$305,0)),"")</f>
        <v>3.9960428003341493</v>
      </c>
      <c r="S274" s="162">
        <f t="shared" ref="S274:S305" si="1085">IFERROR(INDEX(D$164:D$305,MATCH($Y274,$J$164:$J$305,0)),"")</f>
        <v>-1.0275949929872317</v>
      </c>
      <c r="T274" s="162">
        <f t="shared" ref="T274:T305" si="1086">IFERROR(IF($N274="Y",-1*INDEX(E$164:E$305,MATCH($Y274,$J$164:$J$305,0)),INDEX(E$164:E$305,MATCH($Y274,$J$164:$J$305,0))),"")</f>
        <v>-0.4946960918884884</v>
      </c>
      <c r="U274" s="162">
        <f t="shared" ref="U274:U305" si="1087">IFERROR(IF($N274="Y",-1*INDEX(F$164:F$305,MATCH($Y274,$J$164:$J$305,0)),INDEX(F$164:F$305,MATCH($Y274,$J$164:$J$305,0))),"")</f>
        <v>0.45745400447434831</v>
      </c>
      <c r="V274" s="162">
        <f t="shared" ref="V274:V305" si="1088">IFERROR(IF($N274="Y",-1*INDEX(G$164:G$305,MATCH($Y274,$J$164:$J$305,0)),INDEX(G$164:G$305,MATCH($Y274,$J$164:$J$305,0))),"")</f>
        <v>0.73892598442647783</v>
      </c>
      <c r="W274" s="162">
        <f>IFERROR(IF(ISNUMBER(MATCH($Z274,Settings!$AK$28:$AK$36,0)),INDEX(Settings!$AO$14:$AO$36,MATCH($Z274,Settings!$AK$14:$AK$36,0))/2,INDEX(Settings!$AM$14:$AM$36,MATCH($Z274,Settings!$AK$14:$AK$36,0))/2),"")</f>
        <v>0.255</v>
      </c>
      <c r="X274" s="162">
        <f t="shared" ref="X274:X305" si="1089">IFERROR(INDEX(I$164:I$305,MATCH($Y274,$J$164:$J$305,0)),"")</f>
        <v>0.41499999999999992</v>
      </c>
      <c r="Y274" s="75">
        <v>6.2240000000000002</v>
      </c>
      <c r="Z274" s="917" t="str">
        <f t="shared" ref="Z274:Z305" si="1090">IFERROR(INDEX(K$164:K$305,MATCH($Y274,$J$164:$J$305,0)),"")</f>
        <v>CPS-32193r1</v>
      </c>
      <c r="AA274" s="82"/>
      <c r="AB274" s="75"/>
      <c r="AC274" s="75"/>
      <c r="AD274" s="166"/>
      <c r="AE274" s="75">
        <v>1.113</v>
      </c>
      <c r="AF274" s="82">
        <v>1</v>
      </c>
      <c r="AG274" s="82">
        <v>1</v>
      </c>
      <c r="AH274" s="82">
        <v>1</v>
      </c>
      <c r="AI274" s="82">
        <v>1.000000000003638</v>
      </c>
      <c r="AJ274" s="166">
        <v>1.11311</v>
      </c>
      <c r="AK274" s="82" t="str">
        <v>Base</v>
      </c>
      <c r="AL274" s="162">
        <v>-18</v>
      </c>
      <c r="AM274" s="162">
        <v>-3.3149099989555051</v>
      </c>
      <c r="AN274" s="162">
        <v>-0.18335052337130381</v>
      </c>
      <c r="AO274" s="162">
        <v>3.6000040220107441</v>
      </c>
      <c r="AP274" s="162">
        <v>-14.99999791083343</v>
      </c>
      <c r="AQ274" s="162">
        <v>0</v>
      </c>
      <c r="AR274" s="710" t="str">
        <v>1613.par</v>
      </c>
      <c r="AV274" s="82" t="str">
        <v>255,127,0</v>
      </c>
      <c r="AW274" s="947">
        <v>0</v>
      </c>
      <c r="AX274" s="947">
        <v>3.6000040220107441</v>
      </c>
      <c r="AY274" s="947">
        <v>0</v>
      </c>
    </row>
    <row r="275" spans="2:51" x14ac:dyDescent="0.25">
      <c r="B275" s="650">
        <v>-4.7094507192455932</v>
      </c>
      <c r="C275" s="651">
        <v>4.3070001680440155</v>
      </c>
      <c r="D275" s="652">
        <v>-1.6024720115454063</v>
      </c>
      <c r="E275" s="653">
        <v>-0.61170281298905349</v>
      </c>
      <c r="F275" s="651">
        <v>0.55942917240227252</v>
      </c>
      <c r="G275" s="654">
        <v>0.55933770626213586</v>
      </c>
      <c r="H275" s="653">
        <v>0.25700000000000001</v>
      </c>
      <c r="I275" s="920">
        <v>0.41499999999999992</v>
      </c>
      <c r="J275" s="924">
        <v>6.2270000000000003</v>
      </c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>CPS-32193r1</v>
      </c>
      <c r="L275" s="940" t="s">
        <v>421</v>
      </c>
      <c r="M275" s="981"/>
      <c r="N275" s="941"/>
      <c r="O275" s="942"/>
      <c r="Q275" s="162">
        <f t="shared" si="1083"/>
        <v>-4.7094507192455932</v>
      </c>
      <c r="R275" s="162">
        <f t="shared" si="1084"/>
        <v>4.3070001680440155</v>
      </c>
      <c r="S275" s="162">
        <f t="shared" si="1085"/>
        <v>-1.6024720115454063</v>
      </c>
      <c r="T275" s="162">
        <f t="shared" si="1086"/>
        <v>-0.61170281298905349</v>
      </c>
      <c r="U275" s="162">
        <f t="shared" si="1087"/>
        <v>0.55942917240227252</v>
      </c>
      <c r="V275" s="162">
        <f t="shared" si="1088"/>
        <v>0.55933770626213586</v>
      </c>
      <c r="W275" s="162">
        <f>IFERROR(IF(ISNUMBER(MATCH($Z275,Settings!$AK$28:$AK$36,0)),INDEX(Settings!$AO$14:$AO$36,MATCH($Z275,Settings!$AK$14:$AK$36,0))/2,INDEX(Settings!$AM$14:$AM$36,MATCH($Z275,Settings!$AK$14:$AK$36,0))/2),"")</f>
        <v>0.255</v>
      </c>
      <c r="X275" s="162">
        <f t="shared" si="1089"/>
        <v>0.41499999999999992</v>
      </c>
      <c r="Y275" s="75">
        <v>6.2270000000000003</v>
      </c>
      <c r="Z275" s="917" t="str">
        <f t="shared" si="1090"/>
        <v>CPS-32193r1</v>
      </c>
      <c r="AA275" s="82"/>
      <c r="AB275" s="75"/>
      <c r="AC275" s="75"/>
      <c r="AD275" s="166"/>
      <c r="AE275" s="75">
        <v>1.1100000000000001</v>
      </c>
      <c r="AF275" s="82">
        <v>1</v>
      </c>
      <c r="AG275" s="82">
        <v>1</v>
      </c>
      <c r="AH275" s="82">
        <v>1</v>
      </c>
      <c r="AI275" s="82">
        <v>1.0000000000218279</v>
      </c>
      <c r="AJ275" s="166">
        <v>1.1101100000000002</v>
      </c>
      <c r="AK275" s="82" t="str">
        <v>Base</v>
      </c>
      <c r="AL275" s="162">
        <v>-18</v>
      </c>
      <c r="AM275" s="162">
        <v>-2.5680077441214388</v>
      </c>
      <c r="AN275" s="162">
        <v>-0.35475104054396084</v>
      </c>
      <c r="AO275" s="162">
        <v>-2.9999936970089967</v>
      </c>
      <c r="AP275" s="162">
        <v>-14.999997751840365</v>
      </c>
      <c r="AQ275" s="162">
        <v>0</v>
      </c>
      <c r="AR275" s="710" t="str">
        <v>1613.par</v>
      </c>
      <c r="AV275" s="82" t="str">
        <v>255,127,0</v>
      </c>
      <c r="AW275" s="947">
        <v>0</v>
      </c>
      <c r="AX275" s="947">
        <v>-2.9999936970089967</v>
      </c>
      <c r="AY275" s="947">
        <v>0</v>
      </c>
    </row>
    <row r="276" spans="2:51" x14ac:dyDescent="0.25">
      <c r="B276" s="650">
        <v>-4.9717448257896093</v>
      </c>
      <c r="C276" s="651">
        <v>4.5293835356148344</v>
      </c>
      <c r="D276" s="652">
        <v>-2.2726095941609628</v>
      </c>
      <c r="E276" s="653">
        <v>-0.69236911520424949</v>
      </c>
      <c r="F276" s="651">
        <v>0.63076553219448062</v>
      </c>
      <c r="G276" s="654">
        <v>0.35037102007257742</v>
      </c>
      <c r="H276" s="653">
        <v>0.25700000000000001</v>
      </c>
      <c r="I276" s="920">
        <v>0.41499999999999992</v>
      </c>
      <c r="J276" s="924">
        <v>6.23</v>
      </c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>CPS-32193r1</v>
      </c>
      <c r="L276" s="940" t="s">
        <v>421</v>
      </c>
      <c r="M276" s="981"/>
      <c r="N276" s="941"/>
      <c r="O276" s="942"/>
      <c r="Q276" s="162">
        <f t="shared" si="1083"/>
        <v>-4.9717448257896093</v>
      </c>
      <c r="R276" s="162">
        <f t="shared" si="1084"/>
        <v>4.5293835356148344</v>
      </c>
      <c r="S276" s="162">
        <f t="shared" si="1085"/>
        <v>-2.2726095941609628</v>
      </c>
      <c r="T276" s="162">
        <f t="shared" si="1086"/>
        <v>-0.69236911520424949</v>
      </c>
      <c r="U276" s="162">
        <f t="shared" si="1087"/>
        <v>0.63076553219448062</v>
      </c>
      <c r="V276" s="162">
        <f t="shared" si="1088"/>
        <v>0.35037102007257742</v>
      </c>
      <c r="W276" s="162">
        <f>IFERROR(IF(ISNUMBER(MATCH($Z276,Settings!$AK$28:$AK$36,0)),INDEX(Settings!$AO$14:$AO$36,MATCH($Z276,Settings!$AK$14:$AK$36,0))/2,INDEX(Settings!$AM$14:$AM$36,MATCH($Z276,Settings!$AK$14:$AK$36,0))/2),"")</f>
        <v>0.255</v>
      </c>
      <c r="X276" s="162">
        <f t="shared" si="1089"/>
        <v>0.41499999999999992</v>
      </c>
      <c r="Y276" s="75">
        <v>6.23</v>
      </c>
      <c r="Z276" s="917" t="str">
        <f t="shared" si="1090"/>
        <v>CPS-32193r1</v>
      </c>
      <c r="AA276" s="82"/>
      <c r="AB276" s="75"/>
      <c r="AC276" s="75"/>
      <c r="AD276" s="166"/>
      <c r="AE276" s="75">
        <v>1.107</v>
      </c>
      <c r="AF276" s="82">
        <v>1</v>
      </c>
      <c r="AG276" s="82">
        <v>1</v>
      </c>
      <c r="AH276" s="82">
        <v>1</v>
      </c>
      <c r="AI276" s="82">
        <v>1.000000000003638</v>
      </c>
      <c r="AJ276" s="166">
        <v>1.10711</v>
      </c>
      <c r="AK276" s="82" t="str">
        <v>Base</v>
      </c>
      <c r="AL276" s="162">
        <v>-18</v>
      </c>
      <c r="AM276" s="162">
        <v>-1.8261055065442908</v>
      </c>
      <c r="AN276" s="162">
        <v>-0.55355164056637962</v>
      </c>
      <c r="AO276" s="162">
        <v>-2.9999913122339605</v>
      </c>
      <c r="AP276" s="162">
        <v>-14.999997718351972</v>
      </c>
      <c r="AQ276" s="162">
        <v>0</v>
      </c>
      <c r="AR276" s="710" t="str">
        <v>1613.par</v>
      </c>
      <c r="AV276" s="82" t="str">
        <v>255,127,0</v>
      </c>
      <c r="AW276" s="947">
        <v>0</v>
      </c>
      <c r="AX276" s="947">
        <v>-2.9999913122339605</v>
      </c>
      <c r="AY276" s="947">
        <v>0</v>
      </c>
    </row>
    <row r="277" spans="2:51" x14ac:dyDescent="0.25">
      <c r="B277" s="650">
        <v>-5.1206175137802061</v>
      </c>
      <c r="C277" s="651">
        <v>4.660380285383857</v>
      </c>
      <c r="D277" s="652">
        <v>-2.9854233533133021</v>
      </c>
      <c r="E277" s="653">
        <v>-0.72166523858083864</v>
      </c>
      <c r="F277" s="651">
        <v>0.65680251287625102</v>
      </c>
      <c r="G277" s="654">
        <v>0.21865439054248012</v>
      </c>
      <c r="H277" s="653">
        <v>0.25700000000000001</v>
      </c>
      <c r="I277" s="920">
        <v>0.41499999999999992</v>
      </c>
      <c r="J277" s="924">
        <v>6.2329999999999997</v>
      </c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>CPS-32193r1</v>
      </c>
      <c r="L277" s="940" t="s">
        <v>421</v>
      </c>
      <c r="M277" s="981"/>
      <c r="N277" s="941"/>
      <c r="O277" s="942"/>
      <c r="Q277" s="162">
        <f t="shared" si="1083"/>
        <v>-5.1206175137802061</v>
      </c>
      <c r="R277" s="162">
        <f t="shared" si="1084"/>
        <v>4.660380285383857</v>
      </c>
      <c r="S277" s="162">
        <f t="shared" si="1085"/>
        <v>-2.9854233533133021</v>
      </c>
      <c r="T277" s="162">
        <f t="shared" si="1086"/>
        <v>-0.72166523858083864</v>
      </c>
      <c r="U277" s="162">
        <f t="shared" si="1087"/>
        <v>0.65680251287625102</v>
      </c>
      <c r="V277" s="162">
        <f t="shared" si="1088"/>
        <v>0.21865439054248012</v>
      </c>
      <c r="W277" s="162">
        <f>IFERROR(IF(ISNUMBER(MATCH($Z277,Settings!$AK$28:$AK$36,0)),INDEX(Settings!$AO$14:$AO$36,MATCH($Z277,Settings!$AK$14:$AK$36,0))/2,INDEX(Settings!$AM$14:$AM$36,MATCH($Z277,Settings!$AK$14:$AK$36,0))/2),"")</f>
        <v>0.255</v>
      </c>
      <c r="X277" s="162">
        <f t="shared" si="1089"/>
        <v>0.41499999999999992</v>
      </c>
      <c r="Y277" s="75">
        <v>6.2329999999999997</v>
      </c>
      <c r="Z277" s="917" t="str">
        <f t="shared" si="1090"/>
        <v>CPS-32193r1</v>
      </c>
      <c r="AA277" s="82"/>
      <c r="AB277" s="75"/>
      <c r="AC277" s="75"/>
      <c r="AD277" s="166"/>
      <c r="AE277" s="75">
        <v>1.1040000000000001</v>
      </c>
      <c r="AF277" s="82">
        <v>1</v>
      </c>
      <c r="AG277" s="82">
        <v>1</v>
      </c>
      <c r="AH277" s="82">
        <v>1</v>
      </c>
      <c r="AI277" s="82">
        <v>1.0000000000218279</v>
      </c>
      <c r="AJ277" s="166">
        <v>1.1041100000000001</v>
      </c>
      <c r="AK277" s="82" t="str">
        <v>Base</v>
      </c>
      <c r="AL277" s="162">
        <v>-18</v>
      </c>
      <c r="AM277" s="162">
        <v>-1.0838032676279075</v>
      </c>
      <c r="AN277" s="162">
        <v>-0.75095223460505678</v>
      </c>
      <c r="AO277" s="162">
        <v>-2.9999857925960174</v>
      </c>
      <c r="AP277" s="162">
        <v>-15.999997482891414</v>
      </c>
      <c r="AQ277" s="162">
        <v>0</v>
      </c>
      <c r="AR277" s="710" t="str">
        <v>1613.par</v>
      </c>
      <c r="AV277" s="82" t="str">
        <v>255,127,0</v>
      </c>
      <c r="AW277" s="947">
        <v>0</v>
      </c>
      <c r="AX277" s="947">
        <v>-2.9999857925960174</v>
      </c>
      <c r="AY277" s="947">
        <v>0</v>
      </c>
    </row>
    <row r="278" spans="2:51" x14ac:dyDescent="0.25">
      <c r="B278" s="650">
        <v>-5.214920471706634</v>
      </c>
      <c r="C278" s="651">
        <v>4.7452925809302204</v>
      </c>
      <c r="D278" s="652">
        <v>-3.7247170186847391</v>
      </c>
      <c r="E278" s="653">
        <v>-0.73415946357039452</v>
      </c>
      <c r="F278" s="651">
        <v>0.66804498258440237</v>
      </c>
      <c r="G278" s="654">
        <v>0.12134983845822028</v>
      </c>
      <c r="H278" s="653">
        <v>0.25700000000000001</v>
      </c>
      <c r="I278" s="920">
        <v>0.41499999999999992</v>
      </c>
      <c r="J278" s="924">
        <v>6.2359999999999998</v>
      </c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>CPS-32193r1</v>
      </c>
      <c r="L278" s="940" t="s">
        <v>421</v>
      </c>
      <c r="M278" s="981"/>
      <c r="N278" s="941"/>
      <c r="O278" s="942"/>
      <c r="Q278" s="162">
        <f t="shared" si="1083"/>
        <v>-5.214920471706634</v>
      </c>
      <c r="R278" s="162">
        <f t="shared" si="1084"/>
        <v>4.7452925809302204</v>
      </c>
      <c r="S278" s="162">
        <f t="shared" si="1085"/>
        <v>-3.7247170186847391</v>
      </c>
      <c r="T278" s="162">
        <f t="shared" si="1086"/>
        <v>-0.73415946357039452</v>
      </c>
      <c r="U278" s="162">
        <f t="shared" si="1087"/>
        <v>0.66804498258440237</v>
      </c>
      <c r="V278" s="162">
        <f t="shared" si="1088"/>
        <v>0.12134983845822028</v>
      </c>
      <c r="W278" s="162">
        <f>IFERROR(IF(ISNUMBER(MATCH($Z278,Settings!$AK$28:$AK$36,0)),INDEX(Settings!$AO$14:$AO$36,MATCH($Z278,Settings!$AK$14:$AK$36,0))/2,INDEX(Settings!$AM$14:$AM$36,MATCH($Z278,Settings!$AK$14:$AK$36,0))/2),"")</f>
        <v>0.255</v>
      </c>
      <c r="X278" s="162">
        <f t="shared" si="1089"/>
        <v>0.41499999999999992</v>
      </c>
      <c r="Y278" s="75">
        <v>6.2359999999999998</v>
      </c>
      <c r="Z278" s="917" t="str">
        <f t="shared" si="1090"/>
        <v>CPS-32193r1</v>
      </c>
      <c r="AA278" s="82"/>
      <c r="AB278" s="75"/>
      <c r="AC278" s="75"/>
      <c r="AD278" s="166"/>
      <c r="AE278" s="75">
        <v>1.101</v>
      </c>
      <c r="AF278" s="82">
        <v>1</v>
      </c>
      <c r="AG278" s="82">
        <v>1</v>
      </c>
      <c r="AH278" s="82">
        <v>1</v>
      </c>
      <c r="AI278" s="82">
        <v>1.000000000003638</v>
      </c>
      <c r="AJ278" s="166">
        <v>1.10111</v>
      </c>
      <c r="AK278" s="82" t="str">
        <v>Base</v>
      </c>
      <c r="AL278" s="162">
        <v>-18</v>
      </c>
      <c r="AM278" s="162">
        <v>-0.33880101542602581</v>
      </c>
      <c r="AN278" s="162">
        <v>-0.93825278937687484</v>
      </c>
      <c r="AO278" s="162">
        <v>-8.9999588850334611</v>
      </c>
      <c r="AP278" s="162">
        <v>-22.499994139312239</v>
      </c>
      <c r="AQ278" s="162">
        <v>0</v>
      </c>
      <c r="AR278" s="710" t="str">
        <v>1613.par</v>
      </c>
      <c r="AV278" s="82" t="str">
        <v>255,127,0</v>
      </c>
      <c r="AW278" s="947">
        <v>0</v>
      </c>
      <c r="AX278" s="947">
        <v>-8.9999588850334611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81" t="str">
        <f>IFERROR(INDEX([1]List!$AG$1:$AG$65536,MATCH(RIGHT((J279*1000),2),[1]List!$AI$1:$AI$65536,0))*-1,"")</f>
        <v/>
      </c>
      <c r="N279" s="941"/>
      <c r="O279" s="942"/>
      <c r="Q279" s="162" t="str">
        <f t="shared" si="1083"/>
        <v/>
      </c>
      <c r="R279" s="162" t="str">
        <f t="shared" si="1084"/>
        <v/>
      </c>
      <c r="S279" s="162" t="str">
        <f t="shared" si="1085"/>
        <v/>
      </c>
      <c r="T279" s="162" t="str">
        <f t="shared" si="1086"/>
        <v/>
      </c>
      <c r="U279" s="162" t="str">
        <f t="shared" si="1087"/>
        <v/>
      </c>
      <c r="V279" s="162" t="str">
        <f t="shared" si="1088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89"/>
        <v/>
      </c>
      <c r="Y279" s="75"/>
      <c r="Z279" s="917" t="str">
        <f t="shared" si="1090"/>
        <v/>
      </c>
      <c r="AA279" s="82"/>
      <c r="AB279" s="75"/>
      <c r="AC279" s="75"/>
      <c r="AD279" s="166"/>
      <c r="AE279" s="75">
        <v>6.2359999999999998</v>
      </c>
      <c r="AF279" s="82">
        <v>6</v>
      </c>
      <c r="AG279" s="82">
        <v>2</v>
      </c>
      <c r="AH279" s="82">
        <v>2</v>
      </c>
      <c r="AI279" s="82">
        <v>0.99999999998544808</v>
      </c>
      <c r="AJ279" s="166">
        <v>6.2362099999999998</v>
      </c>
      <c r="AK279" s="82">
        <v>6.23611</v>
      </c>
      <c r="AL279" s="162">
        <v>0</v>
      </c>
      <c r="AM279" s="162">
        <v>0</v>
      </c>
      <c r="AN279" s="162">
        <v>0</v>
      </c>
      <c r="AO279" s="162">
        <v>-83.029988011952966</v>
      </c>
      <c r="AP279" s="162">
        <v>0</v>
      </c>
      <c r="AQ279" s="162">
        <v>0</v>
      </c>
      <c r="AR279" s="710" t="str">
        <v>32193r1.par</v>
      </c>
      <c r="AV279" s="82" t="str">
        <v>188,121,255</v>
      </c>
      <c r="AW279" s="947">
        <v>0</v>
      </c>
      <c r="AX279" s="947">
        <v>83.029988011952966</v>
      </c>
      <c r="AY279" s="947">
        <v>-83.029988011952966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81" t="str">
        <f>IFERROR(INDEX([1]List!$AG$1:$AG$65536,MATCH(RIGHT((J280*1000),2),[1]List!$AI$1:$AI$65536,0))*-1,"")</f>
        <v/>
      </c>
      <c r="N280" s="941"/>
      <c r="O280" s="942"/>
      <c r="Q280" s="162" t="str">
        <f t="shared" si="1083"/>
        <v/>
      </c>
      <c r="R280" s="162" t="str">
        <f t="shared" si="1084"/>
        <v/>
      </c>
      <c r="S280" s="162" t="str">
        <f t="shared" si="1085"/>
        <v/>
      </c>
      <c r="T280" s="162" t="str">
        <f t="shared" si="1086"/>
        <v/>
      </c>
      <c r="U280" s="162" t="str">
        <f t="shared" si="1087"/>
        <v/>
      </c>
      <c r="V280" s="162" t="str">
        <f t="shared" si="1088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89"/>
        <v/>
      </c>
      <c r="Y280" s="75"/>
      <c r="Z280" s="917" t="str">
        <f t="shared" si="1090"/>
        <v/>
      </c>
      <c r="AA280" s="82"/>
      <c r="AB280" s="75"/>
      <c r="AC280" s="75"/>
      <c r="AD280" s="166"/>
      <c r="AE280" s="75">
        <v>6.2329999999999997</v>
      </c>
      <c r="AF280" s="82">
        <v>6</v>
      </c>
      <c r="AG280" s="82">
        <v>2</v>
      </c>
      <c r="AH280" s="82">
        <v>2</v>
      </c>
      <c r="AI280" s="82">
        <v>0.99999999998544808</v>
      </c>
      <c r="AJ280" s="166">
        <v>6.2332099999999997</v>
      </c>
      <c r="AK280" s="82">
        <v>6.2331099999999999</v>
      </c>
      <c r="AL280" s="162">
        <v>0</v>
      </c>
      <c r="AM280" s="162">
        <v>0</v>
      </c>
      <c r="AN280" s="162">
        <v>0</v>
      </c>
      <c r="AO280" s="162">
        <v>-77.369988829155716</v>
      </c>
      <c r="AP280" s="162">
        <v>0</v>
      </c>
      <c r="AQ280" s="162">
        <v>0</v>
      </c>
      <c r="AR280" s="710" t="str">
        <v>32193r1.par</v>
      </c>
      <c r="AV280" s="82" t="str">
        <v>188,121,255</v>
      </c>
      <c r="AW280" s="947">
        <v>0</v>
      </c>
      <c r="AX280" s="947">
        <v>77.369988829155716</v>
      </c>
      <c r="AY280" s="947">
        <v>-77.369988829155716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81" t="str">
        <f>IFERROR(INDEX([1]List!$AG$1:$AG$65536,MATCH(RIGHT((J281*1000),2),[1]List!$AI$1:$AI$65536,0))*-1,"")</f>
        <v/>
      </c>
      <c r="N281" s="941"/>
      <c r="O281" s="942"/>
      <c r="Q281" s="162" t="str">
        <f t="shared" si="1083"/>
        <v/>
      </c>
      <c r="R281" s="162" t="str">
        <f t="shared" si="1084"/>
        <v/>
      </c>
      <c r="S281" s="162" t="str">
        <f t="shared" si="1085"/>
        <v/>
      </c>
      <c r="T281" s="162" t="str">
        <f t="shared" si="1086"/>
        <v/>
      </c>
      <c r="U281" s="162" t="str">
        <f t="shared" si="1087"/>
        <v/>
      </c>
      <c r="V281" s="162" t="str">
        <f t="shared" si="1088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89"/>
        <v/>
      </c>
      <c r="Y281" s="75"/>
      <c r="Z281" s="917" t="str">
        <f t="shared" si="1090"/>
        <v/>
      </c>
      <c r="AA281" s="82"/>
      <c r="AB281" s="75"/>
      <c r="AC281" s="75"/>
      <c r="AD281" s="166"/>
      <c r="AE281" s="75">
        <v>6.23</v>
      </c>
      <c r="AF281" s="82">
        <v>6</v>
      </c>
      <c r="AG281" s="82">
        <v>2</v>
      </c>
      <c r="AH281" s="82">
        <v>2</v>
      </c>
      <c r="AI281" s="82">
        <v>1.0000000000582077</v>
      </c>
      <c r="AJ281" s="166">
        <v>6.2302100000000005</v>
      </c>
      <c r="AK281" s="82">
        <v>6.2301100000000007</v>
      </c>
      <c r="AL281" s="162">
        <v>0</v>
      </c>
      <c r="AM281" s="162">
        <v>0</v>
      </c>
      <c r="AN281" s="162">
        <v>0</v>
      </c>
      <c r="AO281" s="162">
        <v>-69.48998996688681</v>
      </c>
      <c r="AP281" s="162">
        <v>0</v>
      </c>
      <c r="AQ281" s="162">
        <v>0</v>
      </c>
      <c r="AR281" s="710" t="str">
        <v>32193r1.par</v>
      </c>
      <c r="AV281" s="82" t="str">
        <v>188,121,255</v>
      </c>
      <c r="AW281" s="947">
        <v>0</v>
      </c>
      <c r="AX281" s="947">
        <v>69.48998996688681</v>
      </c>
      <c r="AY281" s="947">
        <v>-69.48998996688681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81" t="str">
        <f>IFERROR(INDEX([1]List!$AG$1:$AG$65536,MATCH(RIGHT((J282*1000),2),[1]List!$AI$1:$AI$65536,0))*-1,"")</f>
        <v/>
      </c>
      <c r="N282" s="941"/>
      <c r="O282" s="942"/>
      <c r="Q282" s="162" t="str">
        <f t="shared" si="1083"/>
        <v/>
      </c>
      <c r="R282" s="162" t="str">
        <f t="shared" si="1084"/>
        <v/>
      </c>
      <c r="S282" s="162" t="str">
        <f t="shared" si="1085"/>
        <v/>
      </c>
      <c r="T282" s="162" t="str">
        <f t="shared" si="1086"/>
        <v/>
      </c>
      <c r="U282" s="162" t="str">
        <f t="shared" si="1087"/>
        <v/>
      </c>
      <c r="V282" s="162" t="str">
        <f t="shared" si="1088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89"/>
        <v/>
      </c>
      <c r="Y282" s="75"/>
      <c r="Z282" s="917" t="str">
        <f t="shared" si="1090"/>
        <v/>
      </c>
      <c r="AA282" s="82"/>
      <c r="AB282" s="75"/>
      <c r="AC282" s="75"/>
      <c r="AD282" s="166"/>
      <c r="AE282" s="75">
        <v>6.2270000000000003</v>
      </c>
      <c r="AF282" s="82">
        <v>6</v>
      </c>
      <c r="AG282" s="82">
        <v>2</v>
      </c>
      <c r="AH282" s="82">
        <v>2</v>
      </c>
      <c r="AI282" s="82">
        <v>1.0000000000582077</v>
      </c>
      <c r="AJ282" s="166">
        <v>6.2272100000000004</v>
      </c>
      <c r="AK282" s="82">
        <v>6.2271100000000006</v>
      </c>
      <c r="AL282" s="162">
        <v>0</v>
      </c>
      <c r="AM282" s="162">
        <v>0</v>
      </c>
      <c r="AN282" s="162">
        <v>0</v>
      </c>
      <c r="AO282" s="162">
        <v>-55.98999191604539</v>
      </c>
      <c r="AP282" s="162">
        <v>0</v>
      </c>
      <c r="AQ282" s="162">
        <v>0</v>
      </c>
      <c r="AR282" s="710" t="str">
        <v>32193r1.par</v>
      </c>
      <c r="AV282" s="82" t="str">
        <v>188,121,255</v>
      </c>
      <c r="AW282" s="947">
        <v>0</v>
      </c>
      <c r="AX282" s="947">
        <v>55.98999191604539</v>
      </c>
      <c r="AY282" s="947">
        <v>-55.98999191604539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81" t="str">
        <f>IFERROR(INDEX([1]List!$AG$1:$AG$65536,MATCH(RIGHT((J283*1000),2),[1]List!$AI$1:$AI$65536,0))*-1,"")</f>
        <v/>
      </c>
      <c r="N283" s="941"/>
      <c r="O283" s="942"/>
      <c r="Q283" s="162" t="str">
        <f t="shared" si="1083"/>
        <v/>
      </c>
      <c r="R283" s="162" t="str">
        <f t="shared" si="1084"/>
        <v/>
      </c>
      <c r="S283" s="162" t="str">
        <f t="shared" si="1085"/>
        <v/>
      </c>
      <c r="T283" s="162" t="str">
        <f t="shared" si="1086"/>
        <v/>
      </c>
      <c r="U283" s="162" t="str">
        <f t="shared" si="1087"/>
        <v/>
      </c>
      <c r="V283" s="162" t="str">
        <f t="shared" si="1088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89"/>
        <v/>
      </c>
      <c r="Y283" s="75"/>
      <c r="Z283" s="917" t="str">
        <f t="shared" si="1090"/>
        <v/>
      </c>
      <c r="AA283" s="82"/>
      <c r="AB283" s="75"/>
      <c r="AC283" s="75"/>
      <c r="AD283" s="166"/>
      <c r="AE283" s="75">
        <v>6.2240000000000002</v>
      </c>
      <c r="AF283" s="82">
        <v>6</v>
      </c>
      <c r="AG283" s="82">
        <v>2</v>
      </c>
      <c r="AH283" s="82">
        <v>2</v>
      </c>
      <c r="AI283" s="82">
        <v>1.0000000000582077</v>
      </c>
      <c r="AJ283" s="166">
        <v>6.2242100000000002</v>
      </c>
      <c r="AK283" s="82">
        <v>6.2241100000000005</v>
      </c>
      <c r="AL283" s="162">
        <v>0</v>
      </c>
      <c r="AM283" s="162">
        <v>0</v>
      </c>
      <c r="AN283" s="162">
        <v>0</v>
      </c>
      <c r="AO283" s="162">
        <v>-42.359993883973615</v>
      </c>
      <c r="AP283" s="162">
        <v>0</v>
      </c>
      <c r="AQ283" s="162">
        <v>0</v>
      </c>
      <c r="AR283" s="710" t="str">
        <v>32193r1.par</v>
      </c>
      <c r="AV283" s="82" t="str">
        <v>188,121,255</v>
      </c>
      <c r="AW283" s="947">
        <v>0</v>
      </c>
      <c r="AX283" s="947">
        <v>42.359993883973615</v>
      </c>
      <c r="AY283" s="947">
        <v>-42.359993883973615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81" t="str">
        <f>IFERROR(INDEX([1]List!$AG$1:$AG$65536,MATCH(RIGHT((J284*1000),2),[1]List!$AI$1:$AI$65536,0))*-1,"")</f>
        <v/>
      </c>
      <c r="N284" s="941"/>
      <c r="O284" s="942"/>
      <c r="Q284" s="162" t="str">
        <f t="shared" si="1083"/>
        <v/>
      </c>
      <c r="R284" s="162" t="str">
        <f t="shared" si="1084"/>
        <v/>
      </c>
      <c r="S284" s="162" t="str">
        <f t="shared" si="1085"/>
        <v/>
      </c>
      <c r="T284" s="162" t="str">
        <f t="shared" si="1086"/>
        <v/>
      </c>
      <c r="U284" s="162" t="str">
        <f t="shared" si="1087"/>
        <v/>
      </c>
      <c r="V284" s="162" t="str">
        <f t="shared" si="1088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89"/>
        <v/>
      </c>
      <c r="Y284" s="75"/>
      <c r="Z284" s="917" t="str">
        <f t="shared" si="1090"/>
        <v/>
      </c>
      <c r="AA284" s="82"/>
      <c r="AB284" s="75"/>
      <c r="AC284" s="75"/>
      <c r="AD284" s="166"/>
      <c r="AE284" s="75">
        <v>6.2210000000000001</v>
      </c>
      <c r="AF284" s="82">
        <v>6</v>
      </c>
      <c r="AG284" s="82">
        <v>2</v>
      </c>
      <c r="AH284" s="82">
        <v>2</v>
      </c>
      <c r="AI284" s="82">
        <v>0.99999999998544808</v>
      </c>
      <c r="AJ284" s="166">
        <v>6.2212100000000001</v>
      </c>
      <c r="AK284" s="82">
        <v>6.2211100000000004</v>
      </c>
      <c r="AL284" s="162">
        <v>0</v>
      </c>
      <c r="AM284" s="162">
        <v>0</v>
      </c>
      <c r="AN284" s="162">
        <v>0</v>
      </c>
      <c r="AO284" s="162">
        <v>-28.739995850458012</v>
      </c>
      <c r="AP284" s="162">
        <v>0</v>
      </c>
      <c r="AQ284" s="162">
        <v>0</v>
      </c>
      <c r="AR284" s="710" t="str">
        <v>32193r1.par</v>
      </c>
      <c r="AV284" s="82" t="str">
        <v>188,121,255</v>
      </c>
      <c r="AW284" s="947">
        <v>0</v>
      </c>
      <c r="AX284" s="947">
        <v>28.739995850458012</v>
      </c>
      <c r="AY284" s="947">
        <v>-28.739995850458012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81" t="str">
        <f>IFERROR(INDEX([1]List!$AG$1:$AG$65536,MATCH(RIGHT((J285*1000),2),[1]List!$AI$1:$AI$65536,0))*-1,"")</f>
        <v/>
      </c>
      <c r="N285" s="941"/>
      <c r="O285" s="942"/>
      <c r="Q285" s="162" t="str">
        <f t="shared" si="1083"/>
        <v/>
      </c>
      <c r="R285" s="162" t="str">
        <f t="shared" si="1084"/>
        <v/>
      </c>
      <c r="S285" s="162" t="str">
        <f t="shared" si="1085"/>
        <v/>
      </c>
      <c r="T285" s="162" t="str">
        <f t="shared" si="1086"/>
        <v/>
      </c>
      <c r="U285" s="162" t="str">
        <f t="shared" si="1087"/>
        <v/>
      </c>
      <c r="V285" s="162" t="str">
        <f t="shared" si="1088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89"/>
        <v/>
      </c>
      <c r="Y285" s="75"/>
      <c r="Z285" s="917" t="str">
        <f t="shared" si="1090"/>
        <v/>
      </c>
      <c r="AA285" s="82"/>
      <c r="AB285" s="75"/>
      <c r="AC285" s="75"/>
      <c r="AD285" s="166"/>
      <c r="AE285" s="75">
        <v>6.218</v>
      </c>
      <c r="AF285" s="82">
        <v>6</v>
      </c>
      <c r="AG285" s="82">
        <v>2</v>
      </c>
      <c r="AH285" s="82">
        <v>2</v>
      </c>
      <c r="AI285" s="82">
        <v>0.99999999998544808</v>
      </c>
      <c r="AJ285" s="166">
        <v>6.21821</v>
      </c>
      <c r="AK285" s="82">
        <v>6.2181100000000002</v>
      </c>
      <c r="AL285" s="162">
        <v>0</v>
      </c>
      <c r="AM285" s="162">
        <v>0</v>
      </c>
      <c r="AN285" s="162">
        <v>0</v>
      </c>
      <c r="AO285" s="162">
        <v>-15.039997828492989</v>
      </c>
      <c r="AP285" s="162">
        <v>0</v>
      </c>
      <c r="AQ285" s="162">
        <v>0</v>
      </c>
      <c r="AR285" s="710" t="str">
        <v>32193r1.par</v>
      </c>
      <c r="AV285" s="82" t="str">
        <v>188,121,255</v>
      </c>
      <c r="AW285" s="947">
        <v>0</v>
      </c>
      <c r="AX285" s="947">
        <v>15.039997828492989</v>
      </c>
      <c r="AY285" s="947">
        <v>-15.039997828492989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81" t="str">
        <f>IFERROR(INDEX([1]List!$AG$1:$AG$65536,MATCH(RIGHT((J286*1000),2),[1]List!$AI$1:$AI$65536,0))*-1,"")</f>
        <v/>
      </c>
      <c r="N286" s="941"/>
      <c r="O286" s="942"/>
      <c r="Q286" s="162" t="str">
        <f t="shared" si="1083"/>
        <v/>
      </c>
      <c r="R286" s="162" t="str">
        <f t="shared" si="1084"/>
        <v/>
      </c>
      <c r="S286" s="162" t="str">
        <f t="shared" si="1085"/>
        <v/>
      </c>
      <c r="T286" s="162" t="str">
        <f t="shared" si="1086"/>
        <v/>
      </c>
      <c r="U286" s="162" t="str">
        <f t="shared" si="1087"/>
        <v/>
      </c>
      <c r="V286" s="162" t="str">
        <f t="shared" si="1088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89"/>
        <v/>
      </c>
      <c r="Y286" s="75"/>
      <c r="Z286" s="917" t="str">
        <f t="shared" si="1090"/>
        <v/>
      </c>
      <c r="AA286" s="82"/>
      <c r="AB286" s="75"/>
      <c r="AC286" s="75"/>
      <c r="AD286" s="166"/>
      <c r="AE286" s="75">
        <v>6.2149999999999999</v>
      </c>
      <c r="AF286" s="82">
        <v>6</v>
      </c>
      <c r="AG286" s="82">
        <v>2</v>
      </c>
      <c r="AH286" s="82">
        <v>2</v>
      </c>
      <c r="AI286" s="82">
        <v>0.99999999998544808</v>
      </c>
      <c r="AJ286" s="166">
        <v>6.2152099999999999</v>
      </c>
      <c r="AK286" s="82">
        <v>6.2151100000000001</v>
      </c>
      <c r="AL286" s="162">
        <v>0</v>
      </c>
      <c r="AM286" s="162">
        <v>0</v>
      </c>
      <c r="AN286" s="162">
        <v>0</v>
      </c>
      <c r="AO286" s="162">
        <v>-1.3999997978650478</v>
      </c>
      <c r="AP286" s="162">
        <v>0</v>
      </c>
      <c r="AQ286" s="162">
        <v>0</v>
      </c>
      <c r="AR286" s="710" t="str">
        <v>32193r1.par</v>
      </c>
      <c r="AV286" s="82" t="str">
        <v>188,121,255</v>
      </c>
      <c r="AW286" s="947">
        <v>0</v>
      </c>
      <c r="AX286" s="947">
        <v>1.3999997978650478</v>
      </c>
      <c r="AY286" s="947">
        <v>-1.3999997978650478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81" t="str">
        <f>IFERROR(INDEX([1]List!$AG$1:$AG$65536,MATCH(RIGHT((J287*1000),2),[1]List!$AI$1:$AI$65536,0))*-1,"")</f>
        <v/>
      </c>
      <c r="N287" s="941"/>
      <c r="O287" s="942"/>
      <c r="Q287" s="162" t="str">
        <f t="shared" si="1083"/>
        <v/>
      </c>
      <c r="R287" s="162" t="str">
        <f t="shared" si="1084"/>
        <v/>
      </c>
      <c r="S287" s="162" t="str">
        <f t="shared" si="1085"/>
        <v/>
      </c>
      <c r="T287" s="162" t="str">
        <f t="shared" si="1086"/>
        <v/>
      </c>
      <c r="U287" s="162" t="str">
        <f t="shared" si="1087"/>
        <v/>
      </c>
      <c r="V287" s="162" t="str">
        <f t="shared" si="1088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89"/>
        <v/>
      </c>
      <c r="Y287" s="75"/>
      <c r="Z287" s="917" t="str">
        <f t="shared" si="1090"/>
        <v/>
      </c>
      <c r="AA287" s="82"/>
      <c r="AB287" s="75"/>
      <c r="AC287" s="75"/>
      <c r="AD287" s="166"/>
      <c r="AE287" s="75">
        <v>6.1390000000000002</v>
      </c>
      <c r="AF287" s="82">
        <v>6</v>
      </c>
      <c r="AG287" s="82">
        <v>1</v>
      </c>
      <c r="AH287" s="82">
        <v>2</v>
      </c>
      <c r="AI287" s="82">
        <v>1.0000000000582077</v>
      </c>
      <c r="AJ287" s="166">
        <v>6.1392100000000003</v>
      </c>
      <c r="AK287" s="82">
        <v>6.1391100000000005</v>
      </c>
      <c r="AL287" s="162">
        <v>0</v>
      </c>
      <c r="AM287" s="162">
        <v>0</v>
      </c>
      <c r="AN287" s="162">
        <v>0</v>
      </c>
      <c r="AO287" s="162">
        <v>-87.999987294373938</v>
      </c>
      <c r="AP287" s="162">
        <v>0</v>
      </c>
      <c r="AQ287" s="162">
        <v>0</v>
      </c>
      <c r="AR287" s="710" t="str">
        <v>1613.par</v>
      </c>
      <c r="AV287" s="82" t="str">
        <v>127,0,255</v>
      </c>
      <c r="AW287" s="947">
        <v>0</v>
      </c>
      <c r="AX287" s="947">
        <v>87.999987294373938</v>
      </c>
      <c r="AY287" s="947">
        <v>-87.999987294373938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81" t="str">
        <f>IFERROR(INDEX([1]List!$AG$1:$AG$65536,MATCH(RIGHT((J288*1000),2),[1]List!$AI$1:$AI$65536,0))*-1,"")</f>
        <v/>
      </c>
      <c r="N288" s="941"/>
      <c r="O288" s="942"/>
      <c r="Q288" s="162" t="str">
        <f t="shared" si="1083"/>
        <v/>
      </c>
      <c r="R288" s="162" t="str">
        <f t="shared" si="1084"/>
        <v/>
      </c>
      <c r="S288" s="162" t="str">
        <f t="shared" si="1085"/>
        <v/>
      </c>
      <c r="T288" s="162" t="str">
        <f t="shared" si="1086"/>
        <v/>
      </c>
      <c r="U288" s="162" t="str">
        <f t="shared" si="1087"/>
        <v/>
      </c>
      <c r="V288" s="162" t="str">
        <f t="shared" si="1088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89"/>
        <v/>
      </c>
      <c r="Y288" s="75"/>
      <c r="Z288" s="917" t="str">
        <f t="shared" si="1090"/>
        <v/>
      </c>
      <c r="AA288" s="82"/>
      <c r="AB288" s="75"/>
      <c r="AC288" s="75"/>
      <c r="AD288" s="166"/>
      <c r="AE288" s="75">
        <v>6.1360000000000001</v>
      </c>
      <c r="AF288" s="82">
        <v>6</v>
      </c>
      <c r="AG288" s="82">
        <v>1</v>
      </c>
      <c r="AH288" s="82">
        <v>2</v>
      </c>
      <c r="AI288" s="82">
        <v>0.99999999998544808</v>
      </c>
      <c r="AJ288" s="166">
        <v>6.1362100000000002</v>
      </c>
      <c r="AK288" s="82">
        <v>6.1361100000000004</v>
      </c>
      <c r="AL288" s="162">
        <v>0</v>
      </c>
      <c r="AM288" s="162">
        <v>0</v>
      </c>
      <c r="AN288" s="162">
        <v>0</v>
      </c>
      <c r="AO288" s="162">
        <v>-83.999987871902363</v>
      </c>
      <c r="AP288" s="162">
        <v>0</v>
      </c>
      <c r="AQ288" s="162">
        <v>0</v>
      </c>
      <c r="AR288" s="710" t="str">
        <v>1613.par</v>
      </c>
      <c r="AV288" s="82" t="str">
        <v>127,0,255</v>
      </c>
      <c r="AW288" s="947">
        <v>0</v>
      </c>
      <c r="AX288" s="947">
        <v>83.999987871902363</v>
      </c>
      <c r="AY288" s="947">
        <v>-83.999987871902363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81" t="str">
        <f>IFERROR(INDEX([1]List!$AG$1:$AG$65536,MATCH(RIGHT((J289*1000),2),[1]List!$AI$1:$AI$65536,0))*-1,"")</f>
        <v/>
      </c>
      <c r="N289" s="941"/>
      <c r="O289" s="942"/>
      <c r="Q289" s="162" t="str">
        <f t="shared" si="1083"/>
        <v/>
      </c>
      <c r="R289" s="162" t="str">
        <f t="shared" si="1084"/>
        <v/>
      </c>
      <c r="S289" s="162" t="str">
        <f t="shared" si="1085"/>
        <v/>
      </c>
      <c r="T289" s="162" t="str">
        <f t="shared" si="1086"/>
        <v/>
      </c>
      <c r="U289" s="162" t="str">
        <f t="shared" si="1087"/>
        <v/>
      </c>
      <c r="V289" s="162" t="str">
        <f t="shared" si="1088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89"/>
        <v/>
      </c>
      <c r="Y289" s="75"/>
      <c r="Z289" s="917" t="str">
        <f t="shared" si="1090"/>
        <v/>
      </c>
      <c r="AA289" s="82"/>
      <c r="AB289" s="75"/>
      <c r="AC289" s="75"/>
      <c r="AD289" s="166"/>
      <c r="AE289" s="75">
        <v>6.133</v>
      </c>
      <c r="AF289" s="82">
        <v>6</v>
      </c>
      <c r="AG289" s="82">
        <v>1</v>
      </c>
      <c r="AH289" s="82">
        <v>2</v>
      </c>
      <c r="AI289" s="82">
        <v>0.99999999998544808</v>
      </c>
      <c r="AJ289" s="166">
        <v>6.1332100000000001</v>
      </c>
      <c r="AK289" s="82">
        <v>6.1331100000000003</v>
      </c>
      <c r="AL289" s="162">
        <v>0</v>
      </c>
      <c r="AM289" s="162">
        <v>0</v>
      </c>
      <c r="AN289" s="162">
        <v>0</v>
      </c>
      <c r="AO289" s="162">
        <v>-78.099988723756766</v>
      </c>
      <c r="AP289" s="162">
        <v>0</v>
      </c>
      <c r="AQ289" s="162">
        <v>0</v>
      </c>
      <c r="AR289" s="710" t="str">
        <v>1613.par</v>
      </c>
      <c r="AV289" s="82" t="str">
        <v>127,0,255</v>
      </c>
      <c r="AW289" s="947">
        <v>0</v>
      </c>
      <c r="AX289" s="947">
        <v>78.099988723756766</v>
      </c>
      <c r="AY289" s="947">
        <v>-78.099988723756766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81" t="str">
        <f>IFERROR(INDEX([1]List!$AG$1:$AG$65536,MATCH(RIGHT((J290*1000),2),[1]List!$AI$1:$AI$65536,0))*-1,"")</f>
        <v/>
      </c>
      <c r="N290" s="941"/>
      <c r="O290" s="942"/>
      <c r="Q290" s="162" t="str">
        <f t="shared" si="1083"/>
        <v/>
      </c>
      <c r="R290" s="162" t="str">
        <f t="shared" si="1084"/>
        <v/>
      </c>
      <c r="S290" s="162" t="str">
        <f t="shared" si="1085"/>
        <v/>
      </c>
      <c r="T290" s="162" t="str">
        <f t="shared" si="1086"/>
        <v/>
      </c>
      <c r="U290" s="162" t="str">
        <f t="shared" si="1087"/>
        <v/>
      </c>
      <c r="V290" s="162" t="str">
        <f t="shared" si="1088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89"/>
        <v/>
      </c>
      <c r="Y290" s="75"/>
      <c r="Z290" s="917" t="str">
        <f t="shared" si="1090"/>
        <v/>
      </c>
      <c r="AA290" s="82"/>
      <c r="AB290" s="75"/>
      <c r="AC290" s="75"/>
      <c r="AD290" s="166"/>
      <c r="AE290" s="75">
        <v>6.13</v>
      </c>
      <c r="AF290" s="82">
        <v>6</v>
      </c>
      <c r="AG290" s="82">
        <v>1</v>
      </c>
      <c r="AH290" s="82">
        <v>2</v>
      </c>
      <c r="AI290" s="82">
        <v>0.99999999998544808</v>
      </c>
      <c r="AJ290" s="166">
        <v>6.1302099999999999</v>
      </c>
      <c r="AK290" s="82">
        <v>6.1301100000000002</v>
      </c>
      <c r="AL290" s="162">
        <v>0</v>
      </c>
      <c r="AM290" s="162">
        <v>0</v>
      </c>
      <c r="AN290" s="162">
        <v>0</v>
      </c>
      <c r="AO290" s="162">
        <v>-70.19998986437551</v>
      </c>
      <c r="AP290" s="162">
        <v>0</v>
      </c>
      <c r="AQ290" s="162">
        <v>0</v>
      </c>
      <c r="AR290" s="710" t="str">
        <v>1613.par</v>
      </c>
      <c r="AV290" s="82" t="str">
        <v>127,0,255</v>
      </c>
      <c r="AW290" s="947">
        <v>0</v>
      </c>
      <c r="AX290" s="947">
        <v>70.19998986437551</v>
      </c>
      <c r="AY290" s="947">
        <v>-70.19998986437551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81" t="str">
        <f>IFERROR(INDEX([1]List!$AG$1:$AG$65536,MATCH(RIGHT((J291*1000),2),[1]List!$AI$1:$AI$65536,0))*-1,"")</f>
        <v/>
      </c>
      <c r="N291" s="941"/>
      <c r="O291" s="942"/>
      <c r="Q291" s="162" t="str">
        <f t="shared" si="1083"/>
        <v/>
      </c>
      <c r="R291" s="162" t="str">
        <f t="shared" si="1084"/>
        <v/>
      </c>
      <c r="S291" s="162" t="str">
        <f t="shared" si="1085"/>
        <v/>
      </c>
      <c r="T291" s="162" t="str">
        <f t="shared" si="1086"/>
        <v/>
      </c>
      <c r="U291" s="162" t="str">
        <f t="shared" si="1087"/>
        <v/>
      </c>
      <c r="V291" s="162" t="str">
        <f t="shared" si="1088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89"/>
        <v/>
      </c>
      <c r="Y291" s="75"/>
      <c r="Z291" s="917" t="str">
        <f t="shared" si="1090"/>
        <v/>
      </c>
      <c r="AA291" s="82"/>
      <c r="AB291" s="75"/>
      <c r="AC291" s="75"/>
      <c r="AD291" s="166"/>
      <c r="AE291" s="75">
        <v>6.1269999999999998</v>
      </c>
      <c r="AF291" s="82">
        <v>6</v>
      </c>
      <c r="AG291" s="82">
        <v>1</v>
      </c>
      <c r="AH291" s="82">
        <v>2</v>
      </c>
      <c r="AI291" s="82">
        <v>0.99999999998544808</v>
      </c>
      <c r="AJ291" s="166">
        <v>6.1272099999999998</v>
      </c>
      <c r="AK291" s="82">
        <v>6.1271100000000001</v>
      </c>
      <c r="AL291" s="162">
        <v>0</v>
      </c>
      <c r="AM291" s="162">
        <v>0</v>
      </c>
      <c r="AN291" s="162">
        <v>0</v>
      </c>
      <c r="AO291" s="162">
        <v>-58.499991553646176</v>
      </c>
      <c r="AP291" s="162">
        <v>0</v>
      </c>
      <c r="AQ291" s="162">
        <v>0</v>
      </c>
      <c r="AR291" s="710" t="str">
        <v>1613.par</v>
      </c>
      <c r="AV291" s="82" t="str">
        <v>127,0,255</v>
      </c>
      <c r="AW291" s="947">
        <v>0</v>
      </c>
      <c r="AX291" s="947">
        <v>58.499991553646176</v>
      </c>
      <c r="AY291" s="947">
        <v>-58.499991553646176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81" t="str">
        <f>IFERROR(INDEX([1]List!$AG$1:$AG$65536,MATCH(RIGHT((J292*1000),2),[1]List!$AI$1:$AI$65536,0))*-1,"")</f>
        <v/>
      </c>
      <c r="N292" s="941"/>
      <c r="O292" s="942"/>
      <c r="Q292" s="162" t="str">
        <f t="shared" si="1083"/>
        <v/>
      </c>
      <c r="R292" s="162" t="str">
        <f t="shared" si="1084"/>
        <v/>
      </c>
      <c r="S292" s="162" t="str">
        <f t="shared" si="1085"/>
        <v/>
      </c>
      <c r="T292" s="162" t="str">
        <f t="shared" si="1086"/>
        <v/>
      </c>
      <c r="U292" s="162" t="str">
        <f t="shared" si="1087"/>
        <v/>
      </c>
      <c r="V292" s="162" t="str">
        <f t="shared" si="1088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89"/>
        <v/>
      </c>
      <c r="Y292" s="75"/>
      <c r="Z292" s="917" t="str">
        <f t="shared" si="1090"/>
        <v/>
      </c>
      <c r="AA292" s="82"/>
      <c r="AB292" s="75"/>
      <c r="AC292" s="75"/>
      <c r="AD292" s="166"/>
      <c r="AE292" s="75">
        <v>6.1239999999999997</v>
      </c>
      <c r="AF292" s="82">
        <v>6</v>
      </c>
      <c r="AG292" s="82">
        <v>1</v>
      </c>
      <c r="AH292" s="82">
        <v>2</v>
      </c>
      <c r="AI292" s="82">
        <v>0.99999999998544808</v>
      </c>
      <c r="AJ292" s="166">
        <v>6.1242099999999997</v>
      </c>
      <c r="AK292" s="82">
        <v>6.1241099999999999</v>
      </c>
      <c r="AL292" s="162">
        <v>0</v>
      </c>
      <c r="AM292" s="162">
        <v>0</v>
      </c>
      <c r="AN292" s="162">
        <v>0</v>
      </c>
      <c r="AO292" s="162">
        <v>-46.699993257355175</v>
      </c>
      <c r="AP292" s="162">
        <v>0</v>
      </c>
      <c r="AQ292" s="162">
        <v>0</v>
      </c>
      <c r="AR292" s="710" t="str">
        <v>1613.par</v>
      </c>
      <c r="AV292" s="82" t="str">
        <v>127,0,255</v>
      </c>
      <c r="AW292" s="947">
        <v>0</v>
      </c>
      <c r="AX292" s="947">
        <v>46.699993257355175</v>
      </c>
      <c r="AY292" s="947">
        <v>-46.699993257355175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81" t="str">
        <f>IFERROR(INDEX([1]List!$AG$1:$AG$65536,MATCH(RIGHT((J293*1000),2),[1]List!$AI$1:$AI$65536,0))*-1,"")</f>
        <v/>
      </c>
      <c r="N293" s="941"/>
      <c r="O293" s="942"/>
      <c r="Q293" s="162" t="str">
        <f t="shared" si="1083"/>
        <v/>
      </c>
      <c r="R293" s="162" t="str">
        <f t="shared" si="1084"/>
        <v/>
      </c>
      <c r="S293" s="162" t="str">
        <f t="shared" si="1085"/>
        <v/>
      </c>
      <c r="T293" s="162" t="str">
        <f t="shared" si="1086"/>
        <v/>
      </c>
      <c r="U293" s="162" t="str">
        <f t="shared" si="1087"/>
        <v/>
      </c>
      <c r="V293" s="162" t="str">
        <f t="shared" si="1088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89"/>
        <v/>
      </c>
      <c r="Y293" s="75"/>
      <c r="Z293" s="917" t="str">
        <f t="shared" si="1090"/>
        <v/>
      </c>
      <c r="AA293" s="82"/>
      <c r="AB293" s="75"/>
      <c r="AC293" s="75"/>
      <c r="AD293" s="166"/>
      <c r="AE293" s="75">
        <v>6.1210000000000004</v>
      </c>
      <c r="AF293" s="82">
        <v>6</v>
      </c>
      <c r="AG293" s="82">
        <v>1</v>
      </c>
      <c r="AH293" s="82">
        <v>2</v>
      </c>
      <c r="AI293" s="82">
        <v>1.0000000000582077</v>
      </c>
      <c r="AJ293" s="166">
        <v>6.1212100000000005</v>
      </c>
      <c r="AK293" s="82">
        <v>6.1211100000000007</v>
      </c>
      <c r="AL293" s="162">
        <v>0</v>
      </c>
      <c r="AM293" s="162">
        <v>0</v>
      </c>
      <c r="AN293" s="162">
        <v>0</v>
      </c>
      <c r="AO293" s="162">
        <v>-34.899994961064216</v>
      </c>
      <c r="AP293" s="162">
        <v>0</v>
      </c>
      <c r="AQ293" s="162">
        <v>0</v>
      </c>
      <c r="AR293" s="710" t="str">
        <v>1613.par</v>
      </c>
      <c r="AV293" s="82" t="str">
        <v>127,0,255</v>
      </c>
      <c r="AW293" s="947">
        <v>0</v>
      </c>
      <c r="AX293" s="947">
        <v>34.899994961064216</v>
      </c>
      <c r="AY293" s="947">
        <v>-34.899994961064216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81" t="str">
        <f>IFERROR(INDEX([1]List!$AG$1:$AG$65536,MATCH(RIGHT((J294*1000),2),[1]List!$AI$1:$AI$65536,0))*-1,"")</f>
        <v/>
      </c>
      <c r="N294" s="941"/>
      <c r="O294" s="942"/>
      <c r="Q294" s="162" t="str">
        <f t="shared" si="1083"/>
        <v/>
      </c>
      <c r="R294" s="162" t="str">
        <f t="shared" si="1084"/>
        <v/>
      </c>
      <c r="S294" s="162" t="str">
        <f t="shared" si="1085"/>
        <v/>
      </c>
      <c r="T294" s="162" t="str">
        <f t="shared" si="1086"/>
        <v/>
      </c>
      <c r="U294" s="162" t="str">
        <f t="shared" si="1087"/>
        <v/>
      </c>
      <c r="V294" s="162" t="str">
        <f t="shared" si="1088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89"/>
        <v/>
      </c>
      <c r="Y294" s="75"/>
      <c r="Z294" s="917" t="str">
        <f t="shared" si="1090"/>
        <v/>
      </c>
      <c r="AA294" s="82"/>
      <c r="AB294" s="75"/>
      <c r="AC294" s="75"/>
      <c r="AD294" s="166"/>
      <c r="AE294" s="75">
        <v>6.1180000000000003</v>
      </c>
      <c r="AF294" s="82">
        <v>6</v>
      </c>
      <c r="AG294" s="82">
        <v>1</v>
      </c>
      <c r="AH294" s="82">
        <v>2</v>
      </c>
      <c r="AI294" s="82">
        <v>1.0000000000582077</v>
      </c>
      <c r="AJ294" s="166">
        <v>6.1182100000000004</v>
      </c>
      <c r="AK294" s="82">
        <v>6.1181100000000006</v>
      </c>
      <c r="AL294" s="162">
        <v>0</v>
      </c>
      <c r="AM294" s="162">
        <v>0</v>
      </c>
      <c r="AN294" s="162">
        <v>0</v>
      </c>
      <c r="AO294" s="162">
        <v>-22.999996679211435</v>
      </c>
      <c r="AP294" s="162">
        <v>0</v>
      </c>
      <c r="AQ294" s="162">
        <v>0</v>
      </c>
      <c r="AR294" s="710" t="str">
        <v>1613.par</v>
      </c>
      <c r="AV294" s="82" t="str">
        <v>127,0,255</v>
      </c>
      <c r="AW294" s="947">
        <v>0</v>
      </c>
      <c r="AX294" s="947">
        <v>22.999996679211435</v>
      </c>
      <c r="AY294" s="947">
        <v>-22.999996679211435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81" t="str">
        <f>IFERROR(INDEX([1]List!$AG$1:$AG$65536,MATCH(RIGHT((J295*1000),2),[1]List!$AI$1:$AI$65536,0))*-1,"")</f>
        <v/>
      </c>
      <c r="N295" s="941"/>
      <c r="O295" s="942"/>
      <c r="Q295" s="162" t="str">
        <f t="shared" si="1083"/>
        <v/>
      </c>
      <c r="R295" s="162" t="str">
        <f t="shared" si="1084"/>
        <v/>
      </c>
      <c r="S295" s="162" t="str">
        <f t="shared" si="1085"/>
        <v/>
      </c>
      <c r="T295" s="162" t="str">
        <f t="shared" si="1086"/>
        <v/>
      </c>
      <c r="U295" s="162" t="str">
        <f t="shared" si="1087"/>
        <v/>
      </c>
      <c r="V295" s="162" t="str">
        <f t="shared" si="1088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89"/>
        <v/>
      </c>
      <c r="Y295" s="75"/>
      <c r="Z295" s="917" t="str">
        <f t="shared" si="1090"/>
        <v/>
      </c>
      <c r="AA295" s="82"/>
      <c r="AB295" s="75"/>
      <c r="AC295" s="75"/>
      <c r="AD295" s="166"/>
      <c r="AE295" s="75">
        <v>6.1150000000000002</v>
      </c>
      <c r="AF295" s="82">
        <v>6</v>
      </c>
      <c r="AG295" s="82">
        <v>1</v>
      </c>
      <c r="AH295" s="82">
        <v>2</v>
      </c>
      <c r="AI295" s="82">
        <v>1.0000000000582077</v>
      </c>
      <c r="AJ295" s="166">
        <v>6.1152100000000003</v>
      </c>
      <c r="AK295" s="82">
        <v>6.1151100000000005</v>
      </c>
      <c r="AL295" s="162">
        <v>0</v>
      </c>
      <c r="AM295" s="162">
        <v>0</v>
      </c>
      <c r="AN295" s="162">
        <v>0</v>
      </c>
      <c r="AO295" s="162">
        <v>-11.19999838292026</v>
      </c>
      <c r="AP295" s="162">
        <v>0</v>
      </c>
      <c r="AQ295" s="162">
        <v>0</v>
      </c>
      <c r="AR295" s="710" t="str">
        <v>1613.par</v>
      </c>
      <c r="AV295" s="82" t="str">
        <v>127,0,255</v>
      </c>
      <c r="AW295" s="947">
        <v>0</v>
      </c>
      <c r="AX295" s="947">
        <v>11.19999838292026</v>
      </c>
      <c r="AY295" s="947">
        <v>-11.19999838292026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81" t="str">
        <f>IFERROR(INDEX([1]List!$AG$1:$AG$65536,MATCH(RIGHT((J296*1000),2),[1]List!$AI$1:$AI$65536,0))*-1,"")</f>
        <v/>
      </c>
      <c r="N296" s="941"/>
      <c r="O296" s="942"/>
      <c r="Q296" s="162" t="str">
        <f t="shared" si="1083"/>
        <v/>
      </c>
      <c r="R296" s="162" t="str">
        <f t="shared" si="1084"/>
        <v/>
      </c>
      <c r="S296" s="162" t="str">
        <f t="shared" si="1085"/>
        <v/>
      </c>
      <c r="T296" s="162" t="str">
        <f t="shared" si="1086"/>
        <v/>
      </c>
      <c r="U296" s="162" t="str">
        <f t="shared" si="1087"/>
        <v/>
      </c>
      <c r="V296" s="162" t="str">
        <f t="shared" si="1088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89"/>
        <v/>
      </c>
      <c r="Y296" s="75"/>
      <c r="Z296" s="917" t="str">
        <f t="shared" si="1090"/>
        <v/>
      </c>
      <c r="AA296" s="82"/>
      <c r="AB296" s="75"/>
      <c r="AC296" s="75"/>
      <c r="AD296" s="166"/>
      <c r="AE296" s="75">
        <v>6.1120000000000001</v>
      </c>
      <c r="AF296" s="82">
        <v>6</v>
      </c>
      <c r="AG296" s="82">
        <v>1</v>
      </c>
      <c r="AH296" s="82">
        <v>2</v>
      </c>
      <c r="AI296" s="82">
        <v>0.99999999998544808</v>
      </c>
      <c r="AJ296" s="166">
        <v>6.1122100000000001</v>
      </c>
      <c r="AK296" s="82">
        <v>6.1121100000000004</v>
      </c>
      <c r="AL296" s="162">
        <v>0</v>
      </c>
      <c r="AM296" s="162">
        <v>0</v>
      </c>
      <c r="AN296" s="162">
        <v>0</v>
      </c>
      <c r="AO296" s="162">
        <v>0.39999994224709201</v>
      </c>
      <c r="AP296" s="162">
        <v>0</v>
      </c>
      <c r="AQ296" s="162">
        <v>0</v>
      </c>
      <c r="AR296" s="710" t="str">
        <v>1613.par</v>
      </c>
      <c r="AV296" s="82" t="str">
        <v>127,0,255</v>
      </c>
      <c r="AW296" s="947">
        <v>0</v>
      </c>
      <c r="AX296" s="947">
        <v>-0.39999994224709201</v>
      </c>
      <c r="AY296" s="947">
        <v>0.39999994224709201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81" t="str">
        <f>IFERROR(INDEX([1]List!$AG$1:$AG$65536,MATCH(RIGHT((J297*1000),2),[1]List!$AI$1:$AI$65536,0))*-1,"")</f>
        <v/>
      </c>
      <c r="N297" s="941"/>
      <c r="O297" s="942"/>
      <c r="Q297" s="162" t="str">
        <f t="shared" si="1083"/>
        <v/>
      </c>
      <c r="R297" s="162" t="str">
        <f t="shared" si="1084"/>
        <v/>
      </c>
      <c r="S297" s="162" t="str">
        <f t="shared" si="1085"/>
        <v/>
      </c>
      <c r="T297" s="162" t="str">
        <f t="shared" si="1086"/>
        <v/>
      </c>
      <c r="U297" s="162" t="str">
        <f t="shared" si="1087"/>
        <v/>
      </c>
      <c r="V297" s="162" t="str">
        <f t="shared" si="1088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89"/>
        <v/>
      </c>
      <c r="Y297" s="75"/>
      <c r="Z297" s="917" t="str">
        <f t="shared" si="1090"/>
        <v/>
      </c>
      <c r="AA297" s="82"/>
      <c r="AB297" s="75"/>
      <c r="AC297" s="75"/>
      <c r="AD297" s="166"/>
      <c r="AE297" s="75">
        <v>5.2350000000000003</v>
      </c>
      <c r="AF297" s="82">
        <v>5</v>
      </c>
      <c r="AG297" s="82">
        <v>2</v>
      </c>
      <c r="AH297" s="82">
        <v>2</v>
      </c>
      <c r="AI297" s="82">
        <v>1.0000000000582077</v>
      </c>
      <c r="AJ297" s="166">
        <v>5.2352100000000004</v>
      </c>
      <c r="AK297" s="82">
        <v>5.2351100000000006</v>
      </c>
      <c r="AL297" s="162">
        <v>0</v>
      </c>
      <c r="AM297" s="162">
        <v>0</v>
      </c>
      <c r="AN297" s="162">
        <v>0</v>
      </c>
      <c r="AO297" s="162">
        <v>-81.139988284835155</v>
      </c>
      <c r="AP297" s="162">
        <v>0</v>
      </c>
      <c r="AQ297" s="162">
        <v>0</v>
      </c>
      <c r="AR297" s="710" t="str">
        <v>32193r1.par</v>
      </c>
      <c r="AV297" s="82" t="str">
        <v>121,188,255</v>
      </c>
      <c r="AW297" s="947">
        <v>0</v>
      </c>
      <c r="AX297" s="947">
        <v>81.139988284835155</v>
      </c>
      <c r="AY297" s="947">
        <v>-81.139988284835155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81" t="str">
        <f>IFERROR(INDEX([1]List!$AG$1:$AG$65536,MATCH(RIGHT((J298*1000),2),[1]List!$AI$1:$AI$65536,0))*-1,"")</f>
        <v/>
      </c>
      <c r="N298" s="941"/>
      <c r="O298" s="942"/>
      <c r="Q298" s="162" t="str">
        <f t="shared" si="1083"/>
        <v/>
      </c>
      <c r="R298" s="162" t="str">
        <f t="shared" si="1084"/>
        <v/>
      </c>
      <c r="S298" s="162" t="str">
        <f t="shared" si="1085"/>
        <v/>
      </c>
      <c r="T298" s="162" t="str">
        <f t="shared" si="1086"/>
        <v/>
      </c>
      <c r="U298" s="162" t="str">
        <f t="shared" si="1087"/>
        <v/>
      </c>
      <c r="V298" s="162" t="str">
        <f t="shared" si="1088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89"/>
        <v/>
      </c>
      <c r="Y298" s="75"/>
      <c r="Z298" s="917" t="str">
        <f t="shared" si="1090"/>
        <v/>
      </c>
      <c r="AA298" s="82"/>
      <c r="AB298" s="75"/>
      <c r="AC298" s="75"/>
      <c r="AD298" s="166"/>
      <c r="AE298" s="75">
        <v>5.2320000000000002</v>
      </c>
      <c r="AF298" s="82">
        <v>5</v>
      </c>
      <c r="AG298" s="82">
        <v>2</v>
      </c>
      <c r="AH298" s="82">
        <v>2</v>
      </c>
      <c r="AI298" s="82">
        <v>1.0000000000582077</v>
      </c>
      <c r="AJ298" s="166">
        <v>5.2322100000000002</v>
      </c>
      <c r="AK298" s="82">
        <v>5.2321100000000005</v>
      </c>
      <c r="AL298" s="162">
        <v>0</v>
      </c>
      <c r="AM298" s="162">
        <v>0</v>
      </c>
      <c r="AN298" s="162">
        <v>0</v>
      </c>
      <c r="AO298" s="162">
        <v>-75.519989096262663</v>
      </c>
      <c r="AP298" s="162">
        <v>0</v>
      </c>
      <c r="AQ298" s="162">
        <v>0</v>
      </c>
      <c r="AR298" s="710" t="str">
        <v>32193r1.par</v>
      </c>
      <c r="AV298" s="82" t="str">
        <v>121,188,255</v>
      </c>
      <c r="AW298" s="947">
        <v>0</v>
      </c>
      <c r="AX298" s="947">
        <v>75.519989096262663</v>
      </c>
      <c r="AY298" s="947">
        <v>-75.519989096262663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81" t="str">
        <f>IFERROR(INDEX([1]List!$AG$1:$AG$65536,MATCH(RIGHT((J299*1000),2),[1]List!$AI$1:$AI$65536,0))*-1,"")</f>
        <v/>
      </c>
      <c r="N299" s="941"/>
      <c r="O299" s="942"/>
      <c r="Q299" s="162" t="str">
        <f t="shared" si="1083"/>
        <v/>
      </c>
      <c r="R299" s="162" t="str">
        <f t="shared" si="1084"/>
        <v/>
      </c>
      <c r="S299" s="162" t="str">
        <f t="shared" si="1085"/>
        <v/>
      </c>
      <c r="T299" s="162" t="str">
        <f t="shared" si="1086"/>
        <v/>
      </c>
      <c r="U299" s="162" t="str">
        <f t="shared" si="1087"/>
        <v/>
      </c>
      <c r="V299" s="162" t="str">
        <f t="shared" si="1088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89"/>
        <v/>
      </c>
      <c r="Y299" s="75"/>
      <c r="Z299" s="917" t="str">
        <f t="shared" si="1090"/>
        <v/>
      </c>
      <c r="AA299" s="82"/>
      <c r="AB299" s="75"/>
      <c r="AC299" s="75"/>
      <c r="AD299" s="166"/>
      <c r="AE299" s="75">
        <v>5.2290000000000001</v>
      </c>
      <c r="AF299" s="82">
        <v>5</v>
      </c>
      <c r="AG299" s="82">
        <v>2</v>
      </c>
      <c r="AH299" s="82">
        <v>2</v>
      </c>
      <c r="AI299" s="82">
        <v>0.99999999998544808</v>
      </c>
      <c r="AJ299" s="166">
        <v>5.2292100000000001</v>
      </c>
      <c r="AK299" s="82">
        <v>5.2291100000000004</v>
      </c>
      <c r="AL299" s="162">
        <v>0</v>
      </c>
      <c r="AM299" s="162">
        <v>0</v>
      </c>
      <c r="AN299" s="162">
        <v>0</v>
      </c>
      <c r="AO299" s="162">
        <v>-65.009990613718642</v>
      </c>
      <c r="AP299" s="162">
        <v>0</v>
      </c>
      <c r="AQ299" s="162">
        <v>0</v>
      </c>
      <c r="AR299" s="710" t="str">
        <v>32193r1.par</v>
      </c>
      <c r="AV299" s="82" t="str">
        <v>121,188,255</v>
      </c>
      <c r="AW299" s="947">
        <v>0</v>
      </c>
      <c r="AX299" s="947">
        <v>65.009990613718642</v>
      </c>
      <c r="AY299" s="947">
        <v>-65.009990613718642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81" t="str">
        <f>IFERROR(INDEX([1]List!$AG$1:$AG$65536,MATCH(RIGHT((J300*1000),2),[1]List!$AI$1:$AI$65536,0))*-1,"")</f>
        <v/>
      </c>
      <c r="N300" s="941"/>
      <c r="O300" s="942"/>
      <c r="Q300" s="162" t="str">
        <f t="shared" si="1083"/>
        <v/>
      </c>
      <c r="R300" s="162" t="str">
        <f t="shared" si="1084"/>
        <v/>
      </c>
      <c r="S300" s="162" t="str">
        <f t="shared" si="1085"/>
        <v/>
      </c>
      <c r="T300" s="162" t="str">
        <f t="shared" si="1086"/>
        <v/>
      </c>
      <c r="U300" s="162" t="str">
        <f t="shared" si="1087"/>
        <v/>
      </c>
      <c r="V300" s="162" t="str">
        <f t="shared" si="1088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89"/>
        <v/>
      </c>
      <c r="Y300" s="75"/>
      <c r="Z300" s="917" t="str">
        <f t="shared" si="1090"/>
        <v/>
      </c>
      <c r="AA300" s="82"/>
      <c r="AB300" s="75"/>
      <c r="AC300" s="75"/>
      <c r="AD300" s="166"/>
      <c r="AE300" s="75">
        <v>5.226</v>
      </c>
      <c r="AF300" s="82">
        <v>5</v>
      </c>
      <c r="AG300" s="82">
        <v>2</v>
      </c>
      <c r="AH300" s="82">
        <v>2</v>
      </c>
      <c r="AI300" s="82">
        <v>0.99999999998544808</v>
      </c>
      <c r="AJ300" s="166">
        <v>5.22621</v>
      </c>
      <c r="AK300" s="82">
        <v>5.2261100000000003</v>
      </c>
      <c r="AL300" s="162">
        <v>0</v>
      </c>
      <c r="AM300" s="162">
        <v>0</v>
      </c>
      <c r="AN300" s="162">
        <v>0</v>
      </c>
      <c r="AO300" s="162">
        <v>-51.449992571540129</v>
      </c>
      <c r="AP300" s="162">
        <v>0</v>
      </c>
      <c r="AQ300" s="162">
        <v>0</v>
      </c>
      <c r="AR300" s="710" t="str">
        <v>32193r1.par</v>
      </c>
      <c r="AV300" s="82" t="str">
        <v>121,188,255</v>
      </c>
      <c r="AW300" s="947">
        <v>0</v>
      </c>
      <c r="AX300" s="947">
        <v>51.449992571540129</v>
      </c>
      <c r="AY300" s="947">
        <v>-51.449992571540129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81" t="str">
        <f>IFERROR(INDEX([1]List!$AG$1:$AG$65536,MATCH(RIGHT((J301*1000),2),[1]List!$AI$1:$AI$65536,0))*-1,"")</f>
        <v/>
      </c>
      <c r="N301" s="941"/>
      <c r="O301" s="942"/>
      <c r="Q301" s="162" t="str">
        <f t="shared" si="1083"/>
        <v/>
      </c>
      <c r="R301" s="162" t="str">
        <f t="shared" si="1084"/>
        <v/>
      </c>
      <c r="S301" s="162" t="str">
        <f t="shared" si="1085"/>
        <v/>
      </c>
      <c r="T301" s="162" t="str">
        <f t="shared" si="1086"/>
        <v/>
      </c>
      <c r="U301" s="162" t="str">
        <f t="shared" si="1087"/>
        <v/>
      </c>
      <c r="V301" s="162" t="str">
        <f t="shared" si="1088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89"/>
        <v/>
      </c>
      <c r="Y301" s="75"/>
      <c r="Z301" s="917" t="str">
        <f t="shared" si="1090"/>
        <v/>
      </c>
      <c r="AA301" s="82"/>
      <c r="AB301" s="75"/>
      <c r="AC301" s="75"/>
      <c r="AD301" s="166"/>
      <c r="AE301" s="75">
        <v>5.2229999999999999</v>
      </c>
      <c r="AF301" s="82">
        <v>5</v>
      </c>
      <c r="AG301" s="82">
        <v>2</v>
      </c>
      <c r="AH301" s="82">
        <v>2</v>
      </c>
      <c r="AI301" s="82">
        <v>0.99999999998544808</v>
      </c>
      <c r="AJ301" s="166">
        <v>5.2232099999999999</v>
      </c>
      <c r="AK301" s="82">
        <v>5.2231100000000001</v>
      </c>
      <c r="AL301" s="162">
        <v>0</v>
      </c>
      <c r="AM301" s="162">
        <v>0</v>
      </c>
      <c r="AN301" s="162">
        <v>0</v>
      </c>
      <c r="AO301" s="162">
        <v>-37.819994539468382</v>
      </c>
      <c r="AP301" s="162">
        <v>0</v>
      </c>
      <c r="AQ301" s="162">
        <v>0</v>
      </c>
      <c r="AR301" s="710" t="str">
        <v>32193r1.par</v>
      </c>
      <c r="AV301" s="82" t="str">
        <v>121,188,255</v>
      </c>
      <c r="AW301" s="947">
        <v>0</v>
      </c>
      <c r="AX301" s="947">
        <v>37.819994539468382</v>
      </c>
      <c r="AY301" s="947">
        <v>-37.819994539468382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81" t="str">
        <f>IFERROR(INDEX([1]List!$AG$1:$AG$65536,MATCH(RIGHT((J302*1000),2),[1]List!$AI$1:$AI$65536,0))*-1,"")</f>
        <v/>
      </c>
      <c r="N302" s="941"/>
      <c r="O302" s="942"/>
      <c r="Q302" s="162" t="str">
        <f t="shared" si="1083"/>
        <v/>
      </c>
      <c r="R302" s="162" t="str">
        <f t="shared" si="1084"/>
        <v/>
      </c>
      <c r="S302" s="162" t="str">
        <f t="shared" si="1085"/>
        <v/>
      </c>
      <c r="T302" s="162" t="str">
        <f t="shared" si="1086"/>
        <v/>
      </c>
      <c r="U302" s="162" t="str">
        <f t="shared" si="1087"/>
        <v/>
      </c>
      <c r="V302" s="162" t="str">
        <f t="shared" si="1088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89"/>
        <v/>
      </c>
      <c r="Y302" s="75"/>
      <c r="Z302" s="917" t="str">
        <f t="shared" si="1090"/>
        <v/>
      </c>
      <c r="AA302" s="82"/>
      <c r="AB302" s="75"/>
      <c r="AC302" s="75"/>
      <c r="AD302" s="166"/>
      <c r="AE302" s="75">
        <v>5.22</v>
      </c>
      <c r="AF302" s="82">
        <v>5</v>
      </c>
      <c r="AG302" s="82">
        <v>2</v>
      </c>
      <c r="AH302" s="82">
        <v>2</v>
      </c>
      <c r="AI302" s="82">
        <v>0.99999999998544808</v>
      </c>
      <c r="AJ302" s="166">
        <v>5.2202099999999998</v>
      </c>
      <c r="AK302" s="82">
        <v>5.22011</v>
      </c>
      <c r="AL302" s="162">
        <v>0</v>
      </c>
      <c r="AM302" s="162">
        <v>0</v>
      </c>
      <c r="AN302" s="162">
        <v>0</v>
      </c>
      <c r="AO302" s="162">
        <v>-24.199996505952821</v>
      </c>
      <c r="AP302" s="162">
        <v>0</v>
      </c>
      <c r="AQ302" s="162">
        <v>0</v>
      </c>
      <c r="AR302" s="710" t="str">
        <v>32193r1.par</v>
      </c>
      <c r="AV302" s="82" t="str">
        <v>121,188,255</v>
      </c>
      <c r="AW302" s="947">
        <v>0</v>
      </c>
      <c r="AX302" s="947">
        <v>24.199996505952821</v>
      </c>
      <c r="AY302" s="947">
        <v>-24.199996505952821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81" t="str">
        <f>IFERROR(INDEX([1]List!$AG$1:$AG$65536,MATCH(RIGHT((J303*1000),2),[1]List!$AI$1:$AI$65536,0))*-1,"")</f>
        <v/>
      </c>
      <c r="N303" s="941"/>
      <c r="O303" s="942"/>
      <c r="Q303" s="162" t="str">
        <f t="shared" si="1083"/>
        <v/>
      </c>
      <c r="R303" s="162" t="str">
        <f t="shared" si="1084"/>
        <v/>
      </c>
      <c r="S303" s="162" t="str">
        <f t="shared" si="1085"/>
        <v/>
      </c>
      <c r="T303" s="162" t="str">
        <f t="shared" si="1086"/>
        <v/>
      </c>
      <c r="U303" s="162" t="str">
        <f t="shared" si="1087"/>
        <v/>
      </c>
      <c r="V303" s="162" t="str">
        <f t="shared" si="1088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89"/>
        <v/>
      </c>
      <c r="Y303" s="75"/>
      <c r="Z303" s="917" t="str">
        <f t="shared" si="1090"/>
        <v/>
      </c>
      <c r="AA303" s="82"/>
      <c r="AB303" s="75"/>
      <c r="AC303" s="75"/>
      <c r="AD303" s="166"/>
      <c r="AE303" s="75">
        <v>5.2169999999999996</v>
      </c>
      <c r="AF303" s="82">
        <v>5</v>
      </c>
      <c r="AG303" s="82">
        <v>2</v>
      </c>
      <c r="AH303" s="82">
        <v>2</v>
      </c>
      <c r="AI303" s="82">
        <v>0.99999999998544808</v>
      </c>
      <c r="AJ303" s="166">
        <v>5.2172099999999997</v>
      </c>
      <c r="AK303" s="82">
        <v>5.2171099999999999</v>
      </c>
      <c r="AL303" s="162">
        <v>0</v>
      </c>
      <c r="AM303" s="162">
        <v>0</v>
      </c>
      <c r="AN303" s="162">
        <v>0</v>
      </c>
      <c r="AO303" s="162">
        <v>-10.429998494094555</v>
      </c>
      <c r="AP303" s="162">
        <v>0</v>
      </c>
      <c r="AQ303" s="162">
        <v>0</v>
      </c>
      <c r="AR303" s="710" t="str">
        <v>32193r1.par</v>
      </c>
      <c r="AV303" s="82" t="str">
        <v>121,188,255</v>
      </c>
      <c r="AW303" s="947">
        <v>0</v>
      </c>
      <c r="AX303" s="947">
        <v>10.429998494094555</v>
      </c>
      <c r="AY303" s="947">
        <v>-10.429998494094555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81" t="str">
        <f>IFERROR(INDEX([1]List!$AG$1:$AG$65536,MATCH(RIGHT((J304*1000),2),[1]List!$AI$1:$AI$65536,0))*-1,"")</f>
        <v/>
      </c>
      <c r="N304" s="941"/>
      <c r="O304" s="942"/>
      <c r="Q304" s="162" t="str">
        <f t="shared" si="1083"/>
        <v/>
      </c>
      <c r="R304" s="162" t="str">
        <f t="shared" si="1084"/>
        <v/>
      </c>
      <c r="S304" s="162" t="str">
        <f t="shared" si="1085"/>
        <v/>
      </c>
      <c r="T304" s="162" t="str">
        <f t="shared" si="1086"/>
        <v/>
      </c>
      <c r="U304" s="162" t="str">
        <f t="shared" si="1087"/>
        <v/>
      </c>
      <c r="V304" s="162" t="str">
        <f t="shared" si="1088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89"/>
        <v/>
      </c>
      <c r="Y304" s="75"/>
      <c r="Z304" s="917" t="str">
        <f t="shared" si="1090"/>
        <v/>
      </c>
      <c r="AA304" s="82"/>
      <c r="AB304" s="75"/>
      <c r="AC304" s="75"/>
      <c r="AD304" s="166"/>
      <c r="AE304" s="75">
        <v>5.1379999999999999</v>
      </c>
      <c r="AF304" s="82">
        <v>5</v>
      </c>
      <c r="AG304" s="82">
        <v>1</v>
      </c>
      <c r="AH304" s="82">
        <v>2</v>
      </c>
      <c r="AI304" s="82">
        <v>0.99999999998544808</v>
      </c>
      <c r="AJ304" s="166">
        <v>5.1382099999999999</v>
      </c>
      <c r="AK304" s="82">
        <v>5.1381100000000002</v>
      </c>
      <c r="AL304" s="162">
        <v>0</v>
      </c>
      <c r="AM304" s="162">
        <v>0</v>
      </c>
      <c r="AN304" s="162">
        <v>0</v>
      </c>
      <c r="AO304" s="162">
        <v>-87.999987294373852</v>
      </c>
      <c r="AP304" s="162">
        <v>0</v>
      </c>
      <c r="AQ304" s="162">
        <v>0</v>
      </c>
      <c r="AR304" s="710" t="str">
        <v>1613.par</v>
      </c>
      <c r="AV304" s="82" t="str">
        <v>0,102,204</v>
      </c>
      <c r="AW304" s="947">
        <v>0</v>
      </c>
      <c r="AX304" s="947">
        <v>87.999987294373852</v>
      </c>
      <c r="AY304" s="947">
        <v>-87.999987294373852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82" t="str">
        <f>IFERROR(INDEX([1]List!$AG$1:$AG$65536,MATCH(RIGHT((J305*1000),2),[1]List!$AI$1:$AI$65536,0))*-1,"")</f>
        <v/>
      </c>
      <c r="N305" s="945"/>
      <c r="O305" s="946"/>
      <c r="Q305" s="162" t="str">
        <f t="shared" si="1083"/>
        <v/>
      </c>
      <c r="R305" s="162" t="str">
        <f t="shared" si="1084"/>
        <v/>
      </c>
      <c r="S305" s="162" t="str">
        <f t="shared" si="1085"/>
        <v/>
      </c>
      <c r="T305" s="162" t="str">
        <f t="shared" si="1086"/>
        <v/>
      </c>
      <c r="U305" s="162" t="str">
        <f t="shared" si="1087"/>
        <v/>
      </c>
      <c r="V305" s="162" t="str">
        <f t="shared" si="1088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89"/>
        <v/>
      </c>
      <c r="Y305" s="75"/>
      <c r="Z305" s="917" t="str">
        <f t="shared" si="1090"/>
        <v/>
      </c>
      <c r="AA305" s="82"/>
      <c r="AB305" s="75"/>
      <c r="AC305" s="75"/>
      <c r="AD305" s="166"/>
      <c r="AE305" s="75">
        <v>5.1349999999999998</v>
      </c>
      <c r="AF305" s="82">
        <v>5</v>
      </c>
      <c r="AG305" s="82">
        <v>1</v>
      </c>
      <c r="AH305" s="82">
        <v>2</v>
      </c>
      <c r="AI305" s="82">
        <v>0.99999999998544808</v>
      </c>
      <c r="AJ305" s="166">
        <v>5.1352099999999998</v>
      </c>
      <c r="AK305" s="82">
        <v>5.1351100000000001</v>
      </c>
      <c r="AL305" s="162">
        <v>0</v>
      </c>
      <c r="AM305" s="162">
        <v>0</v>
      </c>
      <c r="AN305" s="162">
        <v>0</v>
      </c>
      <c r="AO305" s="162">
        <v>-81.999988160666575</v>
      </c>
      <c r="AP305" s="162">
        <v>0</v>
      </c>
      <c r="AQ305" s="162">
        <v>0</v>
      </c>
      <c r="AR305" s="710" t="str">
        <v>1613.par</v>
      </c>
      <c r="AV305" s="82" t="str">
        <v>0,102,204</v>
      </c>
      <c r="AW305" s="947">
        <v>0</v>
      </c>
      <c r="AX305" s="947">
        <v>81.999988160666575</v>
      </c>
      <c r="AY305" s="947">
        <v>-81.999988160666575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2"/>
      <c r="W306" s="199"/>
      <c r="X306" s="199"/>
      <c r="AA306" s="82"/>
      <c r="AB306" s="75"/>
      <c r="AC306" s="75"/>
      <c r="AD306" s="166"/>
      <c r="AE306" s="75">
        <v>5.1319999999999997</v>
      </c>
      <c r="AF306" s="82">
        <v>5</v>
      </c>
      <c r="AG306" s="82">
        <v>1</v>
      </c>
      <c r="AH306" s="82">
        <v>2</v>
      </c>
      <c r="AI306" s="82">
        <v>0.99999999998544808</v>
      </c>
      <c r="AJ306" s="166">
        <v>5.1322099999999997</v>
      </c>
      <c r="AK306" s="82">
        <v>5.1321099999999999</v>
      </c>
      <c r="AL306" s="162">
        <v>0</v>
      </c>
      <c r="AM306" s="162">
        <v>0</v>
      </c>
      <c r="AN306" s="162">
        <v>0</v>
      </c>
      <c r="AO306" s="162">
        <v>-76.099989012520979</v>
      </c>
      <c r="AP306" s="162">
        <v>0</v>
      </c>
      <c r="AQ306" s="162">
        <v>0</v>
      </c>
      <c r="AR306" s="710" t="str">
        <v>1613.par</v>
      </c>
      <c r="AV306" s="82" t="str">
        <v>0,102,204</v>
      </c>
      <c r="AW306" s="947">
        <v>0</v>
      </c>
      <c r="AX306" s="947">
        <v>76.099989012520979</v>
      </c>
      <c r="AY306" s="947">
        <v>-76.099989012520979</v>
      </c>
    </row>
    <row r="307" spans="2:51" x14ac:dyDescent="0.25">
      <c r="Q307" s="139"/>
      <c r="R307" s="970"/>
      <c r="V307" s="972"/>
      <c r="W307" s="199"/>
      <c r="X307" s="199"/>
      <c r="AA307" s="82"/>
      <c r="AB307" s="75"/>
      <c r="AC307" s="75"/>
      <c r="AD307" s="166"/>
      <c r="AE307" s="75">
        <v>5.1289999999999996</v>
      </c>
      <c r="AF307" s="82">
        <v>5</v>
      </c>
      <c r="AG307" s="82">
        <v>1</v>
      </c>
      <c r="AH307" s="82">
        <v>2</v>
      </c>
      <c r="AI307" s="82">
        <v>0.99999999998544808</v>
      </c>
      <c r="AJ307" s="166">
        <v>5.1292099999999996</v>
      </c>
      <c r="AK307" s="82">
        <v>5.1291099999999998</v>
      </c>
      <c r="AL307" s="162">
        <v>0</v>
      </c>
      <c r="AM307" s="162">
        <v>0</v>
      </c>
      <c r="AN307" s="162">
        <v>0</v>
      </c>
      <c r="AO307" s="162">
        <v>-66.299990427465744</v>
      </c>
      <c r="AP307" s="162">
        <v>0</v>
      </c>
      <c r="AQ307" s="162">
        <v>0</v>
      </c>
      <c r="AR307" s="710" t="str">
        <v>1613.par</v>
      </c>
      <c r="AV307" s="82" t="str">
        <v>0,102,204</v>
      </c>
      <c r="AW307" s="947">
        <v>0</v>
      </c>
      <c r="AX307" s="947">
        <v>66.299990427465744</v>
      </c>
      <c r="AY307" s="947">
        <v>-66.299990427465744</v>
      </c>
    </row>
    <row r="308" spans="2:51" x14ac:dyDescent="0.25">
      <c r="Q308" s="139"/>
      <c r="R308" s="970"/>
      <c r="V308" s="972"/>
      <c r="W308" s="199"/>
      <c r="X308" s="199"/>
      <c r="AA308" s="82"/>
      <c r="AB308" s="75"/>
      <c r="AC308" s="75"/>
      <c r="AD308" s="166"/>
      <c r="AE308" s="75">
        <v>5.1260000000000003</v>
      </c>
      <c r="AF308" s="82">
        <v>5</v>
      </c>
      <c r="AG308" s="82">
        <v>1</v>
      </c>
      <c r="AH308" s="82">
        <v>2</v>
      </c>
      <c r="AI308" s="82">
        <v>1.0000000000582077</v>
      </c>
      <c r="AJ308" s="166">
        <v>5.1262100000000004</v>
      </c>
      <c r="AK308" s="82">
        <v>5.1261100000000006</v>
      </c>
      <c r="AL308" s="162">
        <v>0</v>
      </c>
      <c r="AM308" s="162">
        <v>0</v>
      </c>
      <c r="AN308" s="162">
        <v>0</v>
      </c>
      <c r="AO308" s="162">
        <v>-54.599992116736459</v>
      </c>
      <c r="AP308" s="162">
        <v>0</v>
      </c>
      <c r="AQ308" s="162">
        <v>0</v>
      </c>
      <c r="AR308" s="710" t="str">
        <v>1613.par</v>
      </c>
      <c r="AV308" s="82" t="str">
        <v>0,102,204</v>
      </c>
      <c r="AW308" s="947">
        <v>0</v>
      </c>
      <c r="AX308" s="947">
        <v>54.599992116736459</v>
      </c>
      <c r="AY308" s="947">
        <v>-54.599992116736459</v>
      </c>
    </row>
    <row r="309" spans="2:51" x14ac:dyDescent="0.25">
      <c r="E309" s="1085" t="s">
        <v>11</v>
      </c>
      <c r="F309" s="1086"/>
      <c r="G309" s="1087" t="s">
        <v>10</v>
      </c>
      <c r="H309" s="973" t="s">
        <v>15</v>
      </c>
      <c r="I309" s="974" t="s">
        <v>16</v>
      </c>
      <c r="Q309" s="139"/>
      <c r="R309" s="970"/>
      <c r="V309" s="972"/>
      <c r="W309" s="199"/>
      <c r="X309" s="199"/>
      <c r="AA309" s="82"/>
      <c r="AB309" s="75"/>
      <c r="AC309" s="75"/>
      <c r="AD309" s="166"/>
      <c r="AE309" s="75">
        <v>5.1230000000000002</v>
      </c>
      <c r="AF309" s="82">
        <v>5</v>
      </c>
      <c r="AG309" s="82">
        <v>1</v>
      </c>
      <c r="AH309" s="82">
        <v>2</v>
      </c>
      <c r="AI309" s="82">
        <v>1.0000000000582077</v>
      </c>
      <c r="AJ309" s="166">
        <v>5.1232100000000003</v>
      </c>
      <c r="AK309" s="82">
        <v>5.1231100000000005</v>
      </c>
      <c r="AL309" s="162">
        <v>0</v>
      </c>
      <c r="AM309" s="162">
        <v>0</v>
      </c>
      <c r="AN309" s="162">
        <v>0</v>
      </c>
      <c r="AO309" s="162">
        <v>-42.799993820445458</v>
      </c>
      <c r="AP309" s="162">
        <v>0</v>
      </c>
      <c r="AQ309" s="162">
        <v>0</v>
      </c>
      <c r="AR309" s="710" t="str">
        <v>1613.par</v>
      </c>
      <c r="AV309" s="82" t="str">
        <v>0,102,204</v>
      </c>
      <c r="AW309" s="947">
        <v>0</v>
      </c>
      <c r="AX309" s="947">
        <v>42.799993820445458</v>
      </c>
      <c r="AY309" s="947">
        <v>-42.799993820445458</v>
      </c>
    </row>
    <row r="310" spans="2:51" ht="15.75" thickBot="1" x14ac:dyDescent="0.3">
      <c r="E310" s="975" t="s">
        <v>18</v>
      </c>
      <c r="F310" s="976" t="s">
        <v>19</v>
      </c>
      <c r="G310" s="1088"/>
      <c r="H310" s="977" t="s">
        <v>26</v>
      </c>
      <c r="I310" s="978" t="s">
        <v>27</v>
      </c>
      <c r="J310" s="31" t="s">
        <v>422</v>
      </c>
      <c r="Q310" s="139"/>
      <c r="R310" s="970"/>
      <c r="V310" s="972"/>
      <c r="W310" s="199"/>
      <c r="X310" s="199"/>
      <c r="AA310" s="82"/>
      <c r="AB310" s="75"/>
      <c r="AC310" s="75"/>
      <c r="AD310" s="166"/>
      <c r="AE310" s="75">
        <v>5.12</v>
      </c>
      <c r="AF310" s="82">
        <v>5</v>
      </c>
      <c r="AG310" s="82">
        <v>1</v>
      </c>
      <c r="AH310" s="82">
        <v>2</v>
      </c>
      <c r="AI310" s="82">
        <v>0.99999999998544808</v>
      </c>
      <c r="AJ310" s="166">
        <v>5.1202100000000002</v>
      </c>
      <c r="AK310" s="82">
        <v>5.1201100000000004</v>
      </c>
      <c r="AL310" s="162">
        <v>0</v>
      </c>
      <c r="AM310" s="162">
        <v>0</v>
      </c>
      <c r="AN310" s="162">
        <v>0</v>
      </c>
      <c r="AO310" s="162">
        <v>-31.099995509716297</v>
      </c>
      <c r="AP310" s="162">
        <v>0</v>
      </c>
      <c r="AQ310" s="162">
        <v>0</v>
      </c>
      <c r="AR310" s="710" t="str">
        <v>1613.par</v>
      </c>
      <c r="AV310" s="82" t="str">
        <v>0,102,204</v>
      </c>
      <c r="AW310" s="947">
        <v>0</v>
      </c>
      <c r="AX310" s="947">
        <v>31.099995509716297</v>
      </c>
      <c r="AY310" s="947">
        <v>-31.099995509716297</v>
      </c>
    </row>
    <row r="311" spans="2:51" ht="15.75" thickTop="1" x14ac:dyDescent="0.25">
      <c r="D311" s="163">
        <v>1.101</v>
      </c>
      <c r="E311">
        <f>INDEX($Q$9:$Q$150,MATCH($D311,$M$9:$M$150,0))</f>
        <v>90.000016697703245</v>
      </c>
      <c r="F311">
        <f>INDEX($R$9:$R$150,MATCH($D311,$M$9:$M$150,0))</f>
        <v>0.33880101542602581</v>
      </c>
      <c r="G311">
        <f>INDEX($S$9:$S$150,MATCH($D311,$M$9:$M$150,0))</f>
        <v>-0.93825278937596535</v>
      </c>
      <c r="H311">
        <f>INDEX($AN$9:$AN$150,MATCH($D311,$M$9:$M$150,0))</f>
        <v>8.9999588850334611</v>
      </c>
      <c r="I311">
        <f>INDEX($AO$9:$AO$150,MATCH($D311,$M$9:$M$150,0))</f>
        <v>22.499994139312239</v>
      </c>
      <c r="J311" s="971">
        <v>70</v>
      </c>
      <c r="Q311" s="139"/>
      <c r="R311" s="970"/>
      <c r="V311" s="972"/>
      <c r="W311" s="199"/>
      <c r="X311" s="199"/>
      <c r="AA311" s="82"/>
      <c r="AB311" s="75"/>
      <c r="AC311" s="75"/>
      <c r="AD311" s="166"/>
      <c r="AE311" s="75">
        <v>5.117</v>
      </c>
      <c r="AF311" s="82">
        <v>5</v>
      </c>
      <c r="AG311" s="82">
        <v>1</v>
      </c>
      <c r="AH311" s="82">
        <v>2</v>
      </c>
      <c r="AI311" s="82">
        <v>0.99999999998544808</v>
      </c>
      <c r="AJ311" s="166">
        <v>5.11721</v>
      </c>
      <c r="AK311" s="82">
        <v>5.1171100000000003</v>
      </c>
      <c r="AL311" s="162">
        <v>0</v>
      </c>
      <c r="AM311" s="162">
        <v>0</v>
      </c>
      <c r="AN311" s="162">
        <v>0</v>
      </c>
      <c r="AO311" s="162">
        <v>-18.999997256739775</v>
      </c>
      <c r="AP311" s="162">
        <v>0</v>
      </c>
      <c r="AQ311" s="162">
        <v>0</v>
      </c>
      <c r="AR311" s="710" t="str">
        <v>1613.par</v>
      </c>
      <c r="AV311" s="82" t="str">
        <v>0,102,204</v>
      </c>
      <c r="AW311" s="947">
        <v>0</v>
      </c>
      <c r="AX311" s="947">
        <v>18.999997256739775</v>
      </c>
      <c r="AY311" s="947">
        <v>-18.999997256739775</v>
      </c>
    </row>
    <row r="312" spans="2:51" x14ac:dyDescent="0.25">
      <c r="D312" s="164">
        <v>1.1040000000000001</v>
      </c>
      <c r="E312">
        <f t="shared" ref="E312:E357" si="1091">INDEX($Q$9:$Q$150,MATCH($D312,$M$9:$M$150,0))</f>
        <v>90.000003955124527</v>
      </c>
      <c r="F312">
        <f t="shared" ref="F312:F357" si="1092">INDEX($R$9:$R$150,MATCH($D312,$M$9:$M$150,0))</f>
        <v>1.0838032676279075</v>
      </c>
      <c r="G312">
        <f t="shared" ref="G312:G357" si="1093">INDEX($S$9:$S$150,MATCH($D312,$M$9:$M$150,0))</f>
        <v>-0.75095224344861278</v>
      </c>
      <c r="H312">
        <f t="shared" ref="H312:H357" si="1094">INDEX($AN$9:$AN$150,MATCH($D312,$M$9:$M$150,0))</f>
        <v>2.9999857925960174</v>
      </c>
      <c r="I312">
        <f t="shared" ref="I312:I357" si="1095">INDEX($AO$9:$AO$150,MATCH($D312,$M$9:$M$150,0))</f>
        <v>15.999997482891414</v>
      </c>
      <c r="J312" s="971">
        <v>70</v>
      </c>
      <c r="Q312" s="139"/>
      <c r="R312" s="970"/>
      <c r="V312" s="972"/>
      <c r="W312" s="199"/>
      <c r="X312" s="199"/>
      <c r="AA312" s="82"/>
      <c r="AB312" s="75"/>
      <c r="AC312" s="75"/>
      <c r="AD312" s="166"/>
      <c r="AE312" s="75">
        <v>5.1139999999999999</v>
      </c>
      <c r="AF312" s="82">
        <v>5</v>
      </c>
      <c r="AG312" s="82">
        <v>1</v>
      </c>
      <c r="AH312" s="82">
        <v>2</v>
      </c>
      <c r="AI312" s="82">
        <v>0.99999999998544808</v>
      </c>
      <c r="AJ312" s="166">
        <v>5.1142099999999999</v>
      </c>
      <c r="AK312" s="82">
        <v>5.1141100000000002</v>
      </c>
      <c r="AL312" s="162">
        <v>0</v>
      </c>
      <c r="AM312" s="162">
        <v>0</v>
      </c>
      <c r="AN312" s="162">
        <v>0</v>
      </c>
      <c r="AO312" s="162">
        <v>-7.3999989315723109</v>
      </c>
      <c r="AP312" s="162">
        <v>0</v>
      </c>
      <c r="AQ312" s="162">
        <v>0</v>
      </c>
      <c r="AR312" s="710" t="str">
        <v>1613.par</v>
      </c>
      <c r="AV312" s="82" t="str">
        <v>0,102,204</v>
      </c>
      <c r="AW312" s="947">
        <v>0</v>
      </c>
      <c r="AX312" s="947">
        <v>7.3999989315723109</v>
      </c>
      <c r="AY312" s="947">
        <v>-7.3999989315723109</v>
      </c>
    </row>
    <row r="313" spans="2:51" x14ac:dyDescent="0.25">
      <c r="D313" s="164">
        <v>1.107</v>
      </c>
      <c r="E313">
        <f t="shared" si="1091"/>
        <v>90.000002214853708</v>
      </c>
      <c r="F313">
        <f t="shared" si="1092"/>
        <v>1.8261055065442908</v>
      </c>
      <c r="G313">
        <f t="shared" si="1093"/>
        <v>-0.55355165062300449</v>
      </c>
      <c r="H313">
        <f t="shared" si="1094"/>
        <v>2.9999913122339605</v>
      </c>
      <c r="I313">
        <f t="shared" si="1095"/>
        <v>14.999997718351972</v>
      </c>
      <c r="J313" s="971">
        <v>76.8</v>
      </c>
      <c r="Q313" s="139"/>
      <c r="R313" s="970"/>
      <c r="V313" s="972"/>
      <c r="W313" s="199"/>
      <c r="X313" s="199"/>
      <c r="AA313" s="82"/>
      <c r="AB313" s="75"/>
      <c r="AC313" s="75"/>
      <c r="AD313" s="166"/>
      <c r="AE313" s="75">
        <v>5.1109999999999998</v>
      </c>
      <c r="AF313" s="82">
        <v>5</v>
      </c>
      <c r="AG313" s="82">
        <v>1</v>
      </c>
      <c r="AH313" s="82">
        <v>2</v>
      </c>
      <c r="AI313" s="82">
        <v>0.99999999998544808</v>
      </c>
      <c r="AJ313" s="166">
        <v>5.1112099999999998</v>
      </c>
      <c r="AK313" s="82">
        <v>5.11111</v>
      </c>
      <c r="AL313" s="162">
        <v>0</v>
      </c>
      <c r="AM313" s="162">
        <v>0</v>
      </c>
      <c r="AN313" s="162">
        <v>0</v>
      </c>
      <c r="AO313" s="162">
        <v>1.9999997112357444</v>
      </c>
      <c r="AP313" s="162">
        <v>0</v>
      </c>
      <c r="AQ313" s="162">
        <v>0</v>
      </c>
      <c r="AR313" s="710" t="str">
        <v>1613.par</v>
      </c>
      <c r="AV313" s="82" t="str">
        <v>0,102,204</v>
      </c>
      <c r="AW313" s="947">
        <v>0</v>
      </c>
      <c r="AX313" s="947">
        <v>-1.9999997112357444</v>
      </c>
      <c r="AY313" s="947">
        <v>1.9999997112357444</v>
      </c>
    </row>
    <row r="314" spans="2:51" x14ac:dyDescent="0.25">
      <c r="D314" s="164">
        <v>1.111</v>
      </c>
      <c r="E314" t="e">
        <f t="shared" si="1091"/>
        <v>#N/A</v>
      </c>
      <c r="F314" t="e">
        <f t="shared" si="1092"/>
        <v>#N/A</v>
      </c>
      <c r="G314" t="e">
        <f t="shared" si="1093"/>
        <v>#N/A</v>
      </c>
      <c r="H314" t="e">
        <f t="shared" si="1094"/>
        <v>#N/A</v>
      </c>
      <c r="I314" t="e">
        <f t="shared" si="1095"/>
        <v>#N/A</v>
      </c>
      <c r="J314" s="971">
        <v>95.3</v>
      </c>
      <c r="Q314" s="139"/>
      <c r="R314" s="970"/>
      <c r="V314" s="972"/>
      <c r="W314" s="199"/>
      <c r="X314" s="199"/>
      <c r="AA314" s="82"/>
      <c r="AB314" s="75"/>
      <c r="AC314" s="75"/>
      <c r="AD314" s="166"/>
      <c r="AE314" s="75">
        <v>5.1079999999999997</v>
      </c>
      <c r="AF314" s="82">
        <v>5</v>
      </c>
      <c r="AG314" s="82">
        <v>1</v>
      </c>
      <c r="AH314" s="82">
        <v>2</v>
      </c>
      <c r="AI314" s="82">
        <v>0.99999999998544808</v>
      </c>
      <c r="AJ314" s="166">
        <v>5.1082099999999997</v>
      </c>
      <c r="AK314" s="82">
        <v>5.1081099999999999</v>
      </c>
      <c r="AL314" s="162">
        <v>0</v>
      </c>
      <c r="AM314" s="162">
        <v>0</v>
      </c>
      <c r="AN314" s="162">
        <v>0</v>
      </c>
      <c r="AO314" s="162">
        <v>2.999999566853591</v>
      </c>
      <c r="AP314" s="162">
        <v>0</v>
      </c>
      <c r="AQ314" s="162">
        <v>0</v>
      </c>
      <c r="AR314" s="710" t="str">
        <v>1613.par</v>
      </c>
      <c r="AV314" s="82" t="str">
        <v>0,102,204</v>
      </c>
      <c r="AW314" s="947">
        <v>0</v>
      </c>
      <c r="AX314" s="947">
        <v>-2.999999566853591</v>
      </c>
      <c r="AY314" s="947">
        <v>2.999999566853591</v>
      </c>
    </row>
    <row r="315" spans="2:51" x14ac:dyDescent="0.25">
      <c r="D315" s="164">
        <v>1.117</v>
      </c>
      <c r="E315" t="e">
        <f t="shared" si="1091"/>
        <v>#N/A</v>
      </c>
      <c r="F315" t="e">
        <f t="shared" si="1092"/>
        <v>#N/A</v>
      </c>
      <c r="G315" t="e">
        <f t="shared" si="1093"/>
        <v>#N/A</v>
      </c>
      <c r="H315" t="e">
        <f t="shared" si="1094"/>
        <v>#N/A</v>
      </c>
      <c r="I315" t="e">
        <f t="shared" si="1095"/>
        <v>#N/A</v>
      </c>
      <c r="J315" s="971">
        <v>114.3</v>
      </c>
      <c r="Q315" s="139"/>
      <c r="R315" s="970"/>
      <c r="V315" s="972"/>
      <c r="W315" s="199"/>
      <c r="X315" s="199"/>
      <c r="AA315" s="82"/>
      <c r="AB315" s="75"/>
      <c r="AC315" s="75"/>
      <c r="AD315" s="166"/>
      <c r="AE315" s="75">
        <v>5.1050000000000004</v>
      </c>
      <c r="AF315" s="82">
        <v>5</v>
      </c>
      <c r="AG315" s="82">
        <v>1</v>
      </c>
      <c r="AH315" s="82">
        <v>2</v>
      </c>
      <c r="AI315" s="82">
        <v>1.0000000000582077</v>
      </c>
      <c r="AJ315" s="166">
        <v>5.1052100000000005</v>
      </c>
      <c r="AK315" s="82">
        <v>5.1051100000000007</v>
      </c>
      <c r="AL315" s="162">
        <v>0</v>
      </c>
      <c r="AM315" s="162">
        <v>0</v>
      </c>
      <c r="AN315" s="162">
        <v>0</v>
      </c>
      <c r="AO315" s="162">
        <v>2.9999995668536164</v>
      </c>
      <c r="AP315" s="162">
        <v>0</v>
      </c>
      <c r="AQ315" s="162">
        <v>0</v>
      </c>
      <c r="AR315" s="710" t="str">
        <v>1613.par</v>
      </c>
      <c r="AV315" s="82" t="str">
        <v>0,102,204</v>
      </c>
      <c r="AW315" s="947">
        <v>0</v>
      </c>
      <c r="AX315" s="947">
        <v>-2.9999995668536164</v>
      </c>
      <c r="AY315" s="947">
        <v>2.9999995668536164</v>
      </c>
    </row>
    <row r="316" spans="2:51" x14ac:dyDescent="0.25">
      <c r="D316" s="164">
        <v>1.123</v>
      </c>
      <c r="E316" t="e">
        <f t="shared" si="1091"/>
        <v>#N/A</v>
      </c>
      <c r="F316" t="e">
        <f t="shared" si="1092"/>
        <v>#N/A</v>
      </c>
      <c r="G316" t="e">
        <f t="shared" si="1093"/>
        <v>#N/A</v>
      </c>
      <c r="H316" t="e">
        <f t="shared" si="1094"/>
        <v>#N/A</v>
      </c>
      <c r="I316" t="e">
        <f t="shared" si="1095"/>
        <v>#N/A</v>
      </c>
      <c r="J316" s="971">
        <v>133.4</v>
      </c>
      <c r="Q316" s="139"/>
      <c r="R316" s="970"/>
      <c r="V316" s="972"/>
      <c r="W316" s="199"/>
      <c r="X316" s="199"/>
      <c r="AA316" s="82"/>
      <c r="AB316" s="75"/>
      <c r="AC316" s="75"/>
      <c r="AD316" s="166"/>
      <c r="AE316" s="75">
        <v>5.1020000000000003</v>
      </c>
      <c r="AF316" s="82">
        <v>5</v>
      </c>
      <c r="AG316" s="82">
        <v>1</v>
      </c>
      <c r="AH316" s="82">
        <v>2</v>
      </c>
      <c r="AI316" s="82">
        <v>1.0000000000582077</v>
      </c>
      <c r="AJ316" s="166">
        <v>5.1022100000000004</v>
      </c>
      <c r="AK316" s="82">
        <v>5.1021100000000006</v>
      </c>
      <c r="AL316" s="162">
        <v>0</v>
      </c>
      <c r="AM316" s="162">
        <v>0</v>
      </c>
      <c r="AN316" s="162">
        <v>0</v>
      </c>
      <c r="AO316" s="162">
        <v>5.9999991337073411</v>
      </c>
      <c r="AP316" s="162">
        <v>0</v>
      </c>
      <c r="AQ316" s="162">
        <v>0</v>
      </c>
      <c r="AR316" s="710" t="str">
        <v>1613.par</v>
      </c>
      <c r="AV316" s="82" t="str">
        <v>0,102,204</v>
      </c>
      <c r="AW316" s="947">
        <v>0</v>
      </c>
      <c r="AX316" s="947">
        <v>-5.9999991337073411</v>
      </c>
      <c r="AY316" s="947">
        <v>5.9999991337073411</v>
      </c>
    </row>
    <row r="317" spans="2:51" x14ac:dyDescent="0.25">
      <c r="D317" s="164">
        <v>1.129</v>
      </c>
      <c r="E317" t="e">
        <f t="shared" si="1091"/>
        <v>#N/A</v>
      </c>
      <c r="F317" t="e">
        <f t="shared" si="1092"/>
        <v>#N/A</v>
      </c>
      <c r="G317" t="e">
        <f t="shared" si="1093"/>
        <v>#N/A</v>
      </c>
      <c r="H317" t="e">
        <f t="shared" si="1094"/>
        <v>#N/A</v>
      </c>
      <c r="I317" t="e">
        <f t="shared" si="1095"/>
        <v>#N/A</v>
      </c>
      <c r="J317" s="971">
        <v>152.4</v>
      </c>
      <c r="Q317" s="139"/>
      <c r="R317" s="970"/>
      <c r="V317" s="972"/>
      <c r="W317" s="199"/>
      <c r="X317" s="199"/>
      <c r="AA317" s="82"/>
      <c r="AB317" s="75"/>
      <c r="AC317" s="75"/>
      <c r="AD317" s="166"/>
      <c r="AE317" s="75">
        <v>4.2370000000000001</v>
      </c>
      <c r="AF317" s="82">
        <v>4</v>
      </c>
      <c r="AG317" s="82">
        <v>2</v>
      </c>
      <c r="AH317" s="82">
        <v>2</v>
      </c>
      <c r="AI317" s="82">
        <v>0.99999999998544808</v>
      </c>
      <c r="AJ317" s="166">
        <v>4.2372100000000001</v>
      </c>
      <c r="AK317" s="82">
        <v>4.2371100000000004</v>
      </c>
      <c r="AL317" s="162">
        <v>0</v>
      </c>
      <c r="AM317" s="162">
        <v>0</v>
      </c>
      <c r="AN317" s="162">
        <v>0</v>
      </c>
      <c r="AO317" s="162">
        <v>-84.909987740514595</v>
      </c>
      <c r="AP317" s="162">
        <v>0</v>
      </c>
      <c r="AQ317" s="162">
        <v>0</v>
      </c>
      <c r="AR317" s="710" t="str">
        <v>32193r1.par</v>
      </c>
      <c r="AV317" s="82" t="str">
        <v>91,255,255</v>
      </c>
      <c r="AW317" s="947">
        <v>0</v>
      </c>
      <c r="AX317" s="947">
        <v>84.909987740514595</v>
      </c>
      <c r="AY317" s="947">
        <v>-84.909987740514595</v>
      </c>
    </row>
    <row r="318" spans="2:51" x14ac:dyDescent="0.25">
      <c r="D318" s="164">
        <v>1.135</v>
      </c>
      <c r="E318" t="e">
        <f t="shared" si="1091"/>
        <v>#N/A</v>
      </c>
      <c r="F318" t="e">
        <f t="shared" si="1092"/>
        <v>#N/A</v>
      </c>
      <c r="G318" t="e">
        <f t="shared" si="1093"/>
        <v>#N/A</v>
      </c>
      <c r="H318" t="e">
        <f t="shared" si="1094"/>
        <v>#N/A</v>
      </c>
      <c r="I318" t="e">
        <f t="shared" si="1095"/>
        <v>#N/A</v>
      </c>
      <c r="J318" s="971">
        <v>171</v>
      </c>
      <c r="Q318" s="139"/>
      <c r="R318" s="970"/>
      <c r="V318" s="972"/>
      <c r="W318" s="199"/>
      <c r="X318" s="199"/>
      <c r="AA318" s="82"/>
      <c r="AB318" s="75"/>
      <c r="AC318" s="75"/>
      <c r="AD318" s="166"/>
      <c r="AE318" s="75">
        <v>4.234</v>
      </c>
      <c r="AF318" s="82">
        <v>4</v>
      </c>
      <c r="AG318" s="82">
        <v>2</v>
      </c>
      <c r="AH318" s="82">
        <v>2</v>
      </c>
      <c r="AI318" s="82">
        <v>0.99999999998544808</v>
      </c>
      <c r="AJ318" s="166">
        <v>4.23421</v>
      </c>
      <c r="AK318" s="82">
        <v>4.2341100000000003</v>
      </c>
      <c r="AL318" s="162">
        <v>0</v>
      </c>
      <c r="AM318" s="162">
        <v>0</v>
      </c>
      <c r="AN318" s="162">
        <v>0</v>
      </c>
      <c r="AO318" s="162">
        <v>-79.239988559161148</v>
      </c>
      <c r="AP318" s="162">
        <v>0</v>
      </c>
      <c r="AQ318" s="162">
        <v>0</v>
      </c>
      <c r="AR318" s="710" t="str">
        <v>32193r1.par</v>
      </c>
      <c r="AV318" s="82" t="str">
        <v>91,255,255</v>
      </c>
      <c r="AW318" s="947">
        <v>0</v>
      </c>
      <c r="AX318" s="947">
        <v>79.239988559161148</v>
      </c>
      <c r="AY318" s="947">
        <v>-79.239988559161148</v>
      </c>
    </row>
    <row r="319" spans="2:51" x14ac:dyDescent="0.25">
      <c r="D319" s="164">
        <v>1.141</v>
      </c>
      <c r="E319" t="e">
        <f t="shared" si="1091"/>
        <v>#N/A</v>
      </c>
      <c r="F319" t="e">
        <f t="shared" si="1092"/>
        <v>#N/A</v>
      </c>
      <c r="G319" t="e">
        <f t="shared" si="1093"/>
        <v>#N/A</v>
      </c>
      <c r="H319" t="e">
        <f t="shared" si="1094"/>
        <v>#N/A</v>
      </c>
      <c r="I319" t="e">
        <f t="shared" si="1095"/>
        <v>#N/A</v>
      </c>
      <c r="J319" s="971">
        <v>175</v>
      </c>
      <c r="Q319" s="139"/>
      <c r="R319" s="970"/>
      <c r="V319" s="972"/>
      <c r="W319" s="199"/>
      <c r="X319" s="199"/>
      <c r="AA319" s="82"/>
      <c r="AB319" s="75"/>
      <c r="AC319" s="75"/>
      <c r="AD319" s="166"/>
      <c r="AE319" s="75">
        <v>4.2309999999999999</v>
      </c>
      <c r="AF319" s="82">
        <v>4</v>
      </c>
      <c r="AG319" s="82">
        <v>2</v>
      </c>
      <c r="AH319" s="82">
        <v>2</v>
      </c>
      <c r="AI319" s="82">
        <v>0.99999999998544808</v>
      </c>
      <c r="AJ319" s="166">
        <v>4.2312099999999999</v>
      </c>
      <c r="AK319" s="82">
        <v>4.2311100000000001</v>
      </c>
      <c r="AL319" s="162">
        <v>0</v>
      </c>
      <c r="AM319" s="162">
        <v>0</v>
      </c>
      <c r="AN319" s="162">
        <v>0</v>
      </c>
      <c r="AO319" s="162">
        <v>-73.979989318611103</v>
      </c>
      <c r="AP319" s="162">
        <v>0</v>
      </c>
      <c r="AQ319" s="162">
        <v>0</v>
      </c>
      <c r="AR319" s="710" t="str">
        <v>32193r1.par</v>
      </c>
      <c r="AV319" s="82" t="str">
        <v>91,255,255</v>
      </c>
      <c r="AW319" s="947">
        <v>0</v>
      </c>
      <c r="AX319" s="947">
        <v>73.979989318611103</v>
      </c>
      <c r="AY319" s="947">
        <v>-73.979989318611103</v>
      </c>
    </row>
    <row r="320" spans="2:51" x14ac:dyDescent="0.25">
      <c r="D320" s="164">
        <v>2.11</v>
      </c>
      <c r="E320" t="e">
        <f t="shared" si="1091"/>
        <v>#N/A</v>
      </c>
      <c r="F320" t="e">
        <f t="shared" si="1092"/>
        <v>#N/A</v>
      </c>
      <c r="G320" t="e">
        <f t="shared" si="1093"/>
        <v>#N/A</v>
      </c>
      <c r="H320" t="e">
        <f t="shared" si="1094"/>
        <v>#N/A</v>
      </c>
      <c r="I320" t="e">
        <f t="shared" si="1095"/>
        <v>#N/A</v>
      </c>
      <c r="J320" s="971">
        <v>92.1</v>
      </c>
      <c r="Q320" s="139"/>
      <c r="R320" s="970"/>
      <c r="V320" s="972"/>
      <c r="W320" s="199"/>
      <c r="X320" s="199"/>
      <c r="AA320" s="82"/>
      <c r="AB320" s="75"/>
      <c r="AC320" s="75"/>
      <c r="AD320" s="166"/>
      <c r="AE320" s="75">
        <v>4.2279999999999998</v>
      </c>
      <c r="AF320" s="82">
        <v>4</v>
      </c>
      <c r="AG320" s="82">
        <v>2</v>
      </c>
      <c r="AH320" s="82">
        <v>2</v>
      </c>
      <c r="AI320" s="82">
        <v>0.99999999998544808</v>
      </c>
      <c r="AJ320" s="166">
        <v>4.2282099999999998</v>
      </c>
      <c r="AK320" s="82">
        <v>4.22811</v>
      </c>
      <c r="AL320" s="162">
        <v>0</v>
      </c>
      <c r="AM320" s="162">
        <v>0</v>
      </c>
      <c r="AN320" s="162">
        <v>0</v>
      </c>
      <c r="AO320" s="162">
        <v>-60.529991260550531</v>
      </c>
      <c r="AP320" s="162">
        <v>0</v>
      </c>
      <c r="AQ320" s="162">
        <v>0</v>
      </c>
      <c r="AR320" s="710" t="str">
        <v>32193r1.par</v>
      </c>
      <c r="AV320" s="82" t="str">
        <v>91,255,255</v>
      </c>
      <c r="AW320" s="947">
        <v>0</v>
      </c>
      <c r="AX320" s="947">
        <v>60.529991260550531</v>
      </c>
      <c r="AY320" s="947">
        <v>-60.529991260550531</v>
      </c>
    </row>
    <row r="321" spans="4:51" x14ac:dyDescent="0.25">
      <c r="D321" s="164">
        <v>2.1160000000000001</v>
      </c>
      <c r="E321" t="e">
        <f t="shared" si="1091"/>
        <v>#N/A</v>
      </c>
      <c r="F321" t="e">
        <f t="shared" si="1092"/>
        <v>#N/A</v>
      </c>
      <c r="G321" t="e">
        <f t="shared" si="1093"/>
        <v>#N/A</v>
      </c>
      <c r="H321" t="e">
        <f t="shared" si="1094"/>
        <v>#N/A</v>
      </c>
      <c r="I321" t="e">
        <f t="shared" si="1095"/>
        <v>#N/A</v>
      </c>
      <c r="J321" s="971">
        <v>111.2</v>
      </c>
      <c r="Q321" s="139"/>
      <c r="R321" s="970"/>
      <c r="V321" s="972"/>
      <c r="W321" s="199"/>
      <c r="X321" s="199"/>
      <c r="AA321" s="82"/>
      <c r="AB321" s="75"/>
      <c r="AC321" s="75"/>
      <c r="AD321" s="166"/>
      <c r="AE321" s="75">
        <v>4.2249999999999996</v>
      </c>
      <c r="AF321" s="82">
        <v>4</v>
      </c>
      <c r="AG321" s="82">
        <v>2</v>
      </c>
      <c r="AH321" s="82">
        <v>2</v>
      </c>
      <c r="AI321" s="82">
        <v>0.99999999998544808</v>
      </c>
      <c r="AJ321" s="166">
        <v>4.2252099999999997</v>
      </c>
      <c r="AK321" s="82">
        <v>4.2251099999999999</v>
      </c>
      <c r="AL321" s="162">
        <v>0</v>
      </c>
      <c r="AM321" s="162">
        <v>0</v>
      </c>
      <c r="AN321" s="162">
        <v>0</v>
      </c>
      <c r="AO321" s="162">
        <v>-46.89999322847882</v>
      </c>
      <c r="AP321" s="162">
        <v>0</v>
      </c>
      <c r="AQ321" s="162">
        <v>0</v>
      </c>
      <c r="AR321" s="710" t="str">
        <v>32193r1.par</v>
      </c>
      <c r="AV321" s="82" t="str">
        <v>91,255,255</v>
      </c>
      <c r="AW321" s="947">
        <v>0</v>
      </c>
      <c r="AX321" s="947">
        <v>46.89999322847882</v>
      </c>
      <c r="AY321" s="947">
        <v>-46.89999322847882</v>
      </c>
    </row>
    <row r="322" spans="4:51" x14ac:dyDescent="0.25">
      <c r="D322" s="164">
        <v>2.1219999999999999</v>
      </c>
      <c r="E322" t="e">
        <f>INDEX($Q$9:$Q$150,MATCH($D322,$M$9:$M$150,0))</f>
        <v>#N/A</v>
      </c>
      <c r="F322" t="e">
        <f t="shared" si="1092"/>
        <v>#N/A</v>
      </c>
      <c r="G322" t="e">
        <f t="shared" si="1093"/>
        <v>#N/A</v>
      </c>
      <c r="H322" t="e">
        <f t="shared" si="1094"/>
        <v>#N/A</v>
      </c>
      <c r="I322" t="e">
        <f t="shared" si="1095"/>
        <v>#N/A</v>
      </c>
      <c r="J322" s="971">
        <v>130.30000000000001</v>
      </c>
      <c r="Q322" s="139"/>
      <c r="R322" s="970"/>
      <c r="V322" s="972"/>
      <c r="W322" s="199"/>
      <c r="X322" s="199"/>
      <c r="AA322" s="82"/>
      <c r="AB322" s="75"/>
      <c r="AC322" s="75"/>
      <c r="AD322" s="166"/>
      <c r="AE322" s="75">
        <v>4.2220000000000004</v>
      </c>
      <c r="AF322" s="82">
        <v>4</v>
      </c>
      <c r="AG322" s="82">
        <v>2</v>
      </c>
      <c r="AH322" s="82">
        <v>2</v>
      </c>
      <c r="AI322" s="82">
        <v>1.0000000000582077</v>
      </c>
      <c r="AJ322" s="166">
        <v>4.2222100000000005</v>
      </c>
      <c r="AK322" s="82">
        <v>4.2221100000000007</v>
      </c>
      <c r="AL322" s="162">
        <v>0</v>
      </c>
      <c r="AM322" s="162">
        <v>0</v>
      </c>
      <c r="AN322" s="162">
        <v>0</v>
      </c>
      <c r="AO322" s="162">
        <v>-33.279995194963185</v>
      </c>
      <c r="AP322" s="162">
        <v>0</v>
      </c>
      <c r="AQ322" s="162">
        <v>0</v>
      </c>
      <c r="AR322" s="710" t="str">
        <v>32193r1.par</v>
      </c>
      <c r="AV322" s="82" t="str">
        <v>91,255,255</v>
      </c>
      <c r="AW322" s="947">
        <v>0</v>
      </c>
      <c r="AX322" s="947">
        <v>33.279995194963185</v>
      </c>
      <c r="AY322" s="947">
        <v>-33.279995194963185</v>
      </c>
    </row>
    <row r="323" spans="4:51" x14ac:dyDescent="0.25">
      <c r="D323" s="164">
        <v>2.1280000000000001</v>
      </c>
      <c r="E323" t="e">
        <f t="shared" si="1091"/>
        <v>#N/A</v>
      </c>
      <c r="F323" t="e">
        <f t="shared" si="1092"/>
        <v>#N/A</v>
      </c>
      <c r="G323" t="e">
        <f t="shared" si="1093"/>
        <v>#N/A</v>
      </c>
      <c r="H323" t="e">
        <f t="shared" si="1094"/>
        <v>#N/A</v>
      </c>
      <c r="I323" t="e">
        <f t="shared" si="1095"/>
        <v>#N/A</v>
      </c>
      <c r="J323" s="971">
        <v>149.19999999999999</v>
      </c>
      <c r="Q323" s="139"/>
      <c r="R323" s="970"/>
      <c r="V323" s="972"/>
      <c r="W323" s="199"/>
      <c r="X323" s="199"/>
      <c r="AA323" s="82"/>
      <c r="AB323" s="75"/>
      <c r="AC323" s="75"/>
      <c r="AD323" s="166"/>
      <c r="AE323" s="75">
        <v>4.2190000000000003</v>
      </c>
      <c r="AF323" s="82">
        <v>4</v>
      </c>
      <c r="AG323" s="82">
        <v>2</v>
      </c>
      <c r="AH323" s="82">
        <v>2</v>
      </c>
      <c r="AI323" s="82">
        <v>1.0000000000582077</v>
      </c>
      <c r="AJ323" s="166">
        <v>4.2192100000000003</v>
      </c>
      <c r="AK323" s="82">
        <v>4.2191100000000006</v>
      </c>
      <c r="AL323" s="162">
        <v>0</v>
      </c>
      <c r="AM323" s="162">
        <v>0</v>
      </c>
      <c r="AN323" s="162">
        <v>0</v>
      </c>
      <c r="AO323" s="162">
        <v>-19.649997162891438</v>
      </c>
      <c r="AP323" s="162">
        <v>0</v>
      </c>
      <c r="AQ323" s="162">
        <v>0</v>
      </c>
      <c r="AR323" s="710" t="str">
        <v>32193r1.par</v>
      </c>
      <c r="AV323" s="82" t="str">
        <v>91,255,255</v>
      </c>
      <c r="AW323" s="947">
        <v>0</v>
      </c>
      <c r="AX323" s="947">
        <v>19.649997162891438</v>
      </c>
      <c r="AY323" s="947">
        <v>-19.649997162891438</v>
      </c>
    </row>
    <row r="324" spans="4:51" x14ac:dyDescent="0.25">
      <c r="D324" s="164">
        <v>2.1339999999999999</v>
      </c>
      <c r="E324" t="e">
        <f t="shared" si="1091"/>
        <v>#N/A</v>
      </c>
      <c r="F324" t="e">
        <f t="shared" si="1092"/>
        <v>#N/A</v>
      </c>
      <c r="G324" t="e">
        <f t="shared" si="1093"/>
        <v>#N/A</v>
      </c>
      <c r="H324" t="e">
        <f t="shared" si="1094"/>
        <v>#N/A</v>
      </c>
      <c r="I324" t="e">
        <f t="shared" si="1095"/>
        <v>#N/A</v>
      </c>
      <c r="J324" s="971">
        <v>168</v>
      </c>
      <c r="Q324" s="139"/>
      <c r="R324" s="970"/>
      <c r="V324" s="972"/>
      <c r="W324" s="199"/>
      <c r="X324" s="199"/>
      <c r="AA324" s="82"/>
      <c r="AB324" s="75"/>
      <c r="AC324" s="75"/>
      <c r="AD324" s="166"/>
      <c r="AE324" s="75">
        <v>4.2160000000000002</v>
      </c>
      <c r="AF324" s="82">
        <v>4</v>
      </c>
      <c r="AG324" s="82">
        <v>2</v>
      </c>
      <c r="AH324" s="82">
        <v>2</v>
      </c>
      <c r="AI324" s="82">
        <v>1.0000000000582077</v>
      </c>
      <c r="AJ324" s="166">
        <v>4.2162100000000002</v>
      </c>
      <c r="AK324" s="82">
        <v>4.2161100000000005</v>
      </c>
      <c r="AL324" s="162">
        <v>0</v>
      </c>
      <c r="AM324" s="162">
        <v>0</v>
      </c>
      <c r="AN324" s="162">
        <v>0</v>
      </c>
      <c r="AO324" s="162">
        <v>-5.8099991611399071</v>
      </c>
      <c r="AP324" s="162">
        <v>0</v>
      </c>
      <c r="AQ324" s="162">
        <v>0</v>
      </c>
      <c r="AR324" s="710" t="str">
        <v>32193r1.par</v>
      </c>
      <c r="AV324" s="82" t="str">
        <v>91,255,255</v>
      </c>
      <c r="AW324" s="947">
        <v>0</v>
      </c>
      <c r="AX324" s="947">
        <v>5.8099991611399071</v>
      </c>
      <c r="AY324" s="947">
        <v>-5.8099991611399071</v>
      </c>
    </row>
    <row r="325" spans="4:51" x14ac:dyDescent="0.25">
      <c r="D325" s="164">
        <v>2.14</v>
      </c>
      <c r="E325" t="e">
        <f t="shared" si="1091"/>
        <v>#N/A</v>
      </c>
      <c r="F325" t="e">
        <f t="shared" si="1092"/>
        <v>#N/A</v>
      </c>
      <c r="G325" t="e">
        <f t="shared" si="1093"/>
        <v>#N/A</v>
      </c>
      <c r="H325" t="e">
        <f t="shared" si="1094"/>
        <v>#N/A</v>
      </c>
      <c r="I325" t="e">
        <f t="shared" si="1095"/>
        <v>#N/A</v>
      </c>
      <c r="J325" s="971">
        <v>175</v>
      </c>
      <c r="Q325" s="139"/>
      <c r="R325" s="970"/>
      <c r="V325" s="972"/>
      <c r="W325" s="199"/>
      <c r="X325" s="199"/>
      <c r="AA325" s="82"/>
      <c r="AB325" s="75"/>
      <c r="AC325" s="75"/>
      <c r="AD325" s="166"/>
      <c r="AE325" s="75">
        <v>4.1399999999999997</v>
      </c>
      <c r="AF325" s="82">
        <v>4</v>
      </c>
      <c r="AG325" s="82">
        <v>1</v>
      </c>
      <c r="AH325" s="82">
        <v>2</v>
      </c>
      <c r="AI325" s="82">
        <v>0.99999999998544808</v>
      </c>
      <c r="AJ325" s="166">
        <v>4.1402099999999997</v>
      </c>
      <c r="AK325" s="82">
        <v>4.14011</v>
      </c>
      <c r="AL325" s="162">
        <v>0</v>
      </c>
      <c r="AM325" s="162">
        <v>0</v>
      </c>
      <c r="AN325" s="162">
        <v>0</v>
      </c>
      <c r="AO325" s="162">
        <v>-87.999987294373838</v>
      </c>
      <c r="AP325" s="162">
        <v>0</v>
      </c>
      <c r="AQ325" s="162">
        <v>0</v>
      </c>
      <c r="AR325" s="710" t="str">
        <v>1613.par</v>
      </c>
      <c r="AV325" s="82" t="str">
        <v>0,204,204</v>
      </c>
      <c r="AW325" s="947">
        <v>0</v>
      </c>
      <c r="AX325" s="947">
        <v>87.999987294373838</v>
      </c>
      <c r="AY325" s="947">
        <v>-87.999987294373838</v>
      </c>
    </row>
    <row r="326" spans="4:51" x14ac:dyDescent="0.25">
      <c r="D326" s="164">
        <v>2.1459999999999999</v>
      </c>
      <c r="E326" t="e">
        <f t="shared" si="1091"/>
        <v>#N/A</v>
      </c>
      <c r="F326" t="e">
        <f t="shared" si="1092"/>
        <v>#N/A</v>
      </c>
      <c r="G326" t="e">
        <f t="shared" si="1093"/>
        <v>#N/A</v>
      </c>
      <c r="H326" t="e">
        <f t="shared" si="1094"/>
        <v>#N/A</v>
      </c>
      <c r="I326" t="e">
        <f t="shared" si="1095"/>
        <v>#N/A</v>
      </c>
      <c r="J326" s="971">
        <v>175</v>
      </c>
      <c r="Q326" s="139"/>
      <c r="R326" s="970"/>
      <c r="V326" s="972"/>
      <c r="W326" s="199"/>
      <c r="X326" s="199"/>
      <c r="AA326" s="82"/>
      <c r="AB326" s="75"/>
      <c r="AC326" s="75"/>
      <c r="AD326" s="166"/>
      <c r="AE326" s="75">
        <v>4.1369999999999996</v>
      </c>
      <c r="AF326" s="82">
        <v>4</v>
      </c>
      <c r="AG326" s="82">
        <v>1</v>
      </c>
      <c r="AH326" s="82">
        <v>2</v>
      </c>
      <c r="AI326" s="82">
        <v>0.99999999998544808</v>
      </c>
      <c r="AJ326" s="166">
        <v>4.1372099999999996</v>
      </c>
      <c r="AK326" s="82">
        <v>4.1371099999999998</v>
      </c>
      <c r="AL326" s="162">
        <v>0</v>
      </c>
      <c r="AM326" s="162">
        <v>0</v>
      </c>
      <c r="AN326" s="162">
        <v>0</v>
      </c>
      <c r="AO326" s="162">
        <v>-85.999987583138065</v>
      </c>
      <c r="AP326" s="162">
        <v>0</v>
      </c>
      <c r="AQ326" s="162">
        <v>0</v>
      </c>
      <c r="AR326" s="710" t="str">
        <v>1613.par</v>
      </c>
      <c r="AV326" s="82" t="str">
        <v>0,204,204</v>
      </c>
      <c r="AW326" s="947">
        <v>0</v>
      </c>
      <c r="AX326" s="947">
        <v>85.999987583138065</v>
      </c>
      <c r="AY326" s="947">
        <v>-85.999987583138065</v>
      </c>
    </row>
    <row r="327" spans="4:51" x14ac:dyDescent="0.25">
      <c r="D327" s="164">
        <v>3.1019999999999999</v>
      </c>
      <c r="E327" t="e">
        <f t="shared" si="1091"/>
        <v>#N/A</v>
      </c>
      <c r="F327" t="e">
        <f t="shared" si="1092"/>
        <v>#N/A</v>
      </c>
      <c r="G327" t="e">
        <f t="shared" si="1093"/>
        <v>#N/A</v>
      </c>
      <c r="H327" t="e">
        <f t="shared" si="1094"/>
        <v>#N/A</v>
      </c>
      <c r="I327" t="e">
        <f t="shared" si="1095"/>
        <v>#N/A</v>
      </c>
      <c r="J327" s="971">
        <v>70</v>
      </c>
      <c r="Q327" s="139"/>
      <c r="R327" s="970"/>
      <c r="V327" s="972"/>
      <c r="W327" s="199"/>
      <c r="X327" s="199"/>
      <c r="AA327" s="82"/>
      <c r="AB327" s="75"/>
      <c r="AC327" s="75"/>
      <c r="AD327" s="166"/>
      <c r="AE327" s="75">
        <v>4.1340000000000003</v>
      </c>
      <c r="AF327" s="82">
        <v>4</v>
      </c>
      <c r="AG327" s="82">
        <v>1</v>
      </c>
      <c r="AH327" s="82">
        <v>2</v>
      </c>
      <c r="AI327" s="82">
        <v>1.0000000000582077</v>
      </c>
      <c r="AJ327" s="166">
        <v>4.1342100000000004</v>
      </c>
      <c r="AK327" s="82">
        <v>4.1341100000000006</v>
      </c>
      <c r="AL327" s="162">
        <v>0</v>
      </c>
      <c r="AM327" s="162">
        <v>0</v>
      </c>
      <c r="AN327" s="162">
        <v>0</v>
      </c>
      <c r="AO327" s="162">
        <v>-80.099988434992554</v>
      </c>
      <c r="AP327" s="162">
        <v>0</v>
      </c>
      <c r="AQ327" s="162">
        <v>0</v>
      </c>
      <c r="AR327" s="710" t="str">
        <v>1613.par</v>
      </c>
      <c r="AV327" s="82" t="str">
        <v>0,204,204</v>
      </c>
      <c r="AW327" s="947">
        <v>0</v>
      </c>
      <c r="AX327" s="947">
        <v>80.099988434992554</v>
      </c>
      <c r="AY327" s="947">
        <v>-80.099988434992554</v>
      </c>
    </row>
    <row r="328" spans="4:51" x14ac:dyDescent="0.25">
      <c r="D328" s="164">
        <v>3.105</v>
      </c>
      <c r="E328" t="e">
        <f t="shared" si="1091"/>
        <v>#N/A</v>
      </c>
      <c r="F328" t="e">
        <f t="shared" si="1092"/>
        <v>#N/A</v>
      </c>
      <c r="G328" t="e">
        <f t="shared" si="1093"/>
        <v>#N/A</v>
      </c>
      <c r="H328" t="e">
        <f t="shared" si="1094"/>
        <v>#N/A</v>
      </c>
      <c r="I328" t="e">
        <f t="shared" si="1095"/>
        <v>#N/A</v>
      </c>
      <c r="J328" s="971">
        <v>70</v>
      </c>
      <c r="Q328" s="139"/>
      <c r="R328" s="970"/>
      <c r="V328" s="972"/>
      <c r="W328" s="199"/>
      <c r="X328" s="199"/>
      <c r="AA328" s="82"/>
      <c r="AB328" s="75"/>
      <c r="AC328" s="75"/>
      <c r="AD328" s="166"/>
      <c r="AE328" s="75">
        <v>4.1310000000000002</v>
      </c>
      <c r="AF328" s="82">
        <v>4</v>
      </c>
      <c r="AG328" s="82">
        <v>1</v>
      </c>
      <c r="AH328" s="82">
        <v>2</v>
      </c>
      <c r="AI328" s="82">
        <v>1.0000000000582077</v>
      </c>
      <c r="AJ328" s="166">
        <v>4.1312100000000003</v>
      </c>
      <c r="AK328" s="82">
        <v>4.1311100000000005</v>
      </c>
      <c r="AL328" s="162">
        <v>0</v>
      </c>
      <c r="AM328" s="162">
        <v>0</v>
      </c>
      <c r="AN328" s="162">
        <v>0</v>
      </c>
      <c r="AO328" s="162">
        <v>-74.099989301285248</v>
      </c>
      <c r="AP328" s="162">
        <v>0</v>
      </c>
      <c r="AQ328" s="162">
        <v>0</v>
      </c>
      <c r="AR328" s="710" t="str">
        <v>1613.par</v>
      </c>
      <c r="AV328" s="82" t="str">
        <v>0,204,204</v>
      </c>
      <c r="AW328" s="947">
        <v>0</v>
      </c>
      <c r="AX328" s="947">
        <v>74.099989301285248</v>
      </c>
      <c r="AY328" s="947">
        <v>-74.099989301285248</v>
      </c>
    </row>
    <row r="329" spans="4:51" x14ac:dyDescent="0.25">
      <c r="D329" s="164">
        <v>3.1080000000000001</v>
      </c>
      <c r="E329" t="e">
        <f t="shared" si="1091"/>
        <v>#N/A</v>
      </c>
      <c r="F329" t="e">
        <f t="shared" si="1092"/>
        <v>#N/A</v>
      </c>
      <c r="G329" t="e">
        <f t="shared" si="1093"/>
        <v>#N/A</v>
      </c>
      <c r="H329" t="e">
        <f t="shared" si="1094"/>
        <v>#N/A</v>
      </c>
      <c r="I329" t="e">
        <f t="shared" si="1095"/>
        <v>#N/A</v>
      </c>
      <c r="J329" s="971">
        <v>82.9</v>
      </c>
      <c r="AA329" s="82"/>
      <c r="AB329" s="75"/>
      <c r="AC329" s="75"/>
      <c r="AD329" s="166"/>
      <c r="AE329" s="75">
        <v>4.1280000000000001</v>
      </c>
      <c r="AF329" s="82">
        <v>4</v>
      </c>
      <c r="AG329" s="82">
        <v>1</v>
      </c>
      <c r="AH329" s="82">
        <v>2</v>
      </c>
      <c r="AI329" s="82">
        <v>0.99999999998544808</v>
      </c>
      <c r="AJ329" s="166">
        <v>4.1282100000000002</v>
      </c>
      <c r="AK329" s="82">
        <v>4.1281100000000004</v>
      </c>
      <c r="AL329" s="162">
        <v>0</v>
      </c>
      <c r="AM329" s="162">
        <v>0</v>
      </c>
      <c r="AN329" s="162">
        <v>0</v>
      </c>
      <c r="AO329" s="162">
        <v>-62.499990976117786</v>
      </c>
      <c r="AP329" s="162">
        <v>0</v>
      </c>
      <c r="AQ329" s="162">
        <v>0</v>
      </c>
      <c r="AR329" s="710" t="str">
        <v>1613.par</v>
      </c>
      <c r="AV329" s="82" t="str">
        <v>0,204,204</v>
      </c>
      <c r="AW329" s="947">
        <v>0</v>
      </c>
      <c r="AX329" s="947">
        <v>62.499990976117786</v>
      </c>
      <c r="AY329" s="947">
        <v>-62.499990976117786</v>
      </c>
    </row>
    <row r="330" spans="4:51" x14ac:dyDescent="0.25">
      <c r="D330" s="164">
        <v>3.113</v>
      </c>
      <c r="E330" t="e">
        <f t="shared" si="1091"/>
        <v>#N/A</v>
      </c>
      <c r="F330" t="e">
        <f t="shared" si="1092"/>
        <v>#N/A</v>
      </c>
      <c r="G330" t="e">
        <f t="shared" si="1093"/>
        <v>#N/A</v>
      </c>
      <c r="H330" t="e">
        <f t="shared" si="1094"/>
        <v>#N/A</v>
      </c>
      <c r="I330" t="e">
        <f t="shared" si="1095"/>
        <v>#N/A</v>
      </c>
      <c r="J330" s="971">
        <v>101.6</v>
      </c>
      <c r="AA330" s="82"/>
      <c r="AB330" s="75"/>
      <c r="AC330" s="75"/>
      <c r="AD330" s="166"/>
      <c r="AE330" s="75">
        <v>4.125</v>
      </c>
      <c r="AF330" s="82">
        <v>4</v>
      </c>
      <c r="AG330" s="82">
        <v>1</v>
      </c>
      <c r="AH330" s="82">
        <v>2</v>
      </c>
      <c r="AI330" s="82">
        <v>0.99999999998544808</v>
      </c>
      <c r="AJ330" s="166">
        <v>4.12521</v>
      </c>
      <c r="AK330" s="82">
        <v>4.1251100000000003</v>
      </c>
      <c r="AL330" s="162">
        <v>0</v>
      </c>
      <c r="AM330" s="162">
        <v>0</v>
      </c>
      <c r="AN330" s="162">
        <v>0</v>
      </c>
      <c r="AO330" s="162">
        <v>-50.699992679826764</v>
      </c>
      <c r="AP330" s="162">
        <v>0</v>
      </c>
      <c r="AQ330" s="162">
        <v>0</v>
      </c>
      <c r="AR330" s="710" t="str">
        <v>1613.par</v>
      </c>
      <c r="AV330" s="82" t="str">
        <v>0,204,204</v>
      </c>
      <c r="AW330" s="947">
        <v>0</v>
      </c>
      <c r="AX330" s="947">
        <v>50.699992679826764</v>
      </c>
      <c r="AY330" s="947">
        <v>-50.699992679826764</v>
      </c>
    </row>
    <row r="331" spans="4:51" x14ac:dyDescent="0.25">
      <c r="D331" s="164">
        <v>3.1190000000000002</v>
      </c>
      <c r="E331" t="e">
        <f t="shared" si="1091"/>
        <v>#N/A</v>
      </c>
      <c r="F331" t="e">
        <f t="shared" si="1092"/>
        <v>#N/A</v>
      </c>
      <c r="G331" t="e">
        <f t="shared" si="1093"/>
        <v>#N/A</v>
      </c>
      <c r="H331" t="e">
        <f t="shared" si="1094"/>
        <v>#N/A</v>
      </c>
      <c r="I331" t="e">
        <f t="shared" si="1095"/>
        <v>#N/A</v>
      </c>
      <c r="J331" s="971">
        <v>120.7</v>
      </c>
      <c r="AA331" s="82"/>
      <c r="AB331" s="75"/>
      <c r="AC331" s="75"/>
      <c r="AD331" s="166"/>
      <c r="AE331" s="75">
        <v>4.1219999999999999</v>
      </c>
      <c r="AF331" s="82">
        <v>4</v>
      </c>
      <c r="AG331" s="82">
        <v>1</v>
      </c>
      <c r="AH331" s="82">
        <v>2</v>
      </c>
      <c r="AI331" s="82">
        <v>0.99999999998544808</v>
      </c>
      <c r="AJ331" s="166">
        <v>4.1222099999999999</v>
      </c>
      <c r="AK331" s="82">
        <v>4.1221100000000002</v>
      </c>
      <c r="AL331" s="162">
        <v>0</v>
      </c>
      <c r="AM331" s="162">
        <v>0</v>
      </c>
      <c r="AN331" s="162">
        <v>0</v>
      </c>
      <c r="AO331" s="162">
        <v>-38.799994397973919</v>
      </c>
      <c r="AP331" s="162">
        <v>0</v>
      </c>
      <c r="AQ331" s="162">
        <v>0</v>
      </c>
      <c r="AR331" s="710" t="str">
        <v>1613.par</v>
      </c>
      <c r="AV331" s="82" t="str">
        <v>0,204,204</v>
      </c>
      <c r="AW331" s="947">
        <v>0</v>
      </c>
      <c r="AX331" s="947">
        <v>38.799994397973919</v>
      </c>
      <c r="AY331" s="947">
        <v>-38.799994397973919</v>
      </c>
    </row>
    <row r="332" spans="4:51" x14ac:dyDescent="0.25">
      <c r="D332" s="164">
        <v>3.125</v>
      </c>
      <c r="E332" t="e">
        <f t="shared" si="1091"/>
        <v>#N/A</v>
      </c>
      <c r="F332" t="e">
        <f t="shared" si="1092"/>
        <v>#N/A</v>
      </c>
      <c r="G332" t="e">
        <f t="shared" si="1093"/>
        <v>#N/A</v>
      </c>
      <c r="H332" t="e">
        <f t="shared" si="1094"/>
        <v>#N/A</v>
      </c>
      <c r="I332" t="e">
        <f t="shared" si="1095"/>
        <v>#N/A</v>
      </c>
      <c r="J332" s="971">
        <v>139.80000000000001</v>
      </c>
      <c r="AA332" s="82"/>
      <c r="AB332" s="75"/>
      <c r="AC332" s="75"/>
      <c r="AD332" s="166"/>
      <c r="AE332" s="75">
        <v>4.1189999999999998</v>
      </c>
      <c r="AF332" s="82">
        <v>4</v>
      </c>
      <c r="AG332" s="82">
        <v>1</v>
      </c>
      <c r="AH332" s="82">
        <v>2</v>
      </c>
      <c r="AI332" s="82">
        <v>0.99999999998544808</v>
      </c>
      <c r="AJ332" s="166">
        <v>4.1192099999999998</v>
      </c>
      <c r="AK332" s="82">
        <v>4.11911</v>
      </c>
      <c r="AL332" s="162">
        <v>0</v>
      </c>
      <c r="AM332" s="162">
        <v>0</v>
      </c>
      <c r="AN332" s="162">
        <v>0</v>
      </c>
      <c r="AO332" s="162">
        <v>-26.999996101682843</v>
      </c>
      <c r="AP332" s="162">
        <v>0</v>
      </c>
      <c r="AQ332" s="162">
        <v>0</v>
      </c>
      <c r="AR332" s="710" t="str">
        <v>1613.par</v>
      </c>
      <c r="AV332" s="82" t="str">
        <v>0,204,204</v>
      </c>
      <c r="AW332" s="947">
        <v>0</v>
      </c>
      <c r="AX332" s="947">
        <v>26.999996101682843</v>
      </c>
      <c r="AY332" s="947">
        <v>-26.999996101682843</v>
      </c>
    </row>
    <row r="333" spans="4:51" x14ac:dyDescent="0.25">
      <c r="D333" s="164">
        <v>3.1309999999999998</v>
      </c>
      <c r="E333" t="e">
        <f t="shared" si="1091"/>
        <v>#N/A</v>
      </c>
      <c r="F333" t="e">
        <f t="shared" si="1092"/>
        <v>#N/A</v>
      </c>
      <c r="G333" t="e">
        <f t="shared" si="1093"/>
        <v>#N/A</v>
      </c>
      <c r="H333" t="e">
        <f t="shared" si="1094"/>
        <v>#N/A</v>
      </c>
      <c r="I333" t="e">
        <f t="shared" si="1095"/>
        <v>#N/A</v>
      </c>
      <c r="J333" s="971">
        <v>158.69999999999999</v>
      </c>
      <c r="AA333" s="82"/>
      <c r="AB333" s="75"/>
      <c r="AC333" s="75"/>
      <c r="AD333" s="166"/>
      <c r="AE333" s="75">
        <v>4.1159999999999997</v>
      </c>
      <c r="AF333" s="82">
        <v>4</v>
      </c>
      <c r="AG333" s="82">
        <v>1</v>
      </c>
      <c r="AH333" s="82">
        <v>2</v>
      </c>
      <c r="AI333" s="82">
        <v>0.99999999998544808</v>
      </c>
      <c r="AJ333" s="166">
        <v>4.1162099999999997</v>
      </c>
      <c r="AK333" s="82">
        <v>4.1161099999999999</v>
      </c>
      <c r="AL333" s="162">
        <v>0</v>
      </c>
      <c r="AM333" s="162">
        <v>0</v>
      </c>
      <c r="AN333" s="162">
        <v>0</v>
      </c>
      <c r="AO333" s="162">
        <v>-14.999997834268299</v>
      </c>
      <c r="AP333" s="162">
        <v>0</v>
      </c>
      <c r="AQ333" s="162">
        <v>0</v>
      </c>
      <c r="AR333" s="710" t="str">
        <v>1613.par</v>
      </c>
      <c r="AV333" s="82" t="str">
        <v>0,204,204</v>
      </c>
      <c r="AW333" s="947">
        <v>0</v>
      </c>
      <c r="AX333" s="947">
        <v>14.999997834268299</v>
      </c>
      <c r="AY333" s="947">
        <v>-14.999997834268299</v>
      </c>
    </row>
    <row r="334" spans="4:51" x14ac:dyDescent="0.25">
      <c r="D334" s="164">
        <v>3.137</v>
      </c>
      <c r="E334" t="e">
        <f t="shared" si="1091"/>
        <v>#N/A</v>
      </c>
      <c r="F334" t="e">
        <f t="shared" si="1092"/>
        <v>#N/A</v>
      </c>
      <c r="G334" t="e">
        <f t="shared" si="1093"/>
        <v>#N/A</v>
      </c>
      <c r="H334" t="e">
        <f t="shared" si="1094"/>
        <v>#N/A</v>
      </c>
      <c r="I334" t="e">
        <f t="shared" si="1095"/>
        <v>#N/A</v>
      </c>
      <c r="J334" s="971">
        <v>175</v>
      </c>
      <c r="AA334" s="82"/>
      <c r="AB334" s="75"/>
      <c r="AC334" s="75"/>
      <c r="AD334" s="166"/>
      <c r="AE334" s="75">
        <v>4.1130000000000004</v>
      </c>
      <c r="AF334" s="82">
        <v>4</v>
      </c>
      <c r="AG334" s="82">
        <v>1</v>
      </c>
      <c r="AH334" s="82">
        <v>2</v>
      </c>
      <c r="AI334" s="82">
        <v>1.0000000000582077</v>
      </c>
      <c r="AJ334" s="166">
        <v>4.1132100000000005</v>
      </c>
      <c r="AK334" s="82">
        <v>4.1131100000000007</v>
      </c>
      <c r="AL334" s="162">
        <v>0</v>
      </c>
      <c r="AM334" s="162">
        <v>0</v>
      </c>
      <c r="AN334" s="162">
        <v>0</v>
      </c>
      <c r="AO334" s="162">
        <v>-3.5999994802242887</v>
      </c>
      <c r="AP334" s="162">
        <v>0</v>
      </c>
      <c r="AQ334" s="162">
        <v>0</v>
      </c>
      <c r="AR334" s="710" t="str">
        <v>1613.par</v>
      </c>
      <c r="AV334" s="82" t="str">
        <v>0,204,204</v>
      </c>
      <c r="AW334" s="947">
        <v>0</v>
      </c>
      <c r="AX334" s="947">
        <v>3.5999994802242887</v>
      </c>
      <c r="AY334" s="947">
        <v>-3.5999994802242887</v>
      </c>
    </row>
    <row r="335" spans="4:51" x14ac:dyDescent="0.25">
      <c r="D335" s="164">
        <v>3.1429999999999998</v>
      </c>
      <c r="E335" t="e">
        <f t="shared" si="1091"/>
        <v>#N/A</v>
      </c>
      <c r="F335" t="e">
        <f t="shared" si="1092"/>
        <v>#N/A</v>
      </c>
      <c r="G335" t="e">
        <f t="shared" si="1093"/>
        <v>#N/A</v>
      </c>
      <c r="H335" t="e">
        <f t="shared" si="1094"/>
        <v>#N/A</v>
      </c>
      <c r="I335" t="e">
        <f t="shared" si="1095"/>
        <v>#N/A</v>
      </c>
      <c r="J335" s="971">
        <v>175</v>
      </c>
      <c r="AA335" s="82"/>
      <c r="AB335" s="75"/>
      <c r="AC335" s="75"/>
      <c r="AD335" s="166"/>
      <c r="AE335" s="75">
        <v>3.2360000000000002</v>
      </c>
      <c r="AF335" s="82">
        <v>3</v>
      </c>
      <c r="AG335" s="82">
        <v>2</v>
      </c>
      <c r="AH335" s="82">
        <v>2</v>
      </c>
      <c r="AI335" s="82">
        <v>1.0000000000218279</v>
      </c>
      <c r="AJ335" s="166">
        <v>3.2362100000000003</v>
      </c>
      <c r="AK335" s="82">
        <v>3.23611</v>
      </c>
      <c r="AL335" s="162">
        <v>0</v>
      </c>
      <c r="AM335" s="162">
        <v>0</v>
      </c>
      <c r="AN335" s="162">
        <v>0</v>
      </c>
      <c r="AO335" s="162">
        <v>-83.029988011952952</v>
      </c>
      <c r="AP335" s="162">
        <v>0</v>
      </c>
      <c r="AQ335" s="162">
        <v>0</v>
      </c>
      <c r="AR335" s="710" t="str">
        <v>32193r1.par</v>
      </c>
      <c r="AV335" s="82" t="str">
        <v>97,255,97</v>
      </c>
      <c r="AW335" s="947">
        <v>0</v>
      </c>
      <c r="AX335" s="947">
        <v>83.029988011952952</v>
      </c>
      <c r="AY335" s="947">
        <v>-83.029988011952952</v>
      </c>
    </row>
    <row r="336" spans="4:51" x14ac:dyDescent="0.25">
      <c r="D336" s="164">
        <v>4.1120000000000001</v>
      </c>
      <c r="E336" t="e">
        <f t="shared" si="1091"/>
        <v>#N/A</v>
      </c>
      <c r="F336" t="e">
        <f t="shared" si="1092"/>
        <v>#N/A</v>
      </c>
      <c r="G336" t="e">
        <f t="shared" si="1093"/>
        <v>#N/A</v>
      </c>
      <c r="H336" t="e">
        <f t="shared" si="1094"/>
        <v>#N/A</v>
      </c>
      <c r="I336" t="e">
        <f t="shared" si="1095"/>
        <v>#N/A</v>
      </c>
      <c r="J336" s="971">
        <v>98.5</v>
      </c>
      <c r="AA336" s="82"/>
      <c r="AB336" s="75"/>
      <c r="AC336" s="75"/>
      <c r="AD336" s="166"/>
      <c r="AE336" s="75">
        <v>3.2330000000000001</v>
      </c>
      <c r="AF336" s="82">
        <v>3</v>
      </c>
      <c r="AG336" s="82">
        <v>2</v>
      </c>
      <c r="AH336" s="82">
        <v>2</v>
      </c>
      <c r="AI336" s="82">
        <v>1.0000000000218279</v>
      </c>
      <c r="AJ336" s="166">
        <v>3.2332100000000001</v>
      </c>
      <c r="AK336" s="82">
        <v>3.2331099999999999</v>
      </c>
      <c r="AL336" s="162">
        <v>0</v>
      </c>
      <c r="AM336" s="162">
        <v>0</v>
      </c>
      <c r="AN336" s="162">
        <v>0</v>
      </c>
      <c r="AO336" s="162">
        <v>-77.369988829155744</v>
      </c>
      <c r="AP336" s="162">
        <v>0</v>
      </c>
      <c r="AQ336" s="162">
        <v>0</v>
      </c>
      <c r="AR336" s="710" t="str">
        <v>32193r1.par</v>
      </c>
      <c r="AV336" s="82" t="str">
        <v>97,255,97</v>
      </c>
      <c r="AW336" s="947">
        <v>0</v>
      </c>
      <c r="AX336" s="947">
        <v>77.369988829155744</v>
      </c>
      <c r="AY336" s="947">
        <v>-77.369988829155744</v>
      </c>
    </row>
    <row r="337" spans="4:51" x14ac:dyDescent="0.25">
      <c r="D337" s="164">
        <v>4.1180000000000003</v>
      </c>
      <c r="E337" t="e">
        <f t="shared" si="1091"/>
        <v>#N/A</v>
      </c>
      <c r="F337" t="e">
        <f t="shared" si="1092"/>
        <v>#N/A</v>
      </c>
      <c r="G337" t="e">
        <f t="shared" si="1093"/>
        <v>#N/A</v>
      </c>
      <c r="H337" t="e">
        <f t="shared" si="1094"/>
        <v>#N/A</v>
      </c>
      <c r="I337" t="e">
        <f t="shared" si="1095"/>
        <v>#N/A</v>
      </c>
      <c r="J337" s="971">
        <v>117.5</v>
      </c>
      <c r="AA337" s="82"/>
      <c r="AB337" s="75"/>
      <c r="AC337" s="75"/>
      <c r="AD337" s="166"/>
      <c r="AE337" s="75">
        <v>3.23</v>
      </c>
      <c r="AF337" s="82">
        <v>3</v>
      </c>
      <c r="AG337" s="82">
        <v>2</v>
      </c>
      <c r="AH337" s="82">
        <v>2</v>
      </c>
      <c r="AI337" s="82">
        <v>0.99999999998544808</v>
      </c>
      <c r="AJ337" s="166">
        <v>3.23021</v>
      </c>
      <c r="AK337" s="82">
        <v>3.2301099999999998</v>
      </c>
      <c r="AL337" s="162">
        <v>0</v>
      </c>
      <c r="AM337" s="162">
        <v>0</v>
      </c>
      <c r="AN337" s="162">
        <v>0</v>
      </c>
      <c r="AO337" s="162">
        <v>-69.489989966886796</v>
      </c>
      <c r="AP337" s="162">
        <v>0</v>
      </c>
      <c r="AQ337" s="162">
        <v>0</v>
      </c>
      <c r="AR337" s="710" t="str">
        <v>32193r1.par</v>
      </c>
      <c r="AV337" s="82" t="str">
        <v>97,255,97</v>
      </c>
      <c r="AW337" s="947">
        <v>0</v>
      </c>
      <c r="AX337" s="947">
        <v>69.489989966886796</v>
      </c>
      <c r="AY337" s="947">
        <v>-69.489989966886796</v>
      </c>
    </row>
    <row r="338" spans="4:51" x14ac:dyDescent="0.25">
      <c r="D338" s="164">
        <v>4.1239999999999997</v>
      </c>
      <c r="E338" t="e">
        <f t="shared" si="1091"/>
        <v>#N/A</v>
      </c>
      <c r="F338" t="e">
        <f t="shared" si="1092"/>
        <v>#N/A</v>
      </c>
      <c r="G338" t="e">
        <f t="shared" si="1093"/>
        <v>#N/A</v>
      </c>
      <c r="H338" t="e">
        <f t="shared" si="1094"/>
        <v>#N/A</v>
      </c>
      <c r="I338" t="e">
        <f t="shared" si="1095"/>
        <v>#N/A</v>
      </c>
      <c r="J338" s="971">
        <v>136.6</v>
      </c>
      <c r="AA338" s="82"/>
      <c r="AB338" s="75"/>
      <c r="AC338" s="75"/>
      <c r="AD338" s="166"/>
      <c r="AE338" s="75">
        <v>3.2269999999999999</v>
      </c>
      <c r="AF338" s="82">
        <v>3</v>
      </c>
      <c r="AG338" s="82">
        <v>2</v>
      </c>
      <c r="AH338" s="82">
        <v>2</v>
      </c>
      <c r="AI338" s="82">
        <v>0.99999999998544808</v>
      </c>
      <c r="AJ338" s="166">
        <v>3.2272099999999999</v>
      </c>
      <c r="AK338" s="82">
        <v>3.2271099999999997</v>
      </c>
      <c r="AL338" s="162">
        <v>0</v>
      </c>
      <c r="AM338" s="162">
        <v>0</v>
      </c>
      <c r="AN338" s="162">
        <v>0</v>
      </c>
      <c r="AO338" s="162">
        <v>-55.989991916045376</v>
      </c>
      <c r="AP338" s="162">
        <v>0</v>
      </c>
      <c r="AQ338" s="162">
        <v>0</v>
      </c>
      <c r="AR338" s="710" t="str">
        <v>32193r1.par</v>
      </c>
      <c r="AV338" s="82" t="str">
        <v>97,255,97</v>
      </c>
      <c r="AW338" s="947">
        <v>0</v>
      </c>
      <c r="AX338" s="947">
        <v>55.989991916045376</v>
      </c>
      <c r="AY338" s="947">
        <v>-55.989991916045376</v>
      </c>
    </row>
    <row r="339" spans="4:51" x14ac:dyDescent="0.25">
      <c r="D339" s="164">
        <v>4.13</v>
      </c>
      <c r="E339" t="e">
        <f t="shared" si="1091"/>
        <v>#N/A</v>
      </c>
      <c r="F339" t="e">
        <f t="shared" si="1092"/>
        <v>#N/A</v>
      </c>
      <c r="G339" t="e">
        <f t="shared" si="1093"/>
        <v>#N/A</v>
      </c>
      <c r="H339" t="e">
        <f t="shared" si="1094"/>
        <v>#N/A</v>
      </c>
      <c r="I339" t="e">
        <f t="shared" si="1095"/>
        <v>#N/A</v>
      </c>
      <c r="J339" s="971">
        <v>155.5</v>
      </c>
      <c r="AA339" s="82"/>
      <c r="AB339" s="75"/>
      <c r="AC339" s="75"/>
      <c r="AD339" s="166"/>
      <c r="AE339" s="75">
        <v>3.2240000000000002</v>
      </c>
      <c r="AF339" s="82">
        <v>3</v>
      </c>
      <c r="AG339" s="82">
        <v>2</v>
      </c>
      <c r="AH339" s="82">
        <v>2</v>
      </c>
      <c r="AI339" s="82">
        <v>1.0000000000218279</v>
      </c>
      <c r="AJ339" s="166">
        <v>3.2242100000000002</v>
      </c>
      <c r="AK339" s="82">
        <v>3.22411</v>
      </c>
      <c r="AL339" s="162">
        <v>0</v>
      </c>
      <c r="AM339" s="162">
        <v>0</v>
      </c>
      <c r="AN339" s="162">
        <v>0</v>
      </c>
      <c r="AO339" s="162">
        <v>-42.359993883973594</v>
      </c>
      <c r="AP339" s="162">
        <v>0</v>
      </c>
      <c r="AQ339" s="162">
        <v>0</v>
      </c>
      <c r="AR339" s="710" t="str">
        <v>32193r1.par</v>
      </c>
      <c r="AV339" s="82" t="str">
        <v>97,255,97</v>
      </c>
      <c r="AW339" s="947">
        <v>0</v>
      </c>
      <c r="AX339" s="947">
        <v>42.359993883973594</v>
      </c>
      <c r="AY339" s="947">
        <v>-42.359993883973594</v>
      </c>
    </row>
    <row r="340" spans="4:51" x14ac:dyDescent="0.25">
      <c r="D340" s="164">
        <v>4.1360000000000001</v>
      </c>
      <c r="E340" t="e">
        <f t="shared" si="1091"/>
        <v>#N/A</v>
      </c>
      <c r="F340" t="e">
        <f t="shared" si="1092"/>
        <v>#N/A</v>
      </c>
      <c r="G340" t="e">
        <f t="shared" si="1093"/>
        <v>#N/A</v>
      </c>
      <c r="H340" t="e">
        <f t="shared" si="1094"/>
        <v>#N/A</v>
      </c>
      <c r="I340" t="e">
        <f t="shared" si="1095"/>
        <v>#N/A</v>
      </c>
      <c r="J340" s="971">
        <v>174.1</v>
      </c>
      <c r="AA340" s="82"/>
      <c r="AB340" s="75"/>
      <c r="AC340" s="75"/>
      <c r="AD340" s="166"/>
      <c r="AE340" s="75">
        <v>3.2210000000000001</v>
      </c>
      <c r="AF340" s="82">
        <v>3</v>
      </c>
      <c r="AG340" s="82">
        <v>2</v>
      </c>
      <c r="AH340" s="82">
        <v>2</v>
      </c>
      <c r="AI340" s="82">
        <v>1.0000000000218279</v>
      </c>
      <c r="AJ340" s="166">
        <v>3.2212100000000001</v>
      </c>
      <c r="AK340" s="82">
        <v>3.2211099999999999</v>
      </c>
      <c r="AL340" s="162">
        <v>0</v>
      </c>
      <c r="AM340" s="162">
        <v>0</v>
      </c>
      <c r="AN340" s="162">
        <v>0</v>
      </c>
      <c r="AO340" s="162">
        <v>-28.739995850458001</v>
      </c>
      <c r="AP340" s="162">
        <v>0</v>
      </c>
      <c r="AQ340" s="162">
        <v>0</v>
      </c>
      <c r="AR340" s="710" t="str">
        <v>32193r1.par</v>
      </c>
      <c r="AV340" s="82" t="str">
        <v>97,255,97</v>
      </c>
      <c r="AW340" s="947">
        <v>0</v>
      </c>
      <c r="AX340" s="947">
        <v>28.739995850458001</v>
      </c>
      <c r="AY340" s="947">
        <v>-28.739995850458001</v>
      </c>
    </row>
    <row r="341" spans="4:51" x14ac:dyDescent="0.25">
      <c r="D341" s="164">
        <v>4.1420000000000003</v>
      </c>
      <c r="E341" t="e">
        <f t="shared" si="1091"/>
        <v>#N/A</v>
      </c>
      <c r="F341" t="e">
        <f t="shared" si="1092"/>
        <v>#N/A</v>
      </c>
      <c r="G341" t="e">
        <f t="shared" si="1093"/>
        <v>#N/A</v>
      </c>
      <c r="H341" t="e">
        <f t="shared" si="1094"/>
        <v>#N/A</v>
      </c>
      <c r="I341" t="e">
        <f t="shared" si="1095"/>
        <v>#N/A</v>
      </c>
      <c r="J341" s="971">
        <v>175</v>
      </c>
      <c r="AA341" s="82"/>
      <c r="AB341" s="75"/>
      <c r="AC341" s="75"/>
      <c r="AD341" s="166"/>
      <c r="AE341" s="75">
        <v>3.218</v>
      </c>
      <c r="AF341" s="82">
        <v>3</v>
      </c>
      <c r="AG341" s="82">
        <v>2</v>
      </c>
      <c r="AH341" s="82">
        <v>2</v>
      </c>
      <c r="AI341" s="82">
        <v>0.99999999998544808</v>
      </c>
      <c r="AJ341" s="166">
        <v>3.21821</v>
      </c>
      <c r="AK341" s="82">
        <v>3.2181099999999998</v>
      </c>
      <c r="AL341" s="162">
        <v>0</v>
      </c>
      <c r="AM341" s="162">
        <v>0</v>
      </c>
      <c r="AN341" s="162">
        <v>0</v>
      </c>
      <c r="AO341" s="162">
        <v>-15.039997828492986</v>
      </c>
      <c r="AP341" s="162">
        <v>0</v>
      </c>
      <c r="AQ341" s="162">
        <v>0</v>
      </c>
      <c r="AR341" s="710" t="str">
        <v>32193r1.par</v>
      </c>
      <c r="AV341" s="82" t="str">
        <v>97,255,97</v>
      </c>
      <c r="AW341" s="947">
        <v>0</v>
      </c>
      <c r="AX341" s="947">
        <v>15.039997828492986</v>
      </c>
      <c r="AY341" s="947">
        <v>-15.039997828492986</v>
      </c>
    </row>
    <row r="342" spans="4:51" x14ac:dyDescent="0.25">
      <c r="D342" s="164">
        <v>5.1029999999999998</v>
      </c>
      <c r="E342" t="e">
        <f t="shared" si="1091"/>
        <v>#N/A</v>
      </c>
      <c r="F342" t="e">
        <f t="shared" si="1092"/>
        <v>#N/A</v>
      </c>
      <c r="G342" t="e">
        <f t="shared" si="1093"/>
        <v>#N/A</v>
      </c>
      <c r="H342" t="e">
        <f t="shared" si="1094"/>
        <v>#N/A</v>
      </c>
      <c r="I342" t="e">
        <f t="shared" si="1095"/>
        <v>#N/A</v>
      </c>
      <c r="J342" s="971">
        <v>70</v>
      </c>
      <c r="AA342" s="82"/>
      <c r="AB342" s="75"/>
      <c r="AC342" s="75"/>
      <c r="AD342" s="166"/>
      <c r="AE342" s="75">
        <v>3.2149999999999999</v>
      </c>
      <c r="AF342" s="82">
        <v>3</v>
      </c>
      <c r="AG342" s="82">
        <v>2</v>
      </c>
      <c r="AH342" s="82">
        <v>2</v>
      </c>
      <c r="AI342" s="82">
        <v>0.99999999998544808</v>
      </c>
      <c r="AJ342" s="166">
        <v>3.2152099999999999</v>
      </c>
      <c r="AK342" s="82">
        <v>3.2151099999999997</v>
      </c>
      <c r="AL342" s="162">
        <v>0</v>
      </c>
      <c r="AM342" s="162">
        <v>0</v>
      </c>
      <c r="AN342" s="162">
        <v>0</v>
      </c>
      <c r="AO342" s="162">
        <v>-1.3999997978650411</v>
      </c>
      <c r="AP342" s="162">
        <v>0</v>
      </c>
      <c r="AQ342" s="162">
        <v>0</v>
      </c>
      <c r="AR342" s="710" t="str">
        <v>32193r1.par</v>
      </c>
      <c r="AV342" s="82" t="str">
        <v>97,255,97</v>
      </c>
      <c r="AW342" s="947">
        <v>0</v>
      </c>
      <c r="AX342" s="947">
        <v>1.3999997978650411</v>
      </c>
      <c r="AY342" s="947">
        <v>-1.3999997978650411</v>
      </c>
    </row>
    <row r="343" spans="4:51" x14ac:dyDescent="0.25">
      <c r="D343" s="164">
        <v>5.1059999999999999</v>
      </c>
      <c r="E343" t="e">
        <f t="shared" si="1091"/>
        <v>#N/A</v>
      </c>
      <c r="F343" t="e">
        <f t="shared" si="1092"/>
        <v>#N/A</v>
      </c>
      <c r="G343" t="e">
        <f t="shared" si="1093"/>
        <v>#N/A</v>
      </c>
      <c r="H343" t="e">
        <f t="shared" si="1094"/>
        <v>#N/A</v>
      </c>
      <c r="I343" t="e">
        <f t="shared" si="1095"/>
        <v>#N/A</v>
      </c>
      <c r="J343" s="971">
        <v>70.599999999999994</v>
      </c>
      <c r="AA343" s="82"/>
      <c r="AB343" s="75"/>
      <c r="AC343" s="75"/>
      <c r="AD343" s="166"/>
      <c r="AE343" s="75">
        <v>3.1389999999999998</v>
      </c>
      <c r="AF343" s="82">
        <v>3</v>
      </c>
      <c r="AG343" s="82">
        <v>1</v>
      </c>
      <c r="AH343" s="82">
        <v>2</v>
      </c>
      <c r="AI343" s="82">
        <v>0.99999999998544808</v>
      </c>
      <c r="AJ343" s="166">
        <v>3.1392099999999998</v>
      </c>
      <c r="AK343" s="82">
        <v>3.1391099999999996</v>
      </c>
      <c r="AL343" s="162">
        <v>0</v>
      </c>
      <c r="AM343" s="162">
        <v>0</v>
      </c>
      <c r="AN343" s="162">
        <v>0</v>
      </c>
      <c r="AO343" s="162">
        <v>-87.999987294373838</v>
      </c>
      <c r="AP343" s="162">
        <v>0</v>
      </c>
      <c r="AQ343" s="162">
        <v>0</v>
      </c>
      <c r="AR343" s="710" t="str">
        <v>1613.par</v>
      </c>
      <c r="AV343" s="82" t="str">
        <v>0,204,0</v>
      </c>
      <c r="AW343" s="947">
        <v>0</v>
      </c>
      <c r="AX343" s="947">
        <v>87.999987294373838</v>
      </c>
      <c r="AY343" s="947">
        <v>-87.999987294373838</v>
      </c>
    </row>
    <row r="344" spans="4:51" x14ac:dyDescent="0.25">
      <c r="D344" s="164">
        <v>5.109</v>
      </c>
      <c r="E344" t="e">
        <f t="shared" si="1091"/>
        <v>#N/A</v>
      </c>
      <c r="F344" t="e">
        <f t="shared" si="1092"/>
        <v>#N/A</v>
      </c>
      <c r="G344" t="e">
        <f t="shared" si="1093"/>
        <v>#N/A</v>
      </c>
      <c r="H344" t="e">
        <f t="shared" si="1094"/>
        <v>#N/A</v>
      </c>
      <c r="I344" t="e">
        <f t="shared" si="1095"/>
        <v>#N/A</v>
      </c>
      <c r="J344" s="971">
        <v>89</v>
      </c>
      <c r="AA344" s="82"/>
      <c r="AB344" s="75"/>
      <c r="AC344" s="75"/>
      <c r="AD344" s="166"/>
      <c r="AE344" s="75">
        <v>3.1360000000000001</v>
      </c>
      <c r="AF344" s="82">
        <v>3</v>
      </c>
      <c r="AG344" s="82">
        <v>1</v>
      </c>
      <c r="AH344" s="82">
        <v>2</v>
      </c>
      <c r="AI344" s="82">
        <v>1.0000000000218279</v>
      </c>
      <c r="AJ344" s="166">
        <v>3.1362100000000002</v>
      </c>
      <c r="AK344" s="82">
        <v>3.13611</v>
      </c>
      <c r="AL344" s="162">
        <v>0</v>
      </c>
      <c r="AM344" s="162">
        <v>0</v>
      </c>
      <c r="AN344" s="162">
        <v>0</v>
      </c>
      <c r="AO344" s="162">
        <v>-83.99998787190232</v>
      </c>
      <c r="AP344" s="162">
        <v>0</v>
      </c>
      <c r="AQ344" s="162">
        <v>0</v>
      </c>
      <c r="AR344" s="710" t="str">
        <v>1613.par</v>
      </c>
      <c r="AV344" s="82" t="str">
        <v>0,204,0</v>
      </c>
      <c r="AW344" s="947">
        <v>0</v>
      </c>
      <c r="AX344" s="947">
        <v>83.99998787190232</v>
      </c>
      <c r="AY344" s="947">
        <v>-83.99998787190232</v>
      </c>
    </row>
    <row r="345" spans="4:51" x14ac:dyDescent="0.25">
      <c r="D345" s="164">
        <v>5.1150000000000002</v>
      </c>
      <c r="E345" t="e">
        <f t="shared" si="1091"/>
        <v>#N/A</v>
      </c>
      <c r="F345" t="e">
        <f t="shared" si="1092"/>
        <v>#N/A</v>
      </c>
      <c r="G345" t="e">
        <f t="shared" si="1093"/>
        <v>#N/A</v>
      </c>
      <c r="H345" t="e">
        <f t="shared" si="1094"/>
        <v>#N/A</v>
      </c>
      <c r="I345" t="e">
        <f t="shared" si="1095"/>
        <v>#N/A</v>
      </c>
      <c r="J345" s="971">
        <v>108</v>
      </c>
      <c r="AA345" s="82"/>
      <c r="AB345" s="75"/>
      <c r="AC345" s="75"/>
      <c r="AD345" s="166"/>
      <c r="AE345" s="75">
        <v>3.133</v>
      </c>
      <c r="AF345" s="82">
        <v>3</v>
      </c>
      <c r="AG345" s="82">
        <v>1</v>
      </c>
      <c r="AH345" s="82">
        <v>2</v>
      </c>
      <c r="AI345" s="82">
        <v>1.0000000000218279</v>
      </c>
      <c r="AJ345" s="166">
        <v>3.1332100000000001</v>
      </c>
      <c r="AK345" s="82">
        <v>3.1331099999999998</v>
      </c>
      <c r="AL345" s="162">
        <v>0</v>
      </c>
      <c r="AM345" s="162">
        <v>0</v>
      </c>
      <c r="AN345" s="162">
        <v>0</v>
      </c>
      <c r="AO345" s="162">
        <v>-78.099988723756752</v>
      </c>
      <c r="AP345" s="162">
        <v>0</v>
      </c>
      <c r="AQ345" s="162">
        <v>0</v>
      </c>
      <c r="AR345" s="710" t="str">
        <v>1613.par</v>
      </c>
      <c r="AV345" s="82" t="str">
        <v>0,204,0</v>
      </c>
      <c r="AW345" s="947">
        <v>0</v>
      </c>
      <c r="AX345" s="947">
        <v>78.099988723756752</v>
      </c>
      <c r="AY345" s="947">
        <v>-78.099988723756752</v>
      </c>
    </row>
    <row r="346" spans="4:51" x14ac:dyDescent="0.25">
      <c r="D346" s="164">
        <v>5.1210000000000004</v>
      </c>
      <c r="E346" t="e">
        <f t="shared" si="1091"/>
        <v>#N/A</v>
      </c>
      <c r="F346" t="e">
        <f t="shared" si="1092"/>
        <v>#N/A</v>
      </c>
      <c r="G346" t="e">
        <f t="shared" si="1093"/>
        <v>#N/A</v>
      </c>
      <c r="H346" t="e">
        <f t="shared" si="1094"/>
        <v>#N/A</v>
      </c>
      <c r="I346" t="e">
        <f t="shared" si="1095"/>
        <v>#N/A</v>
      </c>
      <c r="J346" s="971">
        <v>127.1</v>
      </c>
      <c r="AA346" s="82"/>
      <c r="AB346" s="75"/>
      <c r="AC346" s="75"/>
      <c r="AD346" s="166"/>
      <c r="AE346" s="75">
        <v>3.13</v>
      </c>
      <c r="AF346" s="82">
        <v>3</v>
      </c>
      <c r="AG346" s="82">
        <v>1</v>
      </c>
      <c r="AH346" s="82">
        <v>2</v>
      </c>
      <c r="AI346" s="82">
        <v>0.99999999998544808</v>
      </c>
      <c r="AJ346" s="166">
        <v>3.1302099999999999</v>
      </c>
      <c r="AK346" s="82">
        <v>3.1301099999999997</v>
      </c>
      <c r="AL346" s="162">
        <v>0</v>
      </c>
      <c r="AM346" s="162">
        <v>0</v>
      </c>
      <c r="AN346" s="162">
        <v>0</v>
      </c>
      <c r="AO346" s="162">
        <v>-70.19998986437551</v>
      </c>
      <c r="AP346" s="162">
        <v>0</v>
      </c>
      <c r="AQ346" s="162">
        <v>0</v>
      </c>
      <c r="AR346" s="710" t="str">
        <v>1613.par</v>
      </c>
      <c r="AV346" s="82" t="str">
        <v>0,204,0</v>
      </c>
      <c r="AW346" s="947">
        <v>0</v>
      </c>
      <c r="AX346" s="947">
        <v>70.19998986437551</v>
      </c>
      <c r="AY346" s="947">
        <v>-70.19998986437551</v>
      </c>
    </row>
    <row r="347" spans="4:51" x14ac:dyDescent="0.25">
      <c r="D347" s="164">
        <v>5.1269999999999998</v>
      </c>
      <c r="E347" t="e">
        <f t="shared" si="1091"/>
        <v>#N/A</v>
      </c>
      <c r="F347" t="e">
        <f t="shared" si="1092"/>
        <v>#N/A</v>
      </c>
      <c r="G347" t="e">
        <f t="shared" si="1093"/>
        <v>#N/A</v>
      </c>
      <c r="H347" t="e">
        <f t="shared" si="1094"/>
        <v>#N/A</v>
      </c>
      <c r="I347" t="e">
        <f t="shared" si="1095"/>
        <v>#N/A</v>
      </c>
      <c r="J347" s="971">
        <v>146.1</v>
      </c>
      <c r="AA347" s="82"/>
      <c r="AB347" s="75"/>
      <c r="AC347" s="75"/>
      <c r="AD347" s="166"/>
      <c r="AE347" s="75">
        <v>3.1269999999999998</v>
      </c>
      <c r="AF347" s="82">
        <v>3</v>
      </c>
      <c r="AG347" s="82">
        <v>1</v>
      </c>
      <c r="AH347" s="82">
        <v>2</v>
      </c>
      <c r="AI347" s="82">
        <v>0.99999999998544808</v>
      </c>
      <c r="AJ347" s="166">
        <v>3.1272099999999998</v>
      </c>
      <c r="AK347" s="82">
        <v>3.1271099999999996</v>
      </c>
      <c r="AL347" s="162">
        <v>0</v>
      </c>
      <c r="AM347" s="162">
        <v>0</v>
      </c>
      <c r="AN347" s="162">
        <v>0</v>
      </c>
      <c r="AO347" s="162">
        <v>-58.499991553646254</v>
      </c>
      <c r="AP347" s="162">
        <v>0</v>
      </c>
      <c r="AQ347" s="162">
        <v>0</v>
      </c>
      <c r="AR347" s="710" t="str">
        <v>1613.par</v>
      </c>
      <c r="AV347" s="82" t="str">
        <v>0,204,0</v>
      </c>
      <c r="AW347" s="947">
        <v>0</v>
      </c>
      <c r="AX347" s="947">
        <v>58.499991553646254</v>
      </c>
      <c r="AY347" s="947">
        <v>-58.499991553646254</v>
      </c>
    </row>
    <row r="348" spans="4:51" x14ac:dyDescent="0.25">
      <c r="D348" s="164">
        <v>5.133</v>
      </c>
      <c r="E348" t="e">
        <f t="shared" si="1091"/>
        <v>#N/A</v>
      </c>
      <c r="F348" t="e">
        <f t="shared" si="1092"/>
        <v>#N/A</v>
      </c>
      <c r="G348" t="e">
        <f t="shared" si="1093"/>
        <v>#N/A</v>
      </c>
      <c r="H348" t="e">
        <f t="shared" si="1094"/>
        <v>#N/A</v>
      </c>
      <c r="I348" t="e">
        <f t="shared" si="1095"/>
        <v>#N/A</v>
      </c>
      <c r="J348" s="971">
        <v>164.9</v>
      </c>
      <c r="AA348" s="82"/>
      <c r="AB348" s="75"/>
      <c r="AC348" s="75"/>
      <c r="AD348" s="166"/>
      <c r="AE348" s="75">
        <v>3.1240000000000001</v>
      </c>
      <c r="AF348" s="82">
        <v>3</v>
      </c>
      <c r="AG348" s="82">
        <v>1</v>
      </c>
      <c r="AH348" s="82">
        <v>2</v>
      </c>
      <c r="AI348" s="82">
        <v>1.0000000000218279</v>
      </c>
      <c r="AJ348" s="166">
        <v>3.1242100000000002</v>
      </c>
      <c r="AK348" s="82">
        <v>3.1241099999999999</v>
      </c>
      <c r="AL348" s="162">
        <v>0</v>
      </c>
      <c r="AM348" s="162">
        <v>0</v>
      </c>
      <c r="AN348" s="162">
        <v>0</v>
      </c>
      <c r="AO348" s="162">
        <v>-46.699993257355175</v>
      </c>
      <c r="AP348" s="162">
        <v>0</v>
      </c>
      <c r="AQ348" s="162">
        <v>0</v>
      </c>
      <c r="AR348" s="710" t="str">
        <v>1613.par</v>
      </c>
      <c r="AV348" s="82" t="str">
        <v>0,204,0</v>
      </c>
      <c r="AW348" s="947">
        <v>0</v>
      </c>
      <c r="AX348" s="947">
        <v>46.699993257355175</v>
      </c>
      <c r="AY348" s="947">
        <v>-46.699993257355175</v>
      </c>
    </row>
    <row r="349" spans="4:51" x14ac:dyDescent="0.25">
      <c r="D349" s="164">
        <v>5.1390000000000002</v>
      </c>
      <c r="E349" t="e">
        <f t="shared" si="1091"/>
        <v>#N/A</v>
      </c>
      <c r="F349" t="e">
        <f t="shared" si="1092"/>
        <v>#N/A</v>
      </c>
      <c r="G349" t="e">
        <f t="shared" si="1093"/>
        <v>#N/A</v>
      </c>
      <c r="H349" t="e">
        <f t="shared" si="1094"/>
        <v>#N/A</v>
      </c>
      <c r="I349" t="e">
        <f t="shared" si="1095"/>
        <v>#N/A</v>
      </c>
      <c r="J349" s="971">
        <v>175</v>
      </c>
      <c r="AA349" s="82"/>
      <c r="AB349" s="75"/>
      <c r="AC349" s="75"/>
      <c r="AD349" s="166"/>
      <c r="AE349" s="75">
        <v>3.121</v>
      </c>
      <c r="AF349" s="82">
        <v>3</v>
      </c>
      <c r="AG349" s="82">
        <v>1</v>
      </c>
      <c r="AH349" s="82">
        <v>2</v>
      </c>
      <c r="AI349" s="82">
        <v>1.0000000000218279</v>
      </c>
      <c r="AJ349" s="166">
        <v>3.12121</v>
      </c>
      <c r="AK349" s="82">
        <v>3.1211099999999998</v>
      </c>
      <c r="AL349" s="162">
        <v>0</v>
      </c>
      <c r="AM349" s="162">
        <v>0</v>
      </c>
      <c r="AN349" s="162">
        <v>0</v>
      </c>
      <c r="AO349" s="162">
        <v>-34.899994961064216</v>
      </c>
      <c r="AP349" s="162">
        <v>0</v>
      </c>
      <c r="AQ349" s="162">
        <v>0</v>
      </c>
      <c r="AR349" s="710" t="str">
        <v>1613.par</v>
      </c>
      <c r="AV349" s="82" t="str">
        <v>0,204,0</v>
      </c>
      <c r="AW349" s="947">
        <v>0</v>
      </c>
      <c r="AX349" s="947">
        <v>34.899994961064216</v>
      </c>
      <c r="AY349" s="947">
        <v>-34.899994961064216</v>
      </c>
    </row>
    <row r="350" spans="4:51" x14ac:dyDescent="0.25">
      <c r="D350" s="164">
        <v>5.1449999999999996</v>
      </c>
      <c r="E350" t="e">
        <f t="shared" si="1091"/>
        <v>#N/A</v>
      </c>
      <c r="F350" t="e">
        <f t="shared" si="1092"/>
        <v>#N/A</v>
      </c>
      <c r="G350" t="e">
        <f t="shared" si="1093"/>
        <v>#N/A</v>
      </c>
      <c r="H350" t="e">
        <f t="shared" si="1094"/>
        <v>#N/A</v>
      </c>
      <c r="I350" t="e">
        <f t="shared" si="1095"/>
        <v>#N/A</v>
      </c>
      <c r="J350" s="971">
        <v>175</v>
      </c>
      <c r="AA350" s="82"/>
      <c r="AB350" s="75"/>
      <c r="AC350" s="75"/>
      <c r="AD350" s="166"/>
      <c r="AE350" s="75">
        <v>3.1179999999999999</v>
      </c>
      <c r="AF350" s="82">
        <v>3</v>
      </c>
      <c r="AG350" s="82">
        <v>1</v>
      </c>
      <c r="AH350" s="82">
        <v>2</v>
      </c>
      <c r="AI350" s="82">
        <v>0.99999999998544808</v>
      </c>
      <c r="AJ350" s="166">
        <v>3.1182099999999999</v>
      </c>
      <c r="AK350" s="82">
        <v>3.1181099999999997</v>
      </c>
      <c r="AL350" s="162">
        <v>0</v>
      </c>
      <c r="AM350" s="162">
        <v>0</v>
      </c>
      <c r="AN350" s="162">
        <v>0</v>
      </c>
      <c r="AO350" s="162">
        <v>-22.999996679211449</v>
      </c>
      <c r="AP350" s="162">
        <v>0</v>
      </c>
      <c r="AQ350" s="162">
        <v>0</v>
      </c>
      <c r="AR350" s="710" t="str">
        <v>1613.par</v>
      </c>
      <c r="AV350" s="82" t="str">
        <v>0,204,0</v>
      </c>
      <c r="AW350" s="947">
        <v>0</v>
      </c>
      <c r="AX350" s="947">
        <v>22.999996679211449</v>
      </c>
      <c r="AY350" s="947">
        <v>-22.999996679211449</v>
      </c>
    </row>
    <row r="351" spans="4:51" x14ac:dyDescent="0.25">
      <c r="D351" s="164">
        <v>6.1139999999999999</v>
      </c>
      <c r="E351" t="e">
        <f t="shared" si="1091"/>
        <v>#N/A</v>
      </c>
      <c r="F351" t="e">
        <f t="shared" si="1092"/>
        <v>#N/A</v>
      </c>
      <c r="G351" t="e">
        <f t="shared" si="1093"/>
        <v>#N/A</v>
      </c>
      <c r="H351" t="e">
        <f t="shared" si="1094"/>
        <v>#N/A</v>
      </c>
      <c r="I351" t="e">
        <f t="shared" si="1095"/>
        <v>#N/A</v>
      </c>
      <c r="J351" s="971">
        <v>104.8</v>
      </c>
      <c r="AA351" s="82"/>
      <c r="AB351" s="75"/>
      <c r="AC351" s="75"/>
      <c r="AD351" s="166"/>
      <c r="AE351" s="75">
        <v>3.1150000000000002</v>
      </c>
      <c r="AF351" s="82">
        <v>3</v>
      </c>
      <c r="AG351" s="82">
        <v>1</v>
      </c>
      <c r="AH351" s="82">
        <v>2</v>
      </c>
      <c r="AI351" s="82">
        <v>1.0000000000218279</v>
      </c>
      <c r="AJ351" s="166">
        <v>3.1152100000000003</v>
      </c>
      <c r="AK351" s="82">
        <v>3.11511</v>
      </c>
      <c r="AL351" s="162">
        <v>0</v>
      </c>
      <c r="AM351" s="162">
        <v>0</v>
      </c>
      <c r="AN351" s="162">
        <v>0</v>
      </c>
      <c r="AO351" s="162">
        <v>-11.199998382920322</v>
      </c>
      <c r="AP351" s="162">
        <v>0</v>
      </c>
      <c r="AQ351" s="162">
        <v>0</v>
      </c>
      <c r="AR351" s="710" t="str">
        <v>1613.par</v>
      </c>
      <c r="AV351" s="82" t="str">
        <v>0,204,0</v>
      </c>
      <c r="AW351" s="947">
        <v>0</v>
      </c>
      <c r="AX351" s="947">
        <v>11.199998382920322</v>
      </c>
      <c r="AY351" s="947">
        <v>-11.199998382920322</v>
      </c>
    </row>
    <row r="352" spans="4:51" x14ac:dyDescent="0.25">
      <c r="D352" s="164">
        <v>6.12</v>
      </c>
      <c r="E352" t="e">
        <f t="shared" si="1091"/>
        <v>#N/A</v>
      </c>
      <c r="F352" t="e">
        <f t="shared" si="1092"/>
        <v>#N/A</v>
      </c>
      <c r="G352" t="e">
        <f t="shared" si="1093"/>
        <v>#N/A</v>
      </c>
      <c r="H352" t="e">
        <f t="shared" si="1094"/>
        <v>#N/A</v>
      </c>
      <c r="I352" t="e">
        <f t="shared" si="1095"/>
        <v>#N/A</v>
      </c>
      <c r="J352" s="971">
        <v>123.9</v>
      </c>
      <c r="AA352" s="82"/>
      <c r="AB352" s="75"/>
      <c r="AC352" s="75"/>
      <c r="AD352" s="166"/>
      <c r="AE352" s="75">
        <v>3.1120000000000001</v>
      </c>
      <c r="AF352" s="82">
        <v>3</v>
      </c>
      <c r="AG352" s="82">
        <v>1</v>
      </c>
      <c r="AH352" s="82">
        <v>2</v>
      </c>
      <c r="AI352" s="82">
        <v>1.0000000000218279</v>
      </c>
      <c r="AJ352" s="166">
        <v>3.1122100000000001</v>
      </c>
      <c r="AK352" s="82">
        <v>3.1121099999999999</v>
      </c>
      <c r="AL352" s="162">
        <v>0</v>
      </c>
      <c r="AM352" s="162">
        <v>0</v>
      </c>
      <c r="AN352" s="162">
        <v>0</v>
      </c>
      <c r="AO352" s="162">
        <v>0.39999994224709218</v>
      </c>
      <c r="AP352" s="162">
        <v>0</v>
      </c>
      <c r="AQ352" s="162">
        <v>0</v>
      </c>
      <c r="AR352" s="710" t="str">
        <v>1613.par</v>
      </c>
      <c r="AV352" s="82" t="str">
        <v>0,204,0</v>
      </c>
      <c r="AW352" s="947">
        <v>0</v>
      </c>
      <c r="AX352" s="947">
        <v>-0.39999994224709218</v>
      </c>
      <c r="AY352" s="947">
        <v>0.39999994224709218</v>
      </c>
    </row>
    <row r="353" spans="4:51" x14ac:dyDescent="0.25">
      <c r="D353" s="164">
        <v>6.1260000000000003</v>
      </c>
      <c r="E353" t="e">
        <f t="shared" si="1091"/>
        <v>#N/A</v>
      </c>
      <c r="F353" t="e">
        <f t="shared" si="1092"/>
        <v>#N/A</v>
      </c>
      <c r="G353" t="e">
        <f t="shared" si="1093"/>
        <v>#N/A</v>
      </c>
      <c r="H353" t="e">
        <f t="shared" si="1094"/>
        <v>#N/A</v>
      </c>
      <c r="I353" t="e">
        <f t="shared" si="1095"/>
        <v>#N/A</v>
      </c>
      <c r="J353" s="971">
        <v>142.9</v>
      </c>
      <c r="AA353" s="82"/>
      <c r="AB353" s="75"/>
      <c r="AC353" s="75"/>
      <c r="AD353" s="166"/>
      <c r="AE353" s="75">
        <v>3.109</v>
      </c>
      <c r="AF353" s="82">
        <v>3</v>
      </c>
      <c r="AG353" s="82">
        <v>1</v>
      </c>
      <c r="AH353" s="82">
        <v>2</v>
      </c>
      <c r="AI353" s="82">
        <v>0.99999999998544808</v>
      </c>
      <c r="AJ353" s="166">
        <v>3.10921</v>
      </c>
      <c r="AK353" s="82">
        <v>3.1091099999999998</v>
      </c>
      <c r="AL353" s="162">
        <v>0</v>
      </c>
      <c r="AM353" s="162">
        <v>0</v>
      </c>
      <c r="AN353" s="162">
        <v>0</v>
      </c>
      <c r="AO353" s="162">
        <v>2.999999566853591</v>
      </c>
      <c r="AP353" s="162">
        <v>0</v>
      </c>
      <c r="AQ353" s="162">
        <v>0</v>
      </c>
      <c r="AR353" s="710" t="str">
        <v>1613.par</v>
      </c>
      <c r="AV353" s="82" t="str">
        <v>0,204,0</v>
      </c>
      <c r="AW353" s="947">
        <v>0</v>
      </c>
      <c r="AX353" s="947">
        <v>-2.999999566853591</v>
      </c>
      <c r="AY353" s="947">
        <v>2.999999566853591</v>
      </c>
    </row>
    <row r="354" spans="4:51" x14ac:dyDescent="0.25">
      <c r="D354" s="164">
        <v>6.1319999999999997</v>
      </c>
      <c r="E354" t="e">
        <f t="shared" si="1091"/>
        <v>#N/A</v>
      </c>
      <c r="F354" t="e">
        <f t="shared" si="1092"/>
        <v>#N/A</v>
      </c>
      <c r="G354" t="e">
        <f t="shared" si="1093"/>
        <v>#N/A</v>
      </c>
      <c r="H354" t="e">
        <f t="shared" si="1094"/>
        <v>#N/A</v>
      </c>
      <c r="I354" t="e">
        <f t="shared" si="1095"/>
        <v>#N/A</v>
      </c>
      <c r="J354" s="971">
        <v>161.80000000000001</v>
      </c>
      <c r="AA354" s="82"/>
      <c r="AB354" s="75"/>
      <c r="AC354" s="75"/>
      <c r="AD354" s="166"/>
      <c r="AE354" s="75">
        <v>3.1059999999999999</v>
      </c>
      <c r="AF354" s="82">
        <v>3</v>
      </c>
      <c r="AG354" s="82">
        <v>1</v>
      </c>
      <c r="AH354" s="82">
        <v>2</v>
      </c>
      <c r="AI354" s="82">
        <v>0.99999999998544808</v>
      </c>
      <c r="AJ354" s="166">
        <v>3.1062099999999999</v>
      </c>
      <c r="AK354" s="82">
        <v>3.1061099999999997</v>
      </c>
      <c r="AL354" s="162">
        <v>0</v>
      </c>
      <c r="AM354" s="162">
        <v>0</v>
      </c>
      <c r="AN354" s="162">
        <v>0</v>
      </c>
      <c r="AO354" s="162">
        <v>2.9999995668536275</v>
      </c>
      <c r="AP354" s="162">
        <v>0</v>
      </c>
      <c r="AQ354" s="162">
        <v>0</v>
      </c>
      <c r="AR354" s="710" t="str">
        <v>1613.par</v>
      </c>
      <c r="AV354" s="82" t="str">
        <v>0,204,0</v>
      </c>
      <c r="AW354" s="947">
        <v>0</v>
      </c>
      <c r="AX354" s="947">
        <v>-2.9999995668536275</v>
      </c>
      <c r="AY354" s="947">
        <v>2.9999995668536275</v>
      </c>
    </row>
    <row r="355" spans="4:51" x14ac:dyDescent="0.25">
      <c r="D355" s="164">
        <v>6.1379999999999999</v>
      </c>
      <c r="E355" t="e">
        <f t="shared" si="1091"/>
        <v>#N/A</v>
      </c>
      <c r="F355" t="e">
        <f t="shared" si="1092"/>
        <v>#N/A</v>
      </c>
      <c r="G355" t="e">
        <f t="shared" si="1093"/>
        <v>#N/A</v>
      </c>
      <c r="H355" t="e">
        <f t="shared" si="1094"/>
        <v>#N/A</v>
      </c>
      <c r="I355" t="e">
        <f t="shared" si="1095"/>
        <v>#N/A</v>
      </c>
      <c r="J355" s="971">
        <v>175</v>
      </c>
      <c r="AA355" s="82"/>
      <c r="AB355" s="75"/>
      <c r="AC355" s="75"/>
      <c r="AD355" s="166"/>
      <c r="AE355" s="75">
        <v>3.1030000000000002</v>
      </c>
      <c r="AF355" s="82">
        <v>3</v>
      </c>
      <c r="AG355" s="82">
        <v>1</v>
      </c>
      <c r="AH355" s="82">
        <v>2</v>
      </c>
      <c r="AI355" s="82">
        <v>1.0000000000218279</v>
      </c>
      <c r="AJ355" s="166">
        <v>3.1032100000000002</v>
      </c>
      <c r="AK355" s="82">
        <v>3.10311</v>
      </c>
      <c r="AL355" s="162">
        <v>0</v>
      </c>
      <c r="AM355" s="162">
        <v>0</v>
      </c>
      <c r="AN355" s="162">
        <v>0</v>
      </c>
      <c r="AO355" s="162">
        <v>3.999999422471531</v>
      </c>
      <c r="AP355" s="162">
        <v>0</v>
      </c>
      <c r="AQ355" s="162">
        <v>0</v>
      </c>
      <c r="AR355" s="710" t="str">
        <v>1613.par</v>
      </c>
      <c r="AV355" s="82" t="str">
        <v>0,204,0</v>
      </c>
      <c r="AW355" s="947">
        <v>0</v>
      </c>
      <c r="AX355" s="947">
        <v>-3.999999422471531</v>
      </c>
      <c r="AY355" s="947">
        <v>3.999999422471531</v>
      </c>
    </row>
    <row r="356" spans="4:51" x14ac:dyDescent="0.25">
      <c r="D356" s="164">
        <v>6.1440000000000001</v>
      </c>
      <c r="E356" t="e">
        <f t="shared" si="1091"/>
        <v>#N/A</v>
      </c>
      <c r="F356" t="e">
        <f t="shared" si="1092"/>
        <v>#N/A</v>
      </c>
      <c r="G356" t="e">
        <f t="shared" si="1093"/>
        <v>#N/A</v>
      </c>
      <c r="H356" t="e">
        <f t="shared" si="1094"/>
        <v>#N/A</v>
      </c>
      <c r="I356" t="e">
        <f t="shared" si="1095"/>
        <v>#N/A</v>
      </c>
      <c r="J356" s="971">
        <v>175</v>
      </c>
      <c r="AA356" s="82"/>
      <c r="AB356" s="75"/>
      <c r="AC356" s="75"/>
      <c r="AD356" s="166"/>
      <c r="AE356" s="75">
        <v>2.2349999999999999</v>
      </c>
      <c r="AF356" s="82">
        <v>2</v>
      </c>
      <c r="AG356" s="82">
        <v>2</v>
      </c>
      <c r="AH356" s="82">
        <v>2</v>
      </c>
      <c r="AI356" s="82">
        <v>0.99999999998544808</v>
      </c>
      <c r="AJ356" s="166">
        <v>2.2352099999999999</v>
      </c>
      <c r="AK356" s="82">
        <v>2.2351099999999997</v>
      </c>
      <c r="AL356" s="162">
        <v>0</v>
      </c>
      <c r="AM356" s="162">
        <v>0</v>
      </c>
      <c r="AN356" s="162">
        <v>0</v>
      </c>
      <c r="AO356" s="162">
        <v>-81.139988284835155</v>
      </c>
      <c r="AP356" s="162">
        <v>0</v>
      </c>
      <c r="AQ356" s="162">
        <v>0</v>
      </c>
      <c r="AR356" s="710" t="str">
        <v>32193r1.par</v>
      </c>
      <c r="AV356" s="82" t="str">
        <v>255,255,91</v>
      </c>
      <c r="AW356" s="947">
        <v>0</v>
      </c>
      <c r="AX356" s="947">
        <v>81.139988284835155</v>
      </c>
      <c r="AY356" s="947">
        <v>-81.139988284835155</v>
      </c>
    </row>
    <row r="357" spans="4:51" x14ac:dyDescent="0.25">
      <c r="D357" s="979">
        <v>2.246</v>
      </c>
      <c r="E357" t="e">
        <f t="shared" si="1091"/>
        <v>#N/A</v>
      </c>
      <c r="F357" t="e">
        <f t="shared" si="1092"/>
        <v>#N/A</v>
      </c>
      <c r="G357" t="e">
        <f t="shared" si="1093"/>
        <v>#N/A</v>
      </c>
      <c r="H357" t="e">
        <f t="shared" si="1094"/>
        <v>#N/A</v>
      </c>
      <c r="I357" t="e">
        <f t="shared" si="1095"/>
        <v>#N/A</v>
      </c>
      <c r="AA357" s="82"/>
      <c r="AB357" s="75"/>
      <c r="AC357" s="75"/>
      <c r="AD357" s="166"/>
      <c r="AE357" s="75">
        <v>2.2320000000000002</v>
      </c>
      <c r="AF357" s="82">
        <v>2</v>
      </c>
      <c r="AG357" s="82">
        <v>2</v>
      </c>
      <c r="AH357" s="82">
        <v>2</v>
      </c>
      <c r="AI357" s="82">
        <v>1.0000000000218279</v>
      </c>
      <c r="AJ357" s="166">
        <v>2.2322100000000002</v>
      </c>
      <c r="AK357" s="82">
        <v>2.23211</v>
      </c>
      <c r="AL357" s="162">
        <v>0</v>
      </c>
      <c r="AM357" s="162">
        <v>0</v>
      </c>
      <c r="AN357" s="162">
        <v>0</v>
      </c>
      <c r="AO357" s="162">
        <v>-75.519989096262663</v>
      </c>
      <c r="AP357" s="162">
        <v>0</v>
      </c>
      <c r="AQ357" s="162">
        <v>0</v>
      </c>
      <c r="AR357" s="710" t="str">
        <v>32193r1.par</v>
      </c>
      <c r="AV357" s="82" t="str">
        <v>255,255,91</v>
      </c>
      <c r="AW357" s="947">
        <v>0</v>
      </c>
      <c r="AX357" s="947">
        <v>75.519989096262663</v>
      </c>
      <c r="AY357" s="947">
        <v>-75.519989096262663</v>
      </c>
    </row>
    <row r="358" spans="4:51" x14ac:dyDescent="0.25">
      <c r="AA358" s="82"/>
      <c r="AB358" s="75"/>
      <c r="AC358" s="75"/>
      <c r="AD358" s="166"/>
      <c r="AE358" s="75">
        <v>2.2290000000000001</v>
      </c>
      <c r="AF358" s="82">
        <v>2</v>
      </c>
      <c r="AG358" s="82">
        <v>2</v>
      </c>
      <c r="AH358" s="82">
        <v>2</v>
      </c>
      <c r="AI358" s="82">
        <v>1.0000000000218279</v>
      </c>
      <c r="AJ358" s="166">
        <v>2.2292100000000001</v>
      </c>
      <c r="AK358" s="82">
        <v>2.2291099999999999</v>
      </c>
      <c r="AL358" s="162">
        <v>0</v>
      </c>
      <c r="AM358" s="162">
        <v>0</v>
      </c>
      <c r="AN358" s="162">
        <v>0</v>
      </c>
      <c r="AO358" s="162">
        <v>-65.009990613718685</v>
      </c>
      <c r="AP358" s="162">
        <v>0</v>
      </c>
      <c r="AQ358" s="162">
        <v>0</v>
      </c>
      <c r="AR358" s="710" t="str">
        <v>32193r1.par</v>
      </c>
      <c r="AV358" s="82" t="str">
        <v>255,255,91</v>
      </c>
      <c r="AW358" s="947">
        <v>0</v>
      </c>
      <c r="AX358" s="947">
        <v>65.009990613718685</v>
      </c>
      <c r="AY358" s="947">
        <v>-65.009990613718685</v>
      </c>
    </row>
    <row r="359" spans="4:51" x14ac:dyDescent="0.25">
      <c r="AA359" s="82"/>
      <c r="AB359" s="75"/>
      <c r="AC359" s="75"/>
      <c r="AD359" s="166"/>
      <c r="AE359" s="75">
        <v>2.226</v>
      </c>
      <c r="AF359" s="82">
        <v>2</v>
      </c>
      <c r="AG359" s="82">
        <v>2</v>
      </c>
      <c r="AH359" s="82">
        <v>2</v>
      </c>
      <c r="AI359" s="82">
        <v>0.99999999998544808</v>
      </c>
      <c r="AJ359" s="166">
        <v>2.22621</v>
      </c>
      <c r="AK359" s="82">
        <v>2.2261099999999998</v>
      </c>
      <c r="AL359" s="162">
        <v>0</v>
      </c>
      <c r="AM359" s="162">
        <v>0</v>
      </c>
      <c r="AN359" s="162">
        <v>0</v>
      </c>
      <c r="AO359" s="162">
        <v>-51.44999257154015</v>
      </c>
      <c r="AP359" s="162">
        <v>0</v>
      </c>
      <c r="AQ359" s="162">
        <v>0</v>
      </c>
      <c r="AR359" s="710" t="str">
        <v>32193r1.par</v>
      </c>
      <c r="AV359" s="82" t="str">
        <v>255,255,91</v>
      </c>
      <c r="AW359" s="947">
        <v>0</v>
      </c>
      <c r="AX359" s="947">
        <v>51.44999257154015</v>
      </c>
      <c r="AY359" s="947">
        <v>-51.44999257154015</v>
      </c>
    </row>
    <row r="360" spans="4:51" x14ac:dyDescent="0.25">
      <c r="AA360" s="82"/>
      <c r="AB360" s="75"/>
      <c r="AC360" s="75"/>
      <c r="AD360" s="166"/>
      <c r="AE360" s="75">
        <v>2.2229999999999999</v>
      </c>
      <c r="AF360" s="82">
        <v>2</v>
      </c>
      <c r="AG360" s="82">
        <v>2</v>
      </c>
      <c r="AH360" s="82">
        <v>2</v>
      </c>
      <c r="AI360" s="82">
        <v>0.99999999998544808</v>
      </c>
      <c r="AJ360" s="166">
        <v>2.2232099999999999</v>
      </c>
      <c r="AK360" s="82">
        <v>2.2231099999999997</v>
      </c>
      <c r="AL360" s="162">
        <v>0</v>
      </c>
      <c r="AM360" s="162">
        <v>0</v>
      </c>
      <c r="AN360" s="162">
        <v>0</v>
      </c>
      <c r="AO360" s="162">
        <v>-37.819994539468404</v>
      </c>
      <c r="AP360" s="162">
        <v>0</v>
      </c>
      <c r="AQ360" s="162">
        <v>0</v>
      </c>
      <c r="AR360" s="710" t="str">
        <v>32193r1.par</v>
      </c>
      <c r="AV360" s="82" t="str">
        <v>255,255,91</v>
      </c>
      <c r="AW360" s="947">
        <v>0</v>
      </c>
      <c r="AX360" s="947">
        <v>37.819994539468404</v>
      </c>
      <c r="AY360" s="947">
        <v>-37.819994539468404</v>
      </c>
    </row>
    <row r="361" spans="4:51" x14ac:dyDescent="0.25">
      <c r="AA361" s="82"/>
      <c r="AB361" s="75"/>
      <c r="AC361" s="75"/>
      <c r="AD361" s="166"/>
      <c r="AE361" s="75">
        <v>2.2200000000000002</v>
      </c>
      <c r="AF361" s="82">
        <v>2</v>
      </c>
      <c r="AG361" s="82">
        <v>2</v>
      </c>
      <c r="AH361" s="82">
        <v>2</v>
      </c>
      <c r="AI361" s="82">
        <v>1.0000000000218279</v>
      </c>
      <c r="AJ361" s="166">
        <v>2.2202100000000002</v>
      </c>
      <c r="AK361" s="82">
        <v>2.22011</v>
      </c>
      <c r="AL361" s="162">
        <v>0</v>
      </c>
      <c r="AM361" s="162">
        <v>0</v>
      </c>
      <c r="AN361" s="162">
        <v>0</v>
      </c>
      <c r="AO361" s="162">
        <v>-24.199996505952807</v>
      </c>
      <c r="AP361" s="162">
        <v>0</v>
      </c>
      <c r="AQ361" s="162">
        <v>0</v>
      </c>
      <c r="AR361" s="710" t="str">
        <v>32193r1.par</v>
      </c>
      <c r="AV361" s="82" t="str">
        <v>255,255,91</v>
      </c>
      <c r="AW361" s="947">
        <v>0</v>
      </c>
      <c r="AX361" s="947">
        <v>24.199996505952807</v>
      </c>
      <c r="AY361" s="947">
        <v>-24.199996505952807</v>
      </c>
    </row>
    <row r="362" spans="4:51" x14ac:dyDescent="0.25">
      <c r="AE362">
        <v>2.2170000000000001</v>
      </c>
      <c r="AF362" s="82">
        <v>2</v>
      </c>
      <c r="AG362">
        <v>2</v>
      </c>
      <c r="AH362">
        <v>2</v>
      </c>
      <c r="AI362">
        <v>1.0000000000218279</v>
      </c>
      <c r="AJ362">
        <v>2.2172100000000001</v>
      </c>
      <c r="AK362">
        <v>2.2171099999999999</v>
      </c>
      <c r="AL362">
        <v>0</v>
      </c>
      <c r="AM362">
        <v>0</v>
      </c>
      <c r="AN362">
        <v>0</v>
      </c>
      <c r="AO362">
        <v>-10.429998494094541</v>
      </c>
      <c r="AP362">
        <v>0</v>
      </c>
      <c r="AQ362">
        <v>0</v>
      </c>
      <c r="AR362" t="str">
        <v>32193r1.par</v>
      </c>
      <c r="AV362" t="str">
        <v>255,255,91</v>
      </c>
      <c r="AW362" s="31">
        <v>0</v>
      </c>
      <c r="AX362" s="31">
        <v>10.429998494094541</v>
      </c>
      <c r="AY362" s="31">
        <v>-10.429998494094541</v>
      </c>
    </row>
    <row r="363" spans="4:51" x14ac:dyDescent="0.25">
      <c r="AE363">
        <v>2.1379999999999999</v>
      </c>
      <c r="AF363" s="82">
        <v>2</v>
      </c>
      <c r="AG363">
        <v>1</v>
      </c>
      <c r="AH363">
        <v>2</v>
      </c>
      <c r="AI363">
        <v>0.99999999998544808</v>
      </c>
      <c r="AJ363">
        <v>2.1382099999999999</v>
      </c>
      <c r="AK363">
        <v>2.1381099999999997</v>
      </c>
      <c r="AL363">
        <v>0</v>
      </c>
      <c r="AM363">
        <v>0</v>
      </c>
      <c r="AN363">
        <v>0</v>
      </c>
      <c r="AO363">
        <v>-87.999987294373824</v>
      </c>
      <c r="AP363">
        <v>0</v>
      </c>
      <c r="AQ363">
        <v>0</v>
      </c>
      <c r="AR363" t="str">
        <v>1613.par</v>
      </c>
      <c r="AV363" t="str">
        <v>204,204,0</v>
      </c>
      <c r="AW363" s="31">
        <v>0</v>
      </c>
      <c r="AX363" s="31">
        <v>87.999987294373824</v>
      </c>
      <c r="AY363" s="31">
        <v>-87.999987294373824</v>
      </c>
    </row>
    <row r="364" spans="4:51" x14ac:dyDescent="0.25">
      <c r="AE364">
        <v>2.1349999999999998</v>
      </c>
      <c r="AF364" s="82">
        <v>2</v>
      </c>
      <c r="AG364">
        <v>1</v>
      </c>
      <c r="AH364">
        <v>2</v>
      </c>
      <c r="AI364">
        <v>0.99999999998544808</v>
      </c>
      <c r="AJ364">
        <v>2.1352099999999998</v>
      </c>
      <c r="AK364">
        <v>2.1351099999999996</v>
      </c>
      <c r="AL364">
        <v>0</v>
      </c>
      <c r="AM364">
        <v>0</v>
      </c>
      <c r="AN364">
        <v>0</v>
      </c>
      <c r="AO364">
        <v>-81.999988160666504</v>
      </c>
      <c r="AP364">
        <v>0</v>
      </c>
      <c r="AQ364">
        <v>0</v>
      </c>
      <c r="AR364" t="str">
        <v>1613.par</v>
      </c>
      <c r="AV364" t="str">
        <v>204,204,0</v>
      </c>
      <c r="AW364" s="31">
        <v>0</v>
      </c>
      <c r="AX364" s="31">
        <v>81.999988160666504</v>
      </c>
      <c r="AY364" s="31">
        <v>-81.999988160666504</v>
      </c>
    </row>
    <row r="365" spans="4:51" x14ac:dyDescent="0.25">
      <c r="AE365">
        <v>2.1320000000000001</v>
      </c>
      <c r="AF365" s="82">
        <v>2</v>
      </c>
      <c r="AG365">
        <v>1</v>
      </c>
      <c r="AH365">
        <v>2</v>
      </c>
      <c r="AI365">
        <v>1.0000000000218279</v>
      </c>
      <c r="AJ365">
        <v>2.1322100000000002</v>
      </c>
      <c r="AK365">
        <v>2.1321099999999999</v>
      </c>
      <c r="AL365">
        <v>0</v>
      </c>
      <c r="AM365">
        <v>0</v>
      </c>
      <c r="AN365">
        <v>0</v>
      </c>
      <c r="AO365">
        <v>-76.099989012521036</v>
      </c>
      <c r="AP365">
        <v>0</v>
      </c>
      <c r="AQ365">
        <v>0</v>
      </c>
      <c r="AR365" t="str">
        <v>1613.par</v>
      </c>
      <c r="AV365" t="str">
        <v>204,204,0</v>
      </c>
      <c r="AW365" s="31">
        <v>0</v>
      </c>
      <c r="AX365" s="31">
        <v>76.099989012521036</v>
      </c>
      <c r="AY365" s="31">
        <v>-76.099989012521036</v>
      </c>
    </row>
    <row r="366" spans="4:51" x14ac:dyDescent="0.25">
      <c r="AE366">
        <v>2.129</v>
      </c>
      <c r="AF366" s="82">
        <v>2</v>
      </c>
      <c r="AG366">
        <v>1</v>
      </c>
      <c r="AH366">
        <v>2</v>
      </c>
      <c r="AI366">
        <v>1.0000000000218279</v>
      </c>
      <c r="AJ366">
        <v>2.12921</v>
      </c>
      <c r="AK366">
        <v>2.1291099999999998</v>
      </c>
      <c r="AL366">
        <v>0</v>
      </c>
      <c r="AM366">
        <v>0</v>
      </c>
      <c r="AN366">
        <v>0</v>
      </c>
      <c r="AO366">
        <v>-66.299990427465758</v>
      </c>
      <c r="AP366">
        <v>0</v>
      </c>
      <c r="AQ366">
        <v>0</v>
      </c>
      <c r="AR366" t="str">
        <v>1613.par</v>
      </c>
      <c r="AV366" t="str">
        <v>204,204,0</v>
      </c>
      <c r="AW366" s="31">
        <v>0</v>
      </c>
      <c r="AX366" s="31">
        <v>66.299990427465758</v>
      </c>
      <c r="AY366" s="31">
        <v>-66.299990427465758</v>
      </c>
    </row>
    <row r="367" spans="4:51" x14ac:dyDescent="0.25">
      <c r="AE367">
        <v>2.1259999999999999</v>
      </c>
      <c r="AF367" s="82">
        <v>2</v>
      </c>
      <c r="AG367">
        <v>1</v>
      </c>
      <c r="AH367">
        <v>2</v>
      </c>
      <c r="AI367">
        <v>0.99999999998544808</v>
      </c>
      <c r="AJ367">
        <v>2.1262099999999999</v>
      </c>
      <c r="AK367">
        <v>2.1261099999999997</v>
      </c>
      <c r="AL367">
        <v>0</v>
      </c>
      <c r="AM367">
        <v>0</v>
      </c>
      <c r="AN367">
        <v>0</v>
      </c>
      <c r="AO367">
        <v>-54.599992116736487</v>
      </c>
      <c r="AP367">
        <v>0</v>
      </c>
      <c r="AQ367">
        <v>0</v>
      </c>
      <c r="AR367" t="str">
        <v>1613.par</v>
      </c>
      <c r="AV367" t="str">
        <v>204,204,0</v>
      </c>
      <c r="AW367" s="31">
        <v>0</v>
      </c>
      <c r="AX367" s="31">
        <v>54.599992116736487</v>
      </c>
      <c r="AY367" s="31">
        <v>-54.599992116736487</v>
      </c>
    </row>
    <row r="368" spans="4:51" x14ac:dyDescent="0.25">
      <c r="AE368">
        <v>2.1230000000000002</v>
      </c>
      <c r="AF368" s="82">
        <v>2</v>
      </c>
      <c r="AG368">
        <v>1</v>
      </c>
      <c r="AH368">
        <v>2</v>
      </c>
      <c r="AI368">
        <v>1.0000000000218279</v>
      </c>
      <c r="AJ368">
        <v>2.1232100000000003</v>
      </c>
      <c r="AK368">
        <v>2.1231100000000001</v>
      </c>
      <c r="AL368">
        <v>0</v>
      </c>
      <c r="AM368">
        <v>0</v>
      </c>
      <c r="AN368">
        <v>0</v>
      </c>
      <c r="AO368">
        <v>-42.799993820445501</v>
      </c>
      <c r="AP368">
        <v>0</v>
      </c>
      <c r="AQ368">
        <v>0</v>
      </c>
      <c r="AR368" t="str">
        <v>1613.par</v>
      </c>
      <c r="AV368" t="str">
        <v>204,204,0</v>
      </c>
      <c r="AW368" s="31">
        <v>0</v>
      </c>
      <c r="AX368" s="31">
        <v>42.799993820445501</v>
      </c>
      <c r="AY368" s="31">
        <v>-42.799993820445501</v>
      </c>
    </row>
    <row r="369" spans="31:51" x14ac:dyDescent="0.25">
      <c r="AE369">
        <v>2.12</v>
      </c>
      <c r="AF369" s="82">
        <v>2</v>
      </c>
      <c r="AG369">
        <v>1</v>
      </c>
      <c r="AH369">
        <v>2</v>
      </c>
      <c r="AI369">
        <v>1.0000000000218279</v>
      </c>
      <c r="AJ369">
        <v>2.1202100000000002</v>
      </c>
      <c r="AK369">
        <v>2.1201099999999999</v>
      </c>
      <c r="AL369">
        <v>0</v>
      </c>
      <c r="AM369">
        <v>0</v>
      </c>
      <c r="AN369">
        <v>0</v>
      </c>
      <c r="AO369">
        <v>-31.099995509716226</v>
      </c>
      <c r="AP369">
        <v>0</v>
      </c>
      <c r="AQ369">
        <v>0</v>
      </c>
      <c r="AR369" t="str">
        <v>1613.par</v>
      </c>
      <c r="AV369" t="str">
        <v>204,204,0</v>
      </c>
      <c r="AW369" s="31">
        <v>0</v>
      </c>
      <c r="AX369" s="31">
        <v>31.099995509716226</v>
      </c>
      <c r="AY369" s="31">
        <v>-31.099995509716226</v>
      </c>
    </row>
    <row r="370" spans="31:51" x14ac:dyDescent="0.25">
      <c r="AE370">
        <v>2.117</v>
      </c>
      <c r="AF370" s="82">
        <v>2</v>
      </c>
      <c r="AG370">
        <v>1</v>
      </c>
      <c r="AH370">
        <v>2</v>
      </c>
      <c r="AI370">
        <v>0.99999999998544808</v>
      </c>
      <c r="AJ370">
        <v>2.11721</v>
      </c>
      <c r="AK370">
        <v>2.1171099999999998</v>
      </c>
      <c r="AL370">
        <v>0</v>
      </c>
      <c r="AM370">
        <v>0</v>
      </c>
      <c r="AN370">
        <v>0</v>
      </c>
      <c r="AO370">
        <v>-18.999997256739832</v>
      </c>
      <c r="AP370">
        <v>0</v>
      </c>
      <c r="AQ370">
        <v>0</v>
      </c>
      <c r="AR370" t="str">
        <v>1613.par</v>
      </c>
      <c r="AV370" t="str">
        <v>204,204,0</v>
      </c>
      <c r="AW370" s="31">
        <v>0</v>
      </c>
      <c r="AX370" s="31">
        <v>18.999997256739832</v>
      </c>
      <c r="AY370" s="31">
        <v>-18.999997256739832</v>
      </c>
    </row>
    <row r="371" spans="31:51" x14ac:dyDescent="0.25">
      <c r="AE371">
        <v>2.1139999999999999</v>
      </c>
      <c r="AF371" s="82">
        <v>2</v>
      </c>
      <c r="AG371">
        <v>1</v>
      </c>
      <c r="AH371">
        <v>2</v>
      </c>
      <c r="AI371">
        <v>0.99999999998544808</v>
      </c>
      <c r="AJ371">
        <v>2.1142099999999999</v>
      </c>
      <c r="AK371">
        <v>2.1141099999999997</v>
      </c>
      <c r="AL371">
        <v>0</v>
      </c>
      <c r="AM371">
        <v>0</v>
      </c>
      <c r="AN371">
        <v>0</v>
      </c>
      <c r="AO371">
        <v>-7.3999989315723473</v>
      </c>
      <c r="AP371">
        <v>0</v>
      </c>
      <c r="AQ371">
        <v>0</v>
      </c>
      <c r="AR371" t="str">
        <v>1613.par</v>
      </c>
      <c r="AV371" t="str">
        <v>204,204,0</v>
      </c>
      <c r="AW371" s="31">
        <v>0</v>
      </c>
      <c r="AX371" s="31">
        <v>7.3999989315723473</v>
      </c>
      <c r="AY371" s="31">
        <v>-7.3999989315723473</v>
      </c>
    </row>
    <row r="372" spans="31:51" x14ac:dyDescent="0.25">
      <c r="AE372">
        <v>1.2370000000000001</v>
      </c>
      <c r="AF372" s="82">
        <v>1</v>
      </c>
      <c r="AG372">
        <v>2</v>
      </c>
      <c r="AH372">
        <v>2</v>
      </c>
      <c r="AI372">
        <v>1.0000000000218279</v>
      </c>
      <c r="AJ372">
        <v>1.2372100000000001</v>
      </c>
      <c r="AK372">
        <v>1.2371100000000002</v>
      </c>
      <c r="AL372">
        <v>0</v>
      </c>
      <c r="AM372">
        <v>0</v>
      </c>
      <c r="AN372">
        <v>0</v>
      </c>
      <c r="AO372">
        <v>-84.909987740514595</v>
      </c>
      <c r="AP372">
        <v>0</v>
      </c>
      <c r="AQ372">
        <v>0</v>
      </c>
      <c r="AR372" t="str">
        <v>32193r1.par</v>
      </c>
      <c r="AV372" t="str">
        <v>255,188,121</v>
      </c>
      <c r="AW372" s="31">
        <v>0</v>
      </c>
      <c r="AX372" s="31">
        <v>84.909987740514595</v>
      </c>
      <c r="AY372" s="31">
        <v>-84.909987740514595</v>
      </c>
    </row>
    <row r="373" spans="31:51" x14ac:dyDescent="0.25">
      <c r="AE373">
        <v>1.234</v>
      </c>
      <c r="AF373" s="82">
        <v>1</v>
      </c>
      <c r="AG373">
        <v>2</v>
      </c>
      <c r="AH373">
        <v>2</v>
      </c>
      <c r="AI373">
        <v>1.000000000003638</v>
      </c>
      <c r="AJ373">
        <v>1.23421</v>
      </c>
      <c r="AK373">
        <v>1.23411</v>
      </c>
      <c r="AL373">
        <v>0</v>
      </c>
      <c r="AM373">
        <v>0</v>
      </c>
      <c r="AN373">
        <v>0</v>
      </c>
      <c r="AO373">
        <v>-79.239988559161176</v>
      </c>
      <c r="AP373">
        <v>0</v>
      </c>
      <c r="AQ373">
        <v>0</v>
      </c>
      <c r="AR373" t="str">
        <v>32193r1.par</v>
      </c>
      <c r="AV373" t="str">
        <v>255,188,121</v>
      </c>
      <c r="AW373" s="31">
        <v>0</v>
      </c>
      <c r="AX373" s="31">
        <v>79.239988559161176</v>
      </c>
      <c r="AY373" s="31">
        <v>-79.239988559161176</v>
      </c>
    </row>
    <row r="374" spans="31:51" x14ac:dyDescent="0.25">
      <c r="AE374">
        <v>1.2310000000000001</v>
      </c>
      <c r="AF374">
        <v>1</v>
      </c>
      <c r="AG374">
        <v>2</v>
      </c>
      <c r="AH374">
        <v>2</v>
      </c>
      <c r="AI374">
        <v>1.0000000000218279</v>
      </c>
      <c r="AJ374">
        <v>1.2312100000000001</v>
      </c>
      <c r="AK374">
        <v>1.2311100000000001</v>
      </c>
      <c r="AL374">
        <v>0</v>
      </c>
      <c r="AM374">
        <v>0</v>
      </c>
      <c r="AN374">
        <v>0</v>
      </c>
      <c r="AO374">
        <v>-73.979989318611075</v>
      </c>
      <c r="AP374">
        <v>0</v>
      </c>
      <c r="AQ374">
        <v>0</v>
      </c>
      <c r="AR374" t="str">
        <v>32193r1.par</v>
      </c>
      <c r="AV374" t="str">
        <v>255,188,121</v>
      </c>
      <c r="AW374" s="31">
        <v>0</v>
      </c>
      <c r="AX374" s="31">
        <v>73.979989318611075</v>
      </c>
      <c r="AY374" s="31">
        <v>-73.979989318611075</v>
      </c>
    </row>
    <row r="375" spans="31:51" x14ac:dyDescent="0.25">
      <c r="AE375">
        <v>1.228</v>
      </c>
      <c r="AF375">
        <v>1</v>
      </c>
      <c r="AG375">
        <v>2</v>
      </c>
      <c r="AH375">
        <v>2</v>
      </c>
      <c r="AI375">
        <v>1.000000000003638</v>
      </c>
      <c r="AJ375">
        <v>1.22821</v>
      </c>
      <c r="AK375">
        <v>1.22811</v>
      </c>
      <c r="AL375">
        <v>0</v>
      </c>
      <c r="AM375">
        <v>0</v>
      </c>
      <c r="AN375">
        <v>0</v>
      </c>
      <c r="AO375">
        <v>-60.52999126055056</v>
      </c>
      <c r="AP375">
        <v>0</v>
      </c>
      <c r="AQ375">
        <v>0</v>
      </c>
      <c r="AR375" t="str">
        <v>32193r1.par</v>
      </c>
      <c r="AV375" t="str">
        <v>255,188,121</v>
      </c>
      <c r="AW375" s="31">
        <v>0</v>
      </c>
      <c r="AX375" s="31">
        <v>60.52999126055056</v>
      </c>
      <c r="AY375" s="31">
        <v>-60.52999126055056</v>
      </c>
    </row>
    <row r="376" spans="31:51" x14ac:dyDescent="0.25">
      <c r="AE376">
        <v>1.2250000000000001</v>
      </c>
      <c r="AF376">
        <v>1</v>
      </c>
      <c r="AG376">
        <v>2</v>
      </c>
      <c r="AH376">
        <v>2</v>
      </c>
      <c r="AI376">
        <v>1.0000000000218279</v>
      </c>
      <c r="AJ376">
        <v>1.2252100000000001</v>
      </c>
      <c r="AK376">
        <v>1.2251100000000001</v>
      </c>
      <c r="AL376">
        <v>0</v>
      </c>
      <c r="AM376">
        <v>0</v>
      </c>
      <c r="AN376">
        <v>0</v>
      </c>
      <c r="AO376">
        <v>-46.899993228478813</v>
      </c>
      <c r="AP376">
        <v>0</v>
      </c>
      <c r="AQ376">
        <v>0</v>
      </c>
      <c r="AR376" t="str">
        <v>32193r1.par</v>
      </c>
      <c r="AV376" t="str">
        <v>255,188,121</v>
      </c>
      <c r="AW376" s="31">
        <v>0</v>
      </c>
      <c r="AX376" s="31">
        <v>46.899993228478813</v>
      </c>
      <c r="AY376" s="31">
        <v>-46.899993228478813</v>
      </c>
    </row>
    <row r="377" spans="31:51" x14ac:dyDescent="0.25">
      <c r="AE377">
        <v>1.222</v>
      </c>
      <c r="AF377">
        <v>1</v>
      </c>
      <c r="AG377">
        <v>2</v>
      </c>
      <c r="AH377">
        <v>2</v>
      </c>
      <c r="AI377">
        <v>1.000000000003638</v>
      </c>
      <c r="AJ377">
        <v>1.22221</v>
      </c>
      <c r="AK377">
        <v>1.22211</v>
      </c>
      <c r="AL377">
        <v>0</v>
      </c>
      <c r="AM377">
        <v>0</v>
      </c>
      <c r="AN377">
        <v>0</v>
      </c>
      <c r="AO377">
        <v>-33.279995194963199</v>
      </c>
      <c r="AP377">
        <v>0</v>
      </c>
      <c r="AQ377">
        <v>0</v>
      </c>
      <c r="AR377" t="str">
        <v>32193r1.par</v>
      </c>
      <c r="AV377" t="str">
        <v>255,188,121</v>
      </c>
      <c r="AW377" s="31">
        <v>0</v>
      </c>
      <c r="AX377" s="31">
        <v>33.279995194963199</v>
      </c>
      <c r="AY377" s="31">
        <v>-33.279995194963199</v>
      </c>
    </row>
    <row r="378" spans="31:51" x14ac:dyDescent="0.25">
      <c r="AE378">
        <v>1.2190000000000001</v>
      </c>
      <c r="AF378">
        <v>1</v>
      </c>
      <c r="AG378">
        <v>2</v>
      </c>
      <c r="AH378">
        <v>2</v>
      </c>
      <c r="AI378">
        <v>1.000000000003638</v>
      </c>
      <c r="AJ378">
        <v>1.2192100000000001</v>
      </c>
      <c r="AK378">
        <v>1.2191100000000001</v>
      </c>
      <c r="AL378">
        <v>0</v>
      </c>
      <c r="AM378">
        <v>0</v>
      </c>
      <c r="AN378">
        <v>0</v>
      </c>
      <c r="AO378">
        <v>-19.649997162891438</v>
      </c>
      <c r="AP378">
        <v>0</v>
      </c>
      <c r="AQ378">
        <v>0</v>
      </c>
      <c r="AR378" t="str">
        <v>32193r1.par</v>
      </c>
      <c r="AV378" t="str">
        <v>255,188,121</v>
      </c>
      <c r="AW378" s="31">
        <v>0</v>
      </c>
      <c r="AX378" s="31">
        <v>19.649997162891438</v>
      </c>
      <c r="AY378" s="31">
        <v>-19.649997162891438</v>
      </c>
    </row>
    <row r="379" spans="31:51" x14ac:dyDescent="0.25">
      <c r="AE379">
        <v>1.216</v>
      </c>
      <c r="AF379">
        <v>1</v>
      </c>
      <c r="AG379">
        <v>2</v>
      </c>
      <c r="AH379">
        <v>2</v>
      </c>
      <c r="AI379">
        <v>1.000000000003638</v>
      </c>
      <c r="AJ379">
        <v>1.21621</v>
      </c>
      <c r="AK379">
        <v>1.21611</v>
      </c>
      <c r="AL379">
        <v>0</v>
      </c>
      <c r="AM379">
        <v>0</v>
      </c>
      <c r="AN379">
        <v>0</v>
      </c>
      <c r="AO379">
        <v>-5.809999161139908</v>
      </c>
      <c r="AP379">
        <v>0</v>
      </c>
      <c r="AQ379">
        <v>0</v>
      </c>
      <c r="AR379" t="str">
        <v>32193r1.par</v>
      </c>
      <c r="AV379" t="str">
        <v>255,188,121</v>
      </c>
      <c r="AW379" s="31">
        <v>0</v>
      </c>
      <c r="AX379" s="31">
        <v>5.809999161139908</v>
      </c>
      <c r="AY379" s="31">
        <v>-5.809999161139908</v>
      </c>
    </row>
    <row r="380" spans="31:51" x14ac:dyDescent="0.25">
      <c r="AE380">
        <v>1.1399999999999999</v>
      </c>
      <c r="AF380">
        <v>1</v>
      </c>
      <c r="AG380">
        <v>1</v>
      </c>
      <c r="AH380">
        <v>2</v>
      </c>
      <c r="AI380">
        <v>1.000000000003638</v>
      </c>
      <c r="AJ380">
        <v>1.1402099999999999</v>
      </c>
      <c r="AK380">
        <v>1.14011</v>
      </c>
      <c r="AL380">
        <v>0</v>
      </c>
      <c r="AM380">
        <v>0</v>
      </c>
      <c r="AN380">
        <v>0</v>
      </c>
      <c r="AO380">
        <v>-87.999987296345381</v>
      </c>
      <c r="AP380">
        <v>0</v>
      </c>
      <c r="AQ380">
        <v>0</v>
      </c>
      <c r="AR380" t="str">
        <v>1613.par</v>
      </c>
      <c r="AV380" t="str">
        <v>255,127,0</v>
      </c>
      <c r="AW380" s="31">
        <v>0</v>
      </c>
      <c r="AX380" s="31">
        <v>87.999987296345381</v>
      </c>
      <c r="AY380" s="31">
        <v>-87.999987296345381</v>
      </c>
    </row>
    <row r="381" spans="31:51" x14ac:dyDescent="0.25">
      <c r="AE381">
        <v>1.137</v>
      </c>
      <c r="AF381">
        <v>1</v>
      </c>
      <c r="AG381">
        <v>1</v>
      </c>
      <c r="AH381">
        <v>2</v>
      </c>
      <c r="AI381">
        <v>1.000000000003638</v>
      </c>
      <c r="AJ381">
        <v>1.1372100000000001</v>
      </c>
      <c r="AK381">
        <v>1.1371100000000001</v>
      </c>
      <c r="AL381">
        <v>0</v>
      </c>
      <c r="AM381">
        <v>0</v>
      </c>
      <c r="AN381">
        <v>0</v>
      </c>
      <c r="AO381">
        <v>-85.999987591262339</v>
      </c>
      <c r="AP381">
        <v>0</v>
      </c>
      <c r="AQ381">
        <v>0</v>
      </c>
      <c r="AR381" t="str">
        <v>1613.par</v>
      </c>
      <c r="AV381" t="str">
        <v>255,127,0</v>
      </c>
      <c r="AW381" s="31">
        <v>0</v>
      </c>
      <c r="AX381" s="31">
        <v>85.999987591262339</v>
      </c>
      <c r="AY381" s="31">
        <v>-85.999987591262339</v>
      </c>
    </row>
    <row r="382" spans="31:51" x14ac:dyDescent="0.25">
      <c r="AE382">
        <v>1.1339999999999999</v>
      </c>
      <c r="AF382">
        <v>1</v>
      </c>
      <c r="AG382">
        <v>1</v>
      </c>
      <c r="AH382">
        <v>2</v>
      </c>
      <c r="AI382">
        <v>0.99999999998544808</v>
      </c>
      <c r="AJ382">
        <v>1.1342099999999999</v>
      </c>
      <c r="AK382">
        <v>1.13411</v>
      </c>
      <c r="AL382">
        <v>0</v>
      </c>
      <c r="AM382">
        <v>0</v>
      </c>
      <c r="AN382">
        <v>0</v>
      </c>
      <c r="AO382">
        <v>-80.099988488520111</v>
      </c>
      <c r="AP382">
        <v>0</v>
      </c>
      <c r="AQ382">
        <v>0</v>
      </c>
      <c r="AR382" t="str">
        <v>1613.par</v>
      </c>
      <c r="AV382" t="str">
        <v>255,127,0</v>
      </c>
      <c r="AW382" s="31">
        <v>0</v>
      </c>
      <c r="AX382" s="31">
        <v>80.099988488520111</v>
      </c>
      <c r="AY382" s="31">
        <v>-80.099988488520111</v>
      </c>
    </row>
    <row r="383" spans="31:51" x14ac:dyDescent="0.25">
      <c r="AE383">
        <v>1.131</v>
      </c>
      <c r="AF383">
        <v>1</v>
      </c>
      <c r="AG383">
        <v>1</v>
      </c>
      <c r="AH383">
        <v>2</v>
      </c>
      <c r="AI383">
        <v>1.000000000003638</v>
      </c>
      <c r="AJ383">
        <v>1.13121</v>
      </c>
      <c r="AK383">
        <v>1.1311100000000001</v>
      </c>
      <c r="AL383">
        <v>0</v>
      </c>
      <c r="AM383">
        <v>0</v>
      </c>
      <c r="AN383">
        <v>0</v>
      </c>
      <c r="AO383">
        <v>-74.099989446480123</v>
      </c>
      <c r="AP383">
        <v>0</v>
      </c>
      <c r="AQ383">
        <v>0</v>
      </c>
      <c r="AR383" t="str">
        <v>1613.par</v>
      </c>
      <c r="AV383" t="str">
        <v>255,127,0</v>
      </c>
      <c r="AW383" s="31">
        <v>0</v>
      </c>
      <c r="AX383" s="31">
        <v>74.099989446480123</v>
      </c>
      <c r="AY383" s="31">
        <v>-74.099989446480123</v>
      </c>
    </row>
    <row r="384" spans="31:51" x14ac:dyDescent="0.25">
      <c r="AE384">
        <v>1.1279999999999999</v>
      </c>
      <c r="AF384">
        <v>1</v>
      </c>
      <c r="AG384">
        <v>1</v>
      </c>
      <c r="AH384">
        <v>2</v>
      </c>
      <c r="AI384">
        <v>0.99999999998544808</v>
      </c>
      <c r="AJ384">
        <v>1.1282099999999999</v>
      </c>
      <c r="AK384">
        <v>1.1281099999999999</v>
      </c>
      <c r="AL384">
        <v>0</v>
      </c>
      <c r="AM384">
        <v>0</v>
      </c>
      <c r="AN384">
        <v>0</v>
      </c>
      <c r="AO384">
        <v>-62.499991427382007</v>
      </c>
      <c r="AP384">
        <v>0</v>
      </c>
      <c r="AQ384">
        <v>0</v>
      </c>
      <c r="AR384" t="str">
        <v>1613.par</v>
      </c>
      <c r="AV384" t="str">
        <v>255,127,0</v>
      </c>
      <c r="AW384" s="31">
        <v>0</v>
      </c>
      <c r="AX384" s="31">
        <v>62.499991427382007</v>
      </c>
      <c r="AY384" s="31">
        <v>-62.499991427382007</v>
      </c>
    </row>
    <row r="385" spans="31:51" x14ac:dyDescent="0.25">
      <c r="AE385">
        <v>1.125</v>
      </c>
      <c r="AF385">
        <v>1</v>
      </c>
      <c r="AG385">
        <v>1</v>
      </c>
      <c r="AH385">
        <v>2</v>
      </c>
      <c r="AI385">
        <v>1.000000000003638</v>
      </c>
      <c r="AJ385">
        <v>1.12521</v>
      </c>
      <c r="AK385">
        <v>1.1251100000000001</v>
      </c>
      <c r="AL385">
        <v>0</v>
      </c>
      <c r="AM385">
        <v>0</v>
      </c>
      <c r="AN385">
        <v>0</v>
      </c>
      <c r="AO385">
        <v>-50.699993635276748</v>
      </c>
      <c r="AP385">
        <v>0</v>
      </c>
      <c r="AQ385">
        <v>0</v>
      </c>
      <c r="AR385" t="str">
        <v>1613.par</v>
      </c>
      <c r="AV385" t="str">
        <v>255,127,0</v>
      </c>
      <c r="AW385" s="31">
        <v>0</v>
      </c>
      <c r="AX385" s="31">
        <v>50.699993635276748</v>
      </c>
      <c r="AY385" s="31">
        <v>-50.699993635276748</v>
      </c>
    </row>
    <row r="386" spans="31:51" x14ac:dyDescent="0.25">
      <c r="AE386">
        <v>1.1220000000000001</v>
      </c>
      <c r="AF386">
        <v>1</v>
      </c>
      <c r="AG386">
        <v>1</v>
      </c>
      <c r="AH386">
        <v>2</v>
      </c>
      <c r="AI386">
        <v>1.0000000000218279</v>
      </c>
      <c r="AJ386">
        <v>1.1222100000000002</v>
      </c>
      <c r="AK386">
        <v>1.1221100000000002</v>
      </c>
      <c r="AL386">
        <v>0</v>
      </c>
      <c r="AM386">
        <v>0</v>
      </c>
      <c r="AN386">
        <v>0</v>
      </c>
      <c r="AO386">
        <v>-38.799996044241624</v>
      </c>
      <c r="AP386">
        <v>0</v>
      </c>
      <c r="AQ386">
        <v>0</v>
      </c>
      <c r="AR386" t="str">
        <v>1613.par</v>
      </c>
      <c r="AV386" t="str">
        <v>255,127,0</v>
      </c>
      <c r="AW386" s="31">
        <v>0</v>
      </c>
      <c r="AX386" s="31">
        <v>38.799996044241624</v>
      </c>
      <c r="AY386" s="31">
        <v>-38.799996044241624</v>
      </c>
    </row>
    <row r="387" spans="31:51" x14ac:dyDescent="0.25">
      <c r="AE387">
        <v>1.119</v>
      </c>
      <c r="AF387">
        <v>1</v>
      </c>
      <c r="AG387">
        <v>1</v>
      </c>
      <c r="AH387">
        <v>2</v>
      </c>
      <c r="AI387">
        <v>1.000000000003638</v>
      </c>
      <c r="AJ387">
        <v>1.11921</v>
      </c>
      <c r="AK387">
        <v>1.11911</v>
      </c>
      <c r="AL387">
        <v>0</v>
      </c>
      <c r="AM387">
        <v>0</v>
      </c>
      <c r="AN387">
        <v>0</v>
      </c>
      <c r="AO387">
        <v>-26.999998577869427</v>
      </c>
      <c r="AP387">
        <v>0</v>
      </c>
      <c r="AQ387">
        <v>0</v>
      </c>
      <c r="AR387" t="str">
        <v>1613.par</v>
      </c>
      <c r="AV387" t="str">
        <v>255,127,0</v>
      </c>
      <c r="AW387" s="31">
        <v>0</v>
      </c>
      <c r="AX387" s="31">
        <v>26.999998577869427</v>
      </c>
      <c r="AY387" s="31">
        <v>-26.999998577869427</v>
      </c>
    </row>
    <row r="388" spans="31:51" x14ac:dyDescent="0.25">
      <c r="AE388">
        <v>1.1160000000000001</v>
      </c>
      <c r="AF388">
        <v>1</v>
      </c>
      <c r="AG388">
        <v>1</v>
      </c>
      <c r="AH388">
        <v>2</v>
      </c>
      <c r="AI388">
        <v>1.0000000000218279</v>
      </c>
      <c r="AJ388">
        <v>1.1162100000000001</v>
      </c>
      <c r="AK388">
        <v>1.1161100000000002</v>
      </c>
      <c r="AL388">
        <v>0</v>
      </c>
      <c r="AM388">
        <v>0</v>
      </c>
      <c r="AN388">
        <v>0</v>
      </c>
      <c r="AO388">
        <v>-15.000001306799158</v>
      </c>
      <c r="AP388">
        <v>0</v>
      </c>
      <c r="AQ388">
        <v>0</v>
      </c>
      <c r="AR388" t="str">
        <v>1613.par</v>
      </c>
      <c r="AV388" t="str">
        <v>255,127,0</v>
      </c>
      <c r="AW388" s="31">
        <v>0</v>
      </c>
      <c r="AX388" s="31">
        <v>15.000001306799158</v>
      </c>
      <c r="AY388" s="31">
        <v>-15.000001306799158</v>
      </c>
    </row>
    <row r="389" spans="31:51" x14ac:dyDescent="0.25">
      <c r="AE389">
        <v>1.113</v>
      </c>
      <c r="AF389">
        <v>1</v>
      </c>
      <c r="AG389">
        <v>1</v>
      </c>
      <c r="AH389">
        <v>2</v>
      </c>
      <c r="AI389">
        <v>1.000000000003638</v>
      </c>
      <c r="AJ389">
        <v>1.11321</v>
      </c>
      <c r="AK389">
        <v>1.11311</v>
      </c>
      <c r="AL389">
        <v>0</v>
      </c>
      <c r="AM389">
        <v>0</v>
      </c>
      <c r="AN389">
        <v>0</v>
      </c>
      <c r="AO389">
        <v>-3.6000040220107441</v>
      </c>
      <c r="AP389">
        <v>0</v>
      </c>
      <c r="AQ389">
        <v>0</v>
      </c>
      <c r="AR389" t="str">
        <v>1613.par</v>
      </c>
      <c r="AV389" t="str">
        <v>255,127,0</v>
      </c>
      <c r="AW389" s="31">
        <v>0</v>
      </c>
      <c r="AX389" s="31">
        <v>3.6000040220107441</v>
      </c>
      <c r="AY389" s="31">
        <v>-3.6000040220107441</v>
      </c>
    </row>
    <row r="390" spans="31:51" x14ac:dyDescent="0.25">
      <c r="AE390">
        <v>1.1100000000000001</v>
      </c>
      <c r="AF390">
        <v>1</v>
      </c>
      <c r="AG390">
        <v>1</v>
      </c>
      <c r="AH390">
        <v>2</v>
      </c>
      <c r="AI390">
        <v>1.0000000000218279</v>
      </c>
      <c r="AJ390">
        <v>1.1102100000000001</v>
      </c>
      <c r="AK390">
        <v>1.1101100000000002</v>
      </c>
      <c r="AL390">
        <v>0</v>
      </c>
      <c r="AM390">
        <v>0</v>
      </c>
      <c r="AN390">
        <v>0</v>
      </c>
      <c r="AO390">
        <v>2.9999936970089967</v>
      </c>
      <c r="AP390">
        <v>0</v>
      </c>
      <c r="AQ390">
        <v>0</v>
      </c>
      <c r="AR390" t="str">
        <v>1613.par</v>
      </c>
      <c r="AV390" t="str">
        <v>255,127,0</v>
      </c>
      <c r="AW390" s="31">
        <v>0</v>
      </c>
      <c r="AX390" s="31">
        <v>-2.9999936970089967</v>
      </c>
      <c r="AY390" s="31">
        <v>2.9999936970089967</v>
      </c>
    </row>
    <row r="391" spans="31:51" x14ac:dyDescent="0.25">
      <c r="AE391">
        <v>1.107</v>
      </c>
      <c r="AF391">
        <v>1</v>
      </c>
      <c r="AG391">
        <v>1</v>
      </c>
      <c r="AH391">
        <v>2</v>
      </c>
      <c r="AI391">
        <v>1.000000000003638</v>
      </c>
      <c r="AJ391">
        <v>1.10721</v>
      </c>
      <c r="AK391">
        <v>1.10711</v>
      </c>
      <c r="AL391">
        <v>0</v>
      </c>
      <c r="AM391">
        <v>0</v>
      </c>
      <c r="AN391">
        <v>0</v>
      </c>
      <c r="AO391">
        <v>2.9999913122339605</v>
      </c>
      <c r="AP391">
        <v>0</v>
      </c>
      <c r="AQ391">
        <v>0</v>
      </c>
      <c r="AR391" t="str">
        <v>1613.par</v>
      </c>
      <c r="AV391" t="str">
        <v>255,127,0</v>
      </c>
      <c r="AW391" s="31">
        <v>0</v>
      </c>
      <c r="AX391" s="31">
        <v>-2.9999913122339605</v>
      </c>
      <c r="AY391" s="31">
        <v>2.9999913122339605</v>
      </c>
    </row>
    <row r="392" spans="31:51" x14ac:dyDescent="0.25">
      <c r="AE392">
        <v>1.1040000000000001</v>
      </c>
      <c r="AF392">
        <v>1</v>
      </c>
      <c r="AG392">
        <v>1</v>
      </c>
      <c r="AH392">
        <v>2</v>
      </c>
      <c r="AI392">
        <v>1.0000000000218279</v>
      </c>
      <c r="AJ392">
        <v>1.1042100000000001</v>
      </c>
      <c r="AK392">
        <v>1.1041100000000001</v>
      </c>
      <c r="AL392">
        <v>0</v>
      </c>
      <c r="AM392">
        <v>0</v>
      </c>
      <c r="AN392">
        <v>0</v>
      </c>
      <c r="AO392">
        <v>2.9999857925960174</v>
      </c>
      <c r="AP392">
        <v>0</v>
      </c>
      <c r="AQ392">
        <v>0</v>
      </c>
      <c r="AR392" t="str">
        <v>1613.par</v>
      </c>
      <c r="AV392" t="str">
        <v>255,127,0</v>
      </c>
      <c r="AW392" s="31">
        <v>0</v>
      </c>
      <c r="AX392" s="31">
        <v>-2.9999857925960174</v>
      </c>
      <c r="AY392" s="31">
        <v>2.9999857925960174</v>
      </c>
    </row>
    <row r="393" spans="31:51" x14ac:dyDescent="0.25">
      <c r="AE393">
        <v>1.101</v>
      </c>
      <c r="AF393">
        <v>1</v>
      </c>
      <c r="AG393">
        <v>1</v>
      </c>
      <c r="AH393">
        <v>2</v>
      </c>
      <c r="AI393">
        <v>1.000000000003638</v>
      </c>
      <c r="AJ393">
        <v>1.10121</v>
      </c>
      <c r="AK393">
        <v>1.10111</v>
      </c>
      <c r="AL393">
        <v>0</v>
      </c>
      <c r="AM393">
        <v>0</v>
      </c>
      <c r="AN393">
        <v>0</v>
      </c>
      <c r="AO393">
        <v>8.9999588850334611</v>
      </c>
      <c r="AP393">
        <v>0</v>
      </c>
      <c r="AQ393">
        <v>0</v>
      </c>
      <c r="AR393" t="str">
        <v>1613.par</v>
      </c>
      <c r="AV393" t="str">
        <v>255,127,0</v>
      </c>
      <c r="AW393" s="31">
        <v>0</v>
      </c>
      <c r="AX393" s="31">
        <v>-8.9999588850334611</v>
      </c>
      <c r="AY393" s="31">
        <v>8.9999588850334611</v>
      </c>
    </row>
    <row r="394" spans="31:51" x14ac:dyDescent="0.25">
      <c r="AE394">
        <v>6.2359999999999998</v>
      </c>
      <c r="AF394">
        <v>6</v>
      </c>
      <c r="AG394">
        <v>2</v>
      </c>
      <c r="AH394">
        <v>1</v>
      </c>
      <c r="AI394">
        <v>1.9999999999708962</v>
      </c>
      <c r="AJ394">
        <v>6.2361199999999997</v>
      </c>
      <c r="AK394" t="str">
        <v>Base</v>
      </c>
      <c r="AL394">
        <v>-17.25</v>
      </c>
      <c r="AM394">
        <v>-7.0507586261945132</v>
      </c>
      <c r="AN394">
        <v>-3.7578416729307311</v>
      </c>
      <c r="AO394">
        <v>83.029988011952966</v>
      </c>
      <c r="AP394">
        <v>0</v>
      </c>
      <c r="AQ394">
        <v>0</v>
      </c>
      <c r="AR394" t="str">
        <v>32193r1.par</v>
      </c>
      <c r="AV394" t="str">
        <v>188,121,255</v>
      </c>
      <c r="AW394" s="31">
        <v>0</v>
      </c>
      <c r="AX394" s="31">
        <v>83.029988011952966</v>
      </c>
      <c r="AY394" s="31">
        <v>0</v>
      </c>
    </row>
    <row r="395" spans="31:51" x14ac:dyDescent="0.25">
      <c r="AE395">
        <v>6.2329999999999997</v>
      </c>
      <c r="AF395">
        <v>6</v>
      </c>
      <c r="AG395">
        <v>2</v>
      </c>
      <c r="AH395">
        <v>1</v>
      </c>
      <c r="AI395">
        <v>1.9999999999708962</v>
      </c>
      <c r="AJ395">
        <v>6.2331199999999995</v>
      </c>
      <c r="AK395" t="str">
        <v>Base</v>
      </c>
      <c r="AL395">
        <v>-17.25</v>
      </c>
      <c r="AM395">
        <v>-6.9238622261586853</v>
      </c>
      <c r="AN395">
        <v>-3.0185441897282268</v>
      </c>
      <c r="AO395">
        <v>77.369988829155716</v>
      </c>
      <c r="AP395">
        <v>0</v>
      </c>
      <c r="AQ395">
        <v>0</v>
      </c>
      <c r="AR395" t="str">
        <v>32193r1.par</v>
      </c>
      <c r="AV395" t="str">
        <v>188,121,255</v>
      </c>
      <c r="AW395" s="31">
        <v>0</v>
      </c>
      <c r="AX395" s="31">
        <v>77.369988829155716</v>
      </c>
      <c r="AY395" s="31">
        <v>0</v>
      </c>
    </row>
    <row r="396" spans="31:51" x14ac:dyDescent="0.25">
      <c r="AE396">
        <v>6.23</v>
      </c>
      <c r="AF396">
        <v>6</v>
      </c>
      <c r="AG396">
        <v>2</v>
      </c>
      <c r="AH396">
        <v>1</v>
      </c>
      <c r="AI396">
        <v>2.0000000000436557</v>
      </c>
      <c r="AJ396">
        <v>6.2301200000000003</v>
      </c>
      <c r="AK396" t="str">
        <v>Base</v>
      </c>
      <c r="AL396">
        <v>-17.25</v>
      </c>
      <c r="AM396">
        <v>-6.7255900726601299</v>
      </c>
      <c r="AN396">
        <v>-2.3057107621738036</v>
      </c>
      <c r="AO396">
        <v>69.48998996688681</v>
      </c>
      <c r="AP396">
        <v>0</v>
      </c>
      <c r="AQ396">
        <v>0</v>
      </c>
      <c r="AR396" t="str">
        <v>32193r1.par</v>
      </c>
      <c r="AV396" t="str">
        <v>188,121,255</v>
      </c>
      <c r="AW396" s="31">
        <v>0</v>
      </c>
      <c r="AX396" s="31">
        <v>69.48998996688681</v>
      </c>
      <c r="AY396" s="31">
        <v>0</v>
      </c>
    </row>
    <row r="397" spans="31:51" x14ac:dyDescent="0.25">
      <c r="AE397">
        <v>6.2270000000000003</v>
      </c>
      <c r="AF397">
        <v>6</v>
      </c>
      <c r="AG397">
        <v>2</v>
      </c>
      <c r="AH397">
        <v>1</v>
      </c>
      <c r="AI397">
        <v>2.0000000000436557</v>
      </c>
      <c r="AJ397">
        <v>6.2271200000000002</v>
      </c>
      <c r="AK397" t="str">
        <v>Base</v>
      </c>
      <c r="AL397">
        <v>-17.25</v>
      </c>
      <c r="AM397">
        <v>-6.3819414385070949</v>
      </c>
      <c r="AN397">
        <v>-1.6354967977528134</v>
      </c>
      <c r="AO397">
        <v>55.98999191604539</v>
      </c>
      <c r="AP397">
        <v>0</v>
      </c>
      <c r="AQ397">
        <v>0</v>
      </c>
      <c r="AR397" t="str">
        <v>32193r1.par</v>
      </c>
      <c r="AV397" t="str">
        <v>188,121,255</v>
      </c>
      <c r="AW397" s="31">
        <v>0</v>
      </c>
      <c r="AX397" s="31">
        <v>55.98999191604539</v>
      </c>
      <c r="AY397" s="31">
        <v>0</v>
      </c>
    </row>
    <row r="398" spans="31:51" x14ac:dyDescent="0.25">
      <c r="AE398">
        <v>6.2240000000000002</v>
      </c>
      <c r="AF398">
        <v>6</v>
      </c>
      <c r="AG398">
        <v>2</v>
      </c>
      <c r="AH398">
        <v>1</v>
      </c>
      <c r="AI398">
        <v>2.0000000000436557</v>
      </c>
      <c r="AJ398">
        <v>6.2241200000000001</v>
      </c>
      <c r="AK398" t="str">
        <v>Base</v>
      </c>
      <c r="AL398">
        <v>-17.25</v>
      </c>
      <c r="AM398">
        <v>-5.8857941714501338</v>
      </c>
      <c r="AN398">
        <v>-1.0604004720840028</v>
      </c>
      <c r="AO398">
        <v>42.359993883973615</v>
      </c>
      <c r="AP398">
        <v>0</v>
      </c>
      <c r="AQ398">
        <v>0</v>
      </c>
      <c r="AR398" t="str">
        <v>32193r1.par</v>
      </c>
      <c r="AV398" t="str">
        <v>188,121,255</v>
      </c>
      <c r="AW398" s="31">
        <v>0</v>
      </c>
      <c r="AX398" s="31">
        <v>42.359993883973615</v>
      </c>
      <c r="AY398" s="31">
        <v>0</v>
      </c>
    </row>
    <row r="399" spans="31:51" x14ac:dyDescent="0.25">
      <c r="AE399">
        <v>6.2210000000000001</v>
      </c>
      <c r="AF399">
        <v>6</v>
      </c>
      <c r="AG399">
        <v>2</v>
      </c>
      <c r="AH399">
        <v>1</v>
      </c>
      <c r="AI399">
        <v>1.9999999999708962</v>
      </c>
      <c r="AJ399">
        <v>6.22112</v>
      </c>
      <c r="AK399" t="str">
        <v>Base</v>
      </c>
      <c r="AL399">
        <v>-17.25</v>
      </c>
      <c r="AM399">
        <v>-5.2680978147010773</v>
      </c>
      <c r="AN399">
        <v>-0.61845643265620331</v>
      </c>
      <c r="AO399">
        <v>28.739995850458012</v>
      </c>
      <c r="AP399">
        <v>0</v>
      </c>
      <c r="AQ399">
        <v>0</v>
      </c>
      <c r="AR399" t="str">
        <v>32193r1.par</v>
      </c>
      <c r="AV399" t="str">
        <v>188,121,255</v>
      </c>
      <c r="AW399" s="31">
        <v>0</v>
      </c>
      <c r="AX399" s="31">
        <v>28.739995850458012</v>
      </c>
      <c r="AY399" s="31">
        <v>0</v>
      </c>
    </row>
    <row r="400" spans="31:51" x14ac:dyDescent="0.25">
      <c r="AE400">
        <v>6.218</v>
      </c>
      <c r="AF400">
        <v>6</v>
      </c>
      <c r="AG400">
        <v>2</v>
      </c>
      <c r="AH400">
        <v>1</v>
      </c>
      <c r="AI400">
        <v>1.9999999999708962</v>
      </c>
      <c r="AJ400">
        <v>6.2181199999999999</v>
      </c>
      <c r="AK400" t="str">
        <v>Base</v>
      </c>
      <c r="AL400">
        <v>-17.25</v>
      </c>
      <c r="AM400">
        <v>-4.5604424072880363</v>
      </c>
      <c r="AN400">
        <v>-0.3319355107404251</v>
      </c>
      <c r="AO400">
        <v>15.039997828492989</v>
      </c>
      <c r="AP400">
        <v>0</v>
      </c>
      <c r="AQ400">
        <v>0</v>
      </c>
      <c r="AR400" t="str">
        <v>32193r1.par</v>
      </c>
      <c r="AV400" t="str">
        <v>188,121,255</v>
      </c>
      <c r="AW400" s="31">
        <v>0</v>
      </c>
      <c r="AX400" s="31">
        <v>15.039997828492989</v>
      </c>
      <c r="AY400" s="31">
        <v>0</v>
      </c>
    </row>
    <row r="401" spans="31:51" x14ac:dyDescent="0.25">
      <c r="AE401">
        <v>6.2149999999999999</v>
      </c>
      <c r="AF401">
        <v>6</v>
      </c>
      <c r="AG401">
        <v>2</v>
      </c>
      <c r="AH401">
        <v>1</v>
      </c>
      <c r="AI401">
        <v>1.9999999999708962</v>
      </c>
      <c r="AJ401">
        <v>6.2151199999999998</v>
      </c>
      <c r="AK401" t="str">
        <v>Base</v>
      </c>
      <c r="AL401">
        <v>-17.25</v>
      </c>
      <c r="AM401">
        <v>-3.8078821406039243</v>
      </c>
      <c r="AN401">
        <v>-0.22355368099498016</v>
      </c>
      <c r="AO401">
        <v>1.3999997978650478</v>
      </c>
      <c r="AP401">
        <v>0</v>
      </c>
      <c r="AQ401">
        <v>0</v>
      </c>
      <c r="AR401" t="str">
        <v>32193r1.par</v>
      </c>
      <c r="AV401" t="str">
        <v>188,121,255</v>
      </c>
      <c r="AW401" s="31">
        <v>0</v>
      </c>
      <c r="AX401" s="31">
        <v>1.3999997978650478</v>
      </c>
      <c r="AY401" s="31">
        <v>0</v>
      </c>
    </row>
    <row r="402" spans="31:51" x14ac:dyDescent="0.25">
      <c r="AE402">
        <v>6.1390000000000002</v>
      </c>
      <c r="AF402">
        <v>6</v>
      </c>
      <c r="AG402">
        <v>1</v>
      </c>
      <c r="AH402">
        <v>1</v>
      </c>
      <c r="AI402">
        <v>2.0000000000436557</v>
      </c>
      <c r="AJ402">
        <v>6.1391200000000001</v>
      </c>
      <c r="AK402" t="str">
        <v>Base</v>
      </c>
      <c r="AL402">
        <v>-16.5</v>
      </c>
      <c r="AM402">
        <v>-7.134921518923302</v>
      </c>
      <c r="AN402">
        <v>-4.5046283991971974</v>
      </c>
      <c r="AO402">
        <v>87.999987294373938</v>
      </c>
      <c r="AP402">
        <v>-32.399995322019443</v>
      </c>
      <c r="AQ402">
        <v>0</v>
      </c>
      <c r="AR402" t="str">
        <v>1613.par</v>
      </c>
      <c r="AV402" t="str">
        <v>127,0,255</v>
      </c>
      <c r="AW402" s="31">
        <v>0</v>
      </c>
      <c r="AX402" s="31">
        <v>87.999987294373938</v>
      </c>
      <c r="AY402" s="31">
        <v>0</v>
      </c>
    </row>
    <row r="403" spans="31:51" x14ac:dyDescent="0.25">
      <c r="AE403">
        <v>6.1360000000000001</v>
      </c>
      <c r="AF403">
        <v>6</v>
      </c>
      <c r="AG403">
        <v>1</v>
      </c>
      <c r="AH403">
        <v>1</v>
      </c>
      <c r="AI403">
        <v>1.9999999999708962</v>
      </c>
      <c r="AJ403">
        <v>6.13612</v>
      </c>
      <c r="AK403" t="str">
        <v>Base</v>
      </c>
      <c r="AL403">
        <v>-16.5</v>
      </c>
      <c r="AM403">
        <v>-7.0703213240891136</v>
      </c>
      <c r="AN403">
        <v>-3.7495860523374422</v>
      </c>
      <c r="AO403">
        <v>83.999987871902363</v>
      </c>
      <c r="AP403">
        <v>-30.099995654098326</v>
      </c>
      <c r="AQ403">
        <v>0</v>
      </c>
      <c r="AR403" t="str">
        <v>1613.par</v>
      </c>
      <c r="AV403" t="str">
        <v>127,0,255</v>
      </c>
      <c r="AW403" s="31">
        <v>0</v>
      </c>
      <c r="AX403" s="31">
        <v>83.999987871902363</v>
      </c>
      <c r="AY403" s="31">
        <v>0</v>
      </c>
    </row>
    <row r="404" spans="31:51" x14ac:dyDescent="0.25">
      <c r="AE404">
        <v>6.133</v>
      </c>
      <c r="AF404">
        <v>6</v>
      </c>
      <c r="AG404">
        <v>1</v>
      </c>
      <c r="AH404">
        <v>1</v>
      </c>
      <c r="AI404">
        <v>1.9999999999708962</v>
      </c>
      <c r="AJ404">
        <v>6.1331199999999999</v>
      </c>
      <c r="AK404" t="str">
        <v>Base</v>
      </c>
      <c r="AL404">
        <v>-16.5</v>
      </c>
      <c r="AM404">
        <v>-6.9348209154198805</v>
      </c>
      <c r="AN404">
        <v>-3.0103081972823582</v>
      </c>
      <c r="AO404">
        <v>78.099988723756766</v>
      </c>
      <c r="AP404">
        <v>-27.199996072806467</v>
      </c>
      <c r="AQ404">
        <v>0</v>
      </c>
      <c r="AR404" t="str">
        <v>1613.par</v>
      </c>
      <c r="AV404" t="str">
        <v>127,0,255</v>
      </c>
      <c r="AW404" s="31">
        <v>0</v>
      </c>
      <c r="AX404" s="31">
        <v>78.099988723756766</v>
      </c>
      <c r="AY404" s="31">
        <v>0</v>
      </c>
    </row>
    <row r="405" spans="31:51" x14ac:dyDescent="0.25">
      <c r="AE405">
        <v>6.13</v>
      </c>
      <c r="AF405">
        <v>6</v>
      </c>
      <c r="AG405">
        <v>1</v>
      </c>
      <c r="AH405">
        <v>1</v>
      </c>
      <c r="AI405">
        <v>1.9999999999708962</v>
      </c>
      <c r="AJ405">
        <v>6.1301199999999998</v>
      </c>
      <c r="AK405" t="str">
        <v>Base</v>
      </c>
      <c r="AL405">
        <v>-16.5</v>
      </c>
      <c r="AM405">
        <v>-6.7300202977412189</v>
      </c>
      <c r="AN405">
        <v>-2.2985900779366895</v>
      </c>
      <c r="AO405">
        <v>70.19998986437551</v>
      </c>
      <c r="AP405">
        <v>-24.799996419323509</v>
      </c>
      <c r="AQ405">
        <v>0</v>
      </c>
      <c r="AR405" t="str">
        <v>1613.par</v>
      </c>
      <c r="AV405" t="str">
        <v>127,0,255</v>
      </c>
      <c r="AW405" s="31">
        <v>0</v>
      </c>
      <c r="AX405" s="31">
        <v>70.19998986437551</v>
      </c>
      <c r="AY405" s="31">
        <v>0</v>
      </c>
    </row>
    <row r="406" spans="31:51" x14ac:dyDescent="0.25">
      <c r="AE406">
        <v>6.1269999999999998</v>
      </c>
      <c r="AF406">
        <v>6</v>
      </c>
      <c r="AG406">
        <v>1</v>
      </c>
      <c r="AH406">
        <v>1</v>
      </c>
      <c r="AI406">
        <v>1.9999999999708962</v>
      </c>
      <c r="AJ406">
        <v>6.1271199999999997</v>
      </c>
      <c r="AK406" t="str">
        <v>Base</v>
      </c>
      <c r="AL406">
        <v>-16.5</v>
      </c>
      <c r="AM406">
        <v>-6.3792192397252263</v>
      </c>
      <c r="AN406">
        <v>-1.6322914701989986</v>
      </c>
      <c r="AO406">
        <v>58.499991553646176</v>
      </c>
      <c r="AP406">
        <v>-21.599996881346296</v>
      </c>
      <c r="AQ406">
        <v>0</v>
      </c>
      <c r="AR406" t="str">
        <v>1613.par</v>
      </c>
      <c r="AV406" t="str">
        <v>127,0,255</v>
      </c>
      <c r="AW406" s="31">
        <v>0</v>
      </c>
      <c r="AX406" s="31">
        <v>58.499991553646176</v>
      </c>
      <c r="AY406" s="31">
        <v>0</v>
      </c>
    </row>
    <row r="407" spans="31:51" x14ac:dyDescent="0.25">
      <c r="AE407">
        <v>6.1239999999999997</v>
      </c>
      <c r="AF407">
        <v>6</v>
      </c>
      <c r="AG407">
        <v>1</v>
      </c>
      <c r="AH407">
        <v>1</v>
      </c>
      <c r="AI407">
        <v>1.9999999999708962</v>
      </c>
      <c r="AJ407">
        <v>6.1241199999999996</v>
      </c>
      <c r="AK407" t="str">
        <v>Base</v>
      </c>
      <c r="AL407">
        <v>-16.5</v>
      </c>
      <c r="AM407">
        <v>-5.8779177277998684</v>
      </c>
      <c r="AN407">
        <v>-1.0637932959998251</v>
      </c>
      <c r="AO407">
        <v>46.699993257355175</v>
      </c>
      <c r="AP407">
        <v>-18.099997386683679</v>
      </c>
      <c r="AQ407">
        <v>0</v>
      </c>
      <c r="AR407" t="str">
        <v>1613.par</v>
      </c>
      <c r="AV407" t="str">
        <v>127,0,255</v>
      </c>
      <c r="AW407" s="31">
        <v>0</v>
      </c>
      <c r="AX407" s="31">
        <v>46.699993257355175</v>
      </c>
      <c r="AY407" s="31">
        <v>0</v>
      </c>
    </row>
    <row r="408" spans="31:51" x14ac:dyDescent="0.25">
      <c r="AE408">
        <v>6.1210000000000004</v>
      </c>
      <c r="AF408">
        <v>6</v>
      </c>
      <c r="AG408">
        <v>1</v>
      </c>
      <c r="AH408">
        <v>1</v>
      </c>
      <c r="AI408">
        <v>2.0000000000436557</v>
      </c>
      <c r="AJ408">
        <v>6.1211200000000003</v>
      </c>
      <c r="AK408" t="str">
        <v>Base</v>
      </c>
      <c r="AL408">
        <v>-16.5</v>
      </c>
      <c r="AM408">
        <v>-5.260115864509447</v>
      </c>
      <c r="AN408">
        <v>-0.62672780978444265</v>
      </c>
      <c r="AO408">
        <v>34.899994961064216</v>
      </c>
      <c r="AP408">
        <v>-16.499997617695072</v>
      </c>
      <c r="AQ408">
        <v>0</v>
      </c>
      <c r="AR408" t="str">
        <v>1613.par</v>
      </c>
      <c r="AV408" t="str">
        <v>127,0,255</v>
      </c>
      <c r="AW408" s="31">
        <v>0</v>
      </c>
      <c r="AX408" s="31">
        <v>34.899994961064216</v>
      </c>
      <c r="AY408" s="31">
        <v>0</v>
      </c>
    </row>
    <row r="409" spans="31:51" x14ac:dyDescent="0.25">
      <c r="AE409">
        <v>6.1180000000000003</v>
      </c>
      <c r="AF409">
        <v>6</v>
      </c>
      <c r="AG409">
        <v>1</v>
      </c>
      <c r="AH409">
        <v>1</v>
      </c>
      <c r="AI409">
        <v>2.0000000000436557</v>
      </c>
      <c r="AJ409">
        <v>6.1181200000000002</v>
      </c>
      <c r="AK409" t="str">
        <v>Base</v>
      </c>
      <c r="AL409">
        <v>-16.5</v>
      </c>
      <c r="AM409">
        <v>-4.5544137361118278</v>
      </c>
      <c r="AN409">
        <v>-0.34361028802385118</v>
      </c>
      <c r="AO409">
        <v>22.999996679211435</v>
      </c>
      <c r="AP409">
        <v>-15.699997733200806</v>
      </c>
      <c r="AQ409">
        <v>0</v>
      </c>
      <c r="AR409" t="str">
        <v>1613.par</v>
      </c>
      <c r="AV409" t="str">
        <v>127,0,255</v>
      </c>
      <c r="AW409" s="31">
        <v>0</v>
      </c>
      <c r="AX409" s="31">
        <v>22.999996679211435</v>
      </c>
      <c r="AY409" s="31">
        <v>0</v>
      </c>
    </row>
    <row r="410" spans="31:51" x14ac:dyDescent="0.25">
      <c r="AE410">
        <v>6.1150000000000002</v>
      </c>
      <c r="AF410">
        <v>6</v>
      </c>
      <c r="AG410">
        <v>1</v>
      </c>
      <c r="AH410">
        <v>1</v>
      </c>
      <c r="AI410">
        <v>2.0000000000436557</v>
      </c>
      <c r="AJ410">
        <v>6.1151200000000001</v>
      </c>
      <c r="AK410" t="str">
        <v>Base</v>
      </c>
      <c r="AL410">
        <v>-16.5</v>
      </c>
      <c r="AM410">
        <v>-3.8047114750098086</v>
      </c>
      <c r="AN410">
        <v>-0.23711232729757425</v>
      </c>
      <c r="AO410">
        <v>11.19999838292026</v>
      </c>
      <c r="AP410">
        <v>-15.199997805391808</v>
      </c>
      <c r="AQ410">
        <v>0</v>
      </c>
      <c r="AR410" t="str">
        <v>1613.par</v>
      </c>
      <c r="AV410" t="str">
        <v>127,0,255</v>
      </c>
      <c r="AW410" s="31">
        <v>0</v>
      </c>
      <c r="AX410" s="31">
        <v>11.19999838292026</v>
      </c>
      <c r="AY410" s="31">
        <v>0</v>
      </c>
    </row>
    <row r="411" spans="31:51" x14ac:dyDescent="0.25">
      <c r="AE411">
        <v>6.1120000000000001</v>
      </c>
      <c r="AF411">
        <v>6</v>
      </c>
      <c r="AG411">
        <v>1</v>
      </c>
      <c r="AH411">
        <v>1</v>
      </c>
      <c r="AI411">
        <v>1.9999999999708962</v>
      </c>
      <c r="AJ411">
        <v>6.11212</v>
      </c>
      <c r="AK411" t="str">
        <v>Base</v>
      </c>
      <c r="AL411">
        <v>-16.5</v>
      </c>
      <c r="AM411">
        <v>-3.0632092386390632</v>
      </c>
      <c r="AN411">
        <v>-0.30611704927224914</v>
      </c>
      <c r="AO411">
        <v>-0.39999994224709201</v>
      </c>
      <c r="AP411">
        <v>-14.999997834268255</v>
      </c>
      <c r="AQ411">
        <v>0</v>
      </c>
      <c r="AR411" t="str">
        <v>1613.par</v>
      </c>
      <c r="AV411" t="str">
        <v>127,0,255</v>
      </c>
      <c r="AW411" s="31">
        <v>0</v>
      </c>
      <c r="AX411" s="31">
        <v>-0.39999994224709201</v>
      </c>
      <c r="AY411" s="31">
        <v>0</v>
      </c>
    </row>
    <row r="412" spans="31:51" x14ac:dyDescent="0.25">
      <c r="AE412">
        <v>5.2350000000000003</v>
      </c>
      <c r="AF412">
        <v>5</v>
      </c>
      <c r="AG412">
        <v>2</v>
      </c>
      <c r="AH412">
        <v>1</v>
      </c>
      <c r="AI412">
        <v>2.0000000000436557</v>
      </c>
      <c r="AJ412">
        <v>5.2351200000000002</v>
      </c>
      <c r="AK412" t="str">
        <v>Base</v>
      </c>
      <c r="AL412">
        <v>-15.75</v>
      </c>
      <c r="AM412">
        <v>-7.0165105337643805</v>
      </c>
      <c r="AN412">
        <v>-3.5160031232688151</v>
      </c>
      <c r="AO412">
        <v>81.139988284835155</v>
      </c>
      <c r="AP412">
        <v>0</v>
      </c>
      <c r="AQ412">
        <v>0</v>
      </c>
      <c r="AR412" t="str">
        <v>32193r1.par</v>
      </c>
      <c r="AV412" t="str">
        <v>121,188,255</v>
      </c>
      <c r="AW412" s="31">
        <v>0</v>
      </c>
      <c r="AX412" s="31">
        <v>81.139988284835155</v>
      </c>
      <c r="AY412" s="31">
        <v>0</v>
      </c>
    </row>
    <row r="413" spans="31:51" x14ac:dyDescent="0.25">
      <c r="AE413">
        <v>5.2320000000000002</v>
      </c>
      <c r="AF413">
        <v>5</v>
      </c>
      <c r="AG413">
        <v>2</v>
      </c>
      <c r="AH413">
        <v>1</v>
      </c>
      <c r="AI413">
        <v>2.0000000000436557</v>
      </c>
      <c r="AJ413">
        <v>5.2321200000000001</v>
      </c>
      <c r="AK413" t="str">
        <v>Base</v>
      </c>
      <c r="AL413">
        <v>-15.75</v>
      </c>
      <c r="AM413">
        <v>-6.8662009777270283</v>
      </c>
      <c r="AN413">
        <v>-2.7873668326463545</v>
      </c>
      <c r="AO413">
        <v>75.519989096262663</v>
      </c>
      <c r="AP413">
        <v>0</v>
      </c>
      <c r="AQ413">
        <v>0</v>
      </c>
      <c r="AR413" t="str">
        <v>32193r1.par</v>
      </c>
      <c r="AV413" t="str">
        <v>121,188,255</v>
      </c>
      <c r="AW413" s="31">
        <v>0</v>
      </c>
      <c r="AX413" s="31">
        <v>75.519989096262663</v>
      </c>
      <c r="AY413" s="31">
        <v>0</v>
      </c>
    </row>
    <row r="414" spans="31:51" x14ac:dyDescent="0.25">
      <c r="AE414">
        <v>5.2290000000000001</v>
      </c>
      <c r="AF414">
        <v>5</v>
      </c>
      <c r="AG414">
        <v>2</v>
      </c>
      <c r="AH414">
        <v>1</v>
      </c>
      <c r="AI414">
        <v>1.9999999999708962</v>
      </c>
      <c r="AJ414">
        <v>5.22912</v>
      </c>
      <c r="AK414" t="str">
        <v>Base</v>
      </c>
      <c r="AL414">
        <v>-15.75</v>
      </c>
      <c r="AM414">
        <v>-6.6290549725447212</v>
      </c>
      <c r="AN414">
        <v>-2.0817153372727226</v>
      </c>
      <c r="AO414">
        <v>65.009990613718642</v>
      </c>
      <c r="AP414">
        <v>0</v>
      </c>
      <c r="AQ414">
        <v>0</v>
      </c>
      <c r="AR414" t="str">
        <v>32193r1.par</v>
      </c>
      <c r="AV414" t="str">
        <v>121,188,255</v>
      </c>
      <c r="AW414" s="31">
        <v>0</v>
      </c>
      <c r="AX414" s="31">
        <v>65.009990613718642</v>
      </c>
      <c r="AY414" s="31">
        <v>0</v>
      </c>
    </row>
    <row r="415" spans="31:51" x14ac:dyDescent="0.25">
      <c r="AE415">
        <v>5.226</v>
      </c>
      <c r="AF415">
        <v>5</v>
      </c>
      <c r="AG415">
        <v>2</v>
      </c>
      <c r="AH415">
        <v>1</v>
      </c>
      <c r="AI415">
        <v>1.9999999999708962</v>
      </c>
      <c r="AJ415">
        <v>5.2261199999999999</v>
      </c>
      <c r="AK415" t="str">
        <v>Base</v>
      </c>
      <c r="AL415">
        <v>-15.75</v>
      </c>
      <c r="AM415">
        <v>-6.2307698386228489</v>
      </c>
      <c r="AN415">
        <v>-1.4388558520560948</v>
      </c>
      <c r="AO415">
        <v>51.449992571540129</v>
      </c>
      <c r="AP415">
        <v>0</v>
      </c>
      <c r="AQ415">
        <v>0</v>
      </c>
      <c r="AR415" t="str">
        <v>32193r1.par</v>
      </c>
      <c r="AV415" t="str">
        <v>121,188,255</v>
      </c>
      <c r="AW415" s="31">
        <v>0</v>
      </c>
      <c r="AX415" s="31">
        <v>51.449992571540129</v>
      </c>
      <c r="AY415" s="31">
        <v>0</v>
      </c>
    </row>
    <row r="416" spans="31:51" x14ac:dyDescent="0.25">
      <c r="AE416">
        <v>5.2229999999999999</v>
      </c>
      <c r="AF416">
        <v>5</v>
      </c>
      <c r="AG416">
        <v>2</v>
      </c>
      <c r="AH416">
        <v>1</v>
      </c>
      <c r="AI416">
        <v>1.9999999999708962</v>
      </c>
      <c r="AJ416">
        <v>5.2231199999999998</v>
      </c>
      <c r="AK416" t="str">
        <v>Base</v>
      </c>
      <c r="AL416">
        <v>-15.75</v>
      </c>
      <c r="AM416">
        <v>-5.6920170795061908</v>
      </c>
      <c r="AN416">
        <v>-0.90381727006700197</v>
      </c>
      <c r="AO416">
        <v>37.819994539468382</v>
      </c>
      <c r="AP416">
        <v>0</v>
      </c>
      <c r="AQ416">
        <v>0</v>
      </c>
      <c r="AR416" t="str">
        <v>32193r1.par</v>
      </c>
      <c r="AV416" t="str">
        <v>121,188,255</v>
      </c>
      <c r="AW416" s="31">
        <v>0</v>
      </c>
      <c r="AX416" s="31">
        <v>37.819994539468382</v>
      </c>
      <c r="AY416" s="31">
        <v>0</v>
      </c>
    </row>
    <row r="417" spans="31:51" x14ac:dyDescent="0.25">
      <c r="AE417">
        <v>5.22</v>
      </c>
      <c r="AF417">
        <v>5</v>
      </c>
      <c r="AG417">
        <v>2</v>
      </c>
      <c r="AH417">
        <v>1</v>
      </c>
      <c r="AI417">
        <v>1.9999999999708962</v>
      </c>
      <c r="AJ417">
        <v>5.2201199999999996</v>
      </c>
      <c r="AK417" t="str">
        <v>Base</v>
      </c>
      <c r="AL417">
        <v>-15.75</v>
      </c>
      <c r="AM417">
        <v>-5.0413149669126431</v>
      </c>
      <c r="AN417">
        <v>-0.51205689366178309</v>
      </c>
      <c r="AO417">
        <v>24.199996505952821</v>
      </c>
      <c r="AP417">
        <v>0</v>
      </c>
      <c r="AQ417">
        <v>0</v>
      </c>
      <c r="AR417" t="str">
        <v>32193r1.par</v>
      </c>
      <c r="AV417" t="str">
        <v>121,188,255</v>
      </c>
      <c r="AW417" s="31">
        <v>0</v>
      </c>
      <c r="AX417" s="31">
        <v>24.199996505952821</v>
      </c>
      <c r="AY417" s="31">
        <v>0</v>
      </c>
    </row>
    <row r="418" spans="31:51" x14ac:dyDescent="0.25">
      <c r="AE418">
        <v>5.2169999999999996</v>
      </c>
      <c r="AF418">
        <v>5</v>
      </c>
      <c r="AG418">
        <v>2</v>
      </c>
      <c r="AH418">
        <v>1</v>
      </c>
      <c r="AI418">
        <v>1.9999999999708962</v>
      </c>
      <c r="AJ418">
        <v>5.2171199999999995</v>
      </c>
      <c r="AK418" t="str">
        <v>Base</v>
      </c>
      <c r="AL418">
        <v>-15.75</v>
      </c>
      <c r="AM418">
        <v>-4.3088536342635768</v>
      </c>
      <c r="AN418">
        <v>-0.28323409129901667</v>
      </c>
      <c r="AO418">
        <v>10.429998494094555</v>
      </c>
      <c r="AP418">
        <v>0</v>
      </c>
      <c r="AQ418">
        <v>0</v>
      </c>
      <c r="AR418" t="str">
        <v>32193r1.par</v>
      </c>
      <c r="AV418" t="str">
        <v>121,188,255</v>
      </c>
      <c r="AW418" s="31">
        <v>0</v>
      </c>
      <c r="AX418" s="31">
        <v>10.429998494094555</v>
      </c>
      <c r="AY418" s="31">
        <v>0</v>
      </c>
    </row>
    <row r="419" spans="31:51" x14ac:dyDescent="0.25">
      <c r="AE419">
        <v>5.1379999999999999</v>
      </c>
      <c r="AF419">
        <v>5</v>
      </c>
      <c r="AG419">
        <v>1</v>
      </c>
      <c r="AH419">
        <v>1</v>
      </c>
      <c r="AI419">
        <v>1.9999999999708962</v>
      </c>
      <c r="AJ419">
        <v>5.1381199999999998</v>
      </c>
      <c r="AK419" t="str">
        <v>Base</v>
      </c>
      <c r="AL419">
        <v>-15</v>
      </c>
      <c r="AM419">
        <v>-7.1349215189233011</v>
      </c>
      <c r="AN419">
        <v>-4.2586668009495989</v>
      </c>
      <c r="AO419">
        <v>87.999987294373852</v>
      </c>
      <c r="AP419">
        <v>-32.399995322019457</v>
      </c>
      <c r="AQ419">
        <v>0</v>
      </c>
      <c r="AR419" t="str">
        <v>1613.par</v>
      </c>
      <c r="AV419" t="str">
        <v>0,102,204</v>
      </c>
      <c r="AW419" s="31">
        <v>0</v>
      </c>
      <c r="AX419" s="31">
        <v>87.999987294373852</v>
      </c>
      <c r="AY419" s="31">
        <v>0</v>
      </c>
    </row>
    <row r="420" spans="31:51" x14ac:dyDescent="0.25">
      <c r="AE420">
        <v>5.1349999999999998</v>
      </c>
      <c r="AF420">
        <v>5</v>
      </c>
      <c r="AG420">
        <v>1</v>
      </c>
      <c r="AH420">
        <v>1</v>
      </c>
      <c r="AI420">
        <v>1.9999999999708962</v>
      </c>
      <c r="AJ420">
        <v>5.1351199999999997</v>
      </c>
      <c r="AK420" t="str">
        <v>Base</v>
      </c>
      <c r="AL420">
        <v>-15</v>
      </c>
      <c r="AM420">
        <v>-7.0330212115919766</v>
      </c>
      <c r="AN420">
        <v>-3.5075589103099403</v>
      </c>
      <c r="AO420">
        <v>81.999988160666575</v>
      </c>
      <c r="AP420">
        <v>-29.099995798480418</v>
      </c>
      <c r="AQ420">
        <v>0</v>
      </c>
      <c r="AR420" t="str">
        <v>1613.par</v>
      </c>
      <c r="AV420" t="str">
        <v>0,102,204</v>
      </c>
      <c r="AW420" s="31">
        <v>0</v>
      </c>
      <c r="AX420" s="31">
        <v>81.999988160666575</v>
      </c>
      <c r="AY420" s="31">
        <v>0</v>
      </c>
    </row>
    <row r="421" spans="31:51" x14ac:dyDescent="0.25">
      <c r="AE421">
        <v>5.1319999999999997</v>
      </c>
      <c r="AF421">
        <v>5</v>
      </c>
      <c r="AG421">
        <v>1</v>
      </c>
      <c r="AH421">
        <v>1</v>
      </c>
      <c r="AI421">
        <v>1.9999999999708962</v>
      </c>
      <c r="AJ421">
        <v>5.1321199999999996</v>
      </c>
      <c r="AK421" t="str">
        <v>Base</v>
      </c>
      <c r="AL421">
        <v>-15</v>
      </c>
      <c r="AM421">
        <v>-6.8749207347609378</v>
      </c>
      <c r="AN421">
        <v>-2.7794009498407997</v>
      </c>
      <c r="AO421">
        <v>76.099989012520979</v>
      </c>
      <c r="AP421">
        <v>-26.399996188312151</v>
      </c>
      <c r="AQ421">
        <v>0</v>
      </c>
      <c r="AR421" t="str">
        <v>1613.par</v>
      </c>
      <c r="AV421" t="str">
        <v>0,102,204</v>
      </c>
      <c r="AW421" s="31">
        <v>0</v>
      </c>
      <c r="AX421" s="31">
        <v>76.099989012520979</v>
      </c>
      <c r="AY421" s="31">
        <v>0</v>
      </c>
    </row>
    <row r="422" spans="31:51" x14ac:dyDescent="0.25">
      <c r="AE422">
        <v>5.1289999999999996</v>
      </c>
      <c r="AF422">
        <v>5</v>
      </c>
      <c r="AG422">
        <v>1</v>
      </c>
      <c r="AH422">
        <v>1</v>
      </c>
      <c r="AI422">
        <v>1.9999999999708962</v>
      </c>
      <c r="AJ422">
        <v>5.1291199999999995</v>
      </c>
      <c r="AK422" t="str">
        <v>Base</v>
      </c>
      <c r="AL422">
        <v>-15</v>
      </c>
      <c r="AM422">
        <v>-6.631019999156317</v>
      </c>
      <c r="AN422">
        <v>-2.0755157706819176</v>
      </c>
      <c r="AO422">
        <v>66.299990427465744</v>
      </c>
      <c r="AP422">
        <v>-23.799996563705665</v>
      </c>
      <c r="AQ422">
        <v>0</v>
      </c>
      <c r="AR422" t="str">
        <v>1613.par</v>
      </c>
      <c r="AV422" t="str">
        <v>0,102,204</v>
      </c>
      <c r="AW422" s="31">
        <v>0</v>
      </c>
      <c r="AX422" s="31">
        <v>66.299990427465744</v>
      </c>
      <c r="AY422" s="31">
        <v>0</v>
      </c>
    </row>
    <row r="423" spans="31:51" x14ac:dyDescent="0.25">
      <c r="AE423">
        <v>5.1260000000000003</v>
      </c>
      <c r="AF423">
        <v>5</v>
      </c>
      <c r="AG423">
        <v>1</v>
      </c>
      <c r="AH423">
        <v>1</v>
      </c>
      <c r="AI423">
        <v>2.0000000000436557</v>
      </c>
      <c r="AJ423">
        <v>5.1261200000000002</v>
      </c>
      <c r="AK423" t="str">
        <v>Base</v>
      </c>
      <c r="AL423">
        <v>-15</v>
      </c>
      <c r="AM423">
        <v>-6.2261187779742322</v>
      </c>
      <c r="AN423">
        <v>-1.4375573177541325</v>
      </c>
      <c r="AO423">
        <v>54.599992116736459</v>
      </c>
      <c r="AP423">
        <v>-20.499997040166601</v>
      </c>
      <c r="AQ423">
        <v>0</v>
      </c>
      <c r="AR423" t="str">
        <v>1613.par</v>
      </c>
      <c r="AV423" t="str">
        <v>0,102,204</v>
      </c>
      <c r="AW423" s="31">
        <v>0</v>
      </c>
      <c r="AX423" s="31">
        <v>54.599992116736459</v>
      </c>
      <c r="AY423" s="31">
        <v>0</v>
      </c>
    </row>
    <row r="424" spans="31:51" x14ac:dyDescent="0.25">
      <c r="AE424">
        <v>5.1230000000000002</v>
      </c>
      <c r="AF424">
        <v>5</v>
      </c>
      <c r="AG424">
        <v>1</v>
      </c>
      <c r="AH424">
        <v>1</v>
      </c>
      <c r="AI424">
        <v>2.0000000000436557</v>
      </c>
      <c r="AJ424">
        <v>5.1231200000000001</v>
      </c>
      <c r="AK424" t="str">
        <v>Base</v>
      </c>
      <c r="AL424">
        <v>-15</v>
      </c>
      <c r="AM424">
        <v>-5.6833171408844967</v>
      </c>
      <c r="AN424">
        <v>-0.90947739039911035</v>
      </c>
      <c r="AO424">
        <v>42.799993820445458</v>
      </c>
      <c r="AP424">
        <v>-17.099997531065835</v>
      </c>
      <c r="AQ424">
        <v>0</v>
      </c>
      <c r="AR424" t="str">
        <v>1613.par</v>
      </c>
      <c r="AV424" t="str">
        <v>0,102,204</v>
      </c>
      <c r="AW424" s="31">
        <v>0</v>
      </c>
      <c r="AX424" s="31">
        <v>42.799993820445458</v>
      </c>
      <c r="AY424" s="31">
        <v>0</v>
      </c>
    </row>
    <row r="425" spans="31:51" x14ac:dyDescent="0.25">
      <c r="AE425">
        <v>5.12</v>
      </c>
      <c r="AF425">
        <v>5</v>
      </c>
      <c r="AG425">
        <v>1</v>
      </c>
      <c r="AH425">
        <v>1</v>
      </c>
      <c r="AI425">
        <v>1.9999999999708962</v>
      </c>
      <c r="AJ425">
        <v>5.12012</v>
      </c>
      <c r="AK425" t="str">
        <v>Base</v>
      </c>
      <c r="AL425">
        <v>-15</v>
      </c>
      <c r="AM425">
        <v>-5.0339151822881911</v>
      </c>
      <c r="AN425">
        <v>-0.52140496859948238</v>
      </c>
      <c r="AO425">
        <v>31.099995509716297</v>
      </c>
      <c r="AP425">
        <v>-16.299997646571519</v>
      </c>
      <c r="AQ425">
        <v>0</v>
      </c>
      <c r="AR425" t="str">
        <v>1613.par</v>
      </c>
      <c r="AV425" t="str">
        <v>0,102,204</v>
      </c>
      <c r="AW425" s="31">
        <v>0</v>
      </c>
      <c r="AX425" s="31">
        <v>31.099995509716297</v>
      </c>
      <c r="AY425" s="31">
        <v>0</v>
      </c>
    </row>
    <row r="426" spans="31:51" x14ac:dyDescent="0.25">
      <c r="AE426">
        <v>5.117</v>
      </c>
      <c r="AF426">
        <v>5</v>
      </c>
      <c r="AG426">
        <v>1</v>
      </c>
      <c r="AH426">
        <v>1</v>
      </c>
      <c r="AI426">
        <v>1.9999999999708962</v>
      </c>
      <c r="AJ426">
        <v>5.1171199999999999</v>
      </c>
      <c r="AK426" t="str">
        <v>Base</v>
      </c>
      <c r="AL426">
        <v>-15</v>
      </c>
      <c r="AM426">
        <v>-4.3037129799983482</v>
      </c>
      <c r="AN426">
        <v>-0.29574553693215655</v>
      </c>
      <c r="AO426">
        <v>18.999997256739775</v>
      </c>
      <c r="AP426">
        <v>-15.499997762077189</v>
      </c>
      <c r="AQ426">
        <v>0</v>
      </c>
      <c r="AR426" t="str">
        <v>1613.par</v>
      </c>
      <c r="AV426" t="str">
        <v>0,102,204</v>
      </c>
      <c r="AW426" s="31">
        <v>0</v>
      </c>
      <c r="AX426" s="31">
        <v>18.999997256739775</v>
      </c>
      <c r="AY426" s="31">
        <v>0</v>
      </c>
    </row>
    <row r="427" spans="31:51" x14ac:dyDescent="0.25">
      <c r="AE427">
        <v>5.1139999999999999</v>
      </c>
      <c r="AF427">
        <v>5</v>
      </c>
      <c r="AG427">
        <v>1</v>
      </c>
      <c r="AH427">
        <v>1</v>
      </c>
      <c r="AI427">
        <v>1.9999999999708962</v>
      </c>
      <c r="AJ427">
        <v>5.1141199999999998</v>
      </c>
      <c r="AK427" t="str">
        <v>Base</v>
      </c>
      <c r="AL427">
        <v>-15</v>
      </c>
      <c r="AM427">
        <v>-3.5593107348811768</v>
      </c>
      <c r="AN427">
        <v>-0.24775601684614665</v>
      </c>
      <c r="AO427">
        <v>7.3999989315723109</v>
      </c>
      <c r="AP427">
        <v>-15.099997819830044</v>
      </c>
      <c r="AQ427">
        <v>0</v>
      </c>
      <c r="AR427" t="str">
        <v>1613.par</v>
      </c>
      <c r="AV427" t="str">
        <v>0,102,204</v>
      </c>
      <c r="AW427" s="31">
        <v>0</v>
      </c>
      <c r="AX427" s="31">
        <v>7.3999989315723109</v>
      </c>
      <c r="AY427" s="31">
        <v>0</v>
      </c>
    </row>
    <row r="428" spans="31:51" x14ac:dyDescent="0.25">
      <c r="AE428">
        <v>5.1109999999999998</v>
      </c>
      <c r="AF428">
        <v>5</v>
      </c>
      <c r="AG428">
        <v>1</v>
      </c>
      <c r="AH428">
        <v>1</v>
      </c>
      <c r="AI428">
        <v>1.9999999999708962</v>
      </c>
      <c r="AJ428">
        <v>5.1111199999999997</v>
      </c>
      <c r="AK428" t="str">
        <v>Base</v>
      </c>
      <c r="AL428">
        <v>-15</v>
      </c>
      <c r="AM428">
        <v>-2.8153084909704096</v>
      </c>
      <c r="AN428">
        <v>-0.37535640168890722</v>
      </c>
      <c r="AO428">
        <v>-1.9999997112357444</v>
      </c>
      <c r="AP428">
        <v>-14.999997834268255</v>
      </c>
      <c r="AQ428">
        <v>0</v>
      </c>
      <c r="AR428" t="str">
        <v>1613.par</v>
      </c>
      <c r="AV428" t="str">
        <v>0,102,204</v>
      </c>
      <c r="AW428" s="31">
        <v>0</v>
      </c>
      <c r="AX428" s="31">
        <v>-1.9999997112357444</v>
      </c>
      <c r="AY428" s="31">
        <v>0</v>
      </c>
    </row>
    <row r="429" spans="31:51" x14ac:dyDescent="0.25">
      <c r="AE429">
        <v>5.1079999999999997</v>
      </c>
      <c r="AF429">
        <v>5</v>
      </c>
      <c r="AG429">
        <v>1</v>
      </c>
      <c r="AH429">
        <v>1</v>
      </c>
      <c r="AI429">
        <v>1.9999999999708962</v>
      </c>
      <c r="AJ429">
        <v>5.1081199999999995</v>
      </c>
      <c r="AK429" t="str">
        <v>Base</v>
      </c>
      <c r="AL429">
        <v>-15</v>
      </c>
      <c r="AM429">
        <v>-2.0734062533932605</v>
      </c>
      <c r="AN429">
        <v>-0.57405700096991485</v>
      </c>
      <c r="AO429">
        <v>-2.999999566853591</v>
      </c>
      <c r="AP429">
        <v>-14.999997834268203</v>
      </c>
      <c r="AQ429">
        <v>0</v>
      </c>
      <c r="AR429" t="str">
        <v>1613.par</v>
      </c>
      <c r="AV429" t="str">
        <v>0,102,204</v>
      </c>
      <c r="AW429" s="31">
        <v>0</v>
      </c>
      <c r="AX429" s="31">
        <v>-2.999999566853591</v>
      </c>
      <c r="AY429" s="31">
        <v>0</v>
      </c>
    </row>
    <row r="430" spans="31:51" x14ac:dyDescent="0.25">
      <c r="AE430">
        <v>5.1050000000000004</v>
      </c>
      <c r="AF430">
        <v>5</v>
      </c>
      <c r="AG430">
        <v>1</v>
      </c>
      <c r="AH430">
        <v>1</v>
      </c>
      <c r="AI430">
        <v>2.0000000000436557</v>
      </c>
      <c r="AJ430">
        <v>5.1051200000000003</v>
      </c>
      <c r="AK430" t="str">
        <v>Base</v>
      </c>
      <c r="AL430">
        <v>-15</v>
      </c>
      <c r="AM430">
        <v>-1.331504015816112</v>
      </c>
      <c r="AN430">
        <v>-0.77285760057071307</v>
      </c>
      <c r="AO430">
        <v>-2.9999995668536164</v>
      </c>
      <c r="AP430">
        <v>-14.999997834268255</v>
      </c>
      <c r="AQ430">
        <v>0</v>
      </c>
      <c r="AR430" t="str">
        <v>1613.par</v>
      </c>
      <c r="AV430" t="str">
        <v>0,102,204</v>
      </c>
      <c r="AW430" s="31">
        <v>0</v>
      </c>
      <c r="AX430" s="31">
        <v>-2.9999995668536164</v>
      </c>
      <c r="AY430" s="31">
        <v>0</v>
      </c>
    </row>
    <row r="431" spans="31:51" x14ac:dyDescent="0.25">
      <c r="AE431">
        <v>5.1020000000000003</v>
      </c>
      <c r="AF431">
        <v>5</v>
      </c>
      <c r="AG431">
        <v>1</v>
      </c>
      <c r="AH431">
        <v>1</v>
      </c>
      <c r="AI431">
        <v>2.0000000000436557</v>
      </c>
      <c r="AJ431">
        <v>5.1021200000000002</v>
      </c>
      <c r="AK431" t="str">
        <v>Base</v>
      </c>
      <c r="AL431">
        <v>-15</v>
      </c>
      <c r="AM431">
        <v>-0.58750177190534425</v>
      </c>
      <c r="AN431">
        <v>-0.96375817632684946</v>
      </c>
      <c r="AO431">
        <v>-5.9999991337073411</v>
      </c>
      <c r="AP431">
        <v>-19.999997112357704</v>
      </c>
      <c r="AQ431">
        <v>0</v>
      </c>
      <c r="AR431" t="str">
        <v>1613.par</v>
      </c>
      <c r="AV431" t="str">
        <v>0,102,204</v>
      </c>
      <c r="AW431" s="31">
        <v>0</v>
      </c>
      <c r="AX431" s="31">
        <v>-5.9999991337073411</v>
      </c>
      <c r="AY431" s="31">
        <v>0</v>
      </c>
    </row>
    <row r="432" spans="31:51" x14ac:dyDescent="0.25">
      <c r="AE432">
        <v>4.2370000000000001</v>
      </c>
      <c r="AF432">
        <v>4</v>
      </c>
      <c r="AG432">
        <v>2</v>
      </c>
      <c r="AH432">
        <v>1</v>
      </c>
      <c r="AI432">
        <v>1.9999999999708962</v>
      </c>
      <c r="AJ432">
        <v>4.23712</v>
      </c>
      <c r="AK432" t="str">
        <v>Base</v>
      </c>
      <c r="AL432">
        <v>-14.25</v>
      </c>
      <c r="AM432">
        <v>-7.0763183047111946</v>
      </c>
      <c r="AN432">
        <v>-4.0888603243809101</v>
      </c>
      <c r="AO432">
        <v>84.909987740514595</v>
      </c>
      <c r="AP432">
        <v>0</v>
      </c>
      <c r="AQ432">
        <v>0</v>
      </c>
      <c r="AR432" t="str">
        <v>32193r1.par</v>
      </c>
      <c r="AV432" t="str">
        <v>91,255,255</v>
      </c>
      <c r="AW432" s="31">
        <v>0</v>
      </c>
      <c r="AX432" s="31">
        <v>84.909987740514595</v>
      </c>
      <c r="AY432" s="31">
        <v>0</v>
      </c>
    </row>
    <row r="433" spans="31:51" x14ac:dyDescent="0.25">
      <c r="AE433">
        <v>4.234</v>
      </c>
      <c r="AF433">
        <v>4</v>
      </c>
      <c r="AG433">
        <v>2</v>
      </c>
      <c r="AH433">
        <v>1</v>
      </c>
      <c r="AI433">
        <v>1.9999999999708962</v>
      </c>
      <c r="AJ433">
        <v>4.2341199999999999</v>
      </c>
      <c r="AK433" t="str">
        <v>Base</v>
      </c>
      <c r="AL433">
        <v>-14.25</v>
      </c>
      <c r="AM433">
        <v>-6.9745354852076824</v>
      </c>
      <c r="AN433">
        <v>-3.3443926139109226</v>
      </c>
      <c r="AO433">
        <v>79.239988559161148</v>
      </c>
      <c r="AP433">
        <v>0</v>
      </c>
      <c r="AQ433">
        <v>0</v>
      </c>
      <c r="AR433" t="str">
        <v>32193r1.par</v>
      </c>
      <c r="AV433" t="str">
        <v>91,255,255</v>
      </c>
      <c r="AW433" s="31">
        <v>0</v>
      </c>
      <c r="AX433" s="31">
        <v>79.239988559161148</v>
      </c>
      <c r="AY433" s="31">
        <v>0</v>
      </c>
    </row>
    <row r="434" spans="31:51" x14ac:dyDescent="0.25">
      <c r="AE434">
        <v>4.2309999999999999</v>
      </c>
      <c r="AF434">
        <v>4</v>
      </c>
      <c r="AG434">
        <v>2</v>
      </c>
      <c r="AH434">
        <v>1</v>
      </c>
      <c r="AI434">
        <v>1.9999999999708962</v>
      </c>
      <c r="AJ434">
        <v>4.2311199999999998</v>
      </c>
      <c r="AK434" t="str">
        <v>Base</v>
      </c>
      <c r="AL434">
        <v>-14.25</v>
      </c>
      <c r="AM434">
        <v>-6.8042623594709397</v>
      </c>
      <c r="AN434">
        <v>-2.6269025153736925</v>
      </c>
      <c r="AO434">
        <v>73.979989318611103</v>
      </c>
      <c r="AP434">
        <v>0</v>
      </c>
      <c r="AQ434">
        <v>0</v>
      </c>
      <c r="AR434" t="str">
        <v>32193r1.par</v>
      </c>
      <c r="AV434" t="str">
        <v>91,255,255</v>
      </c>
      <c r="AW434" s="31">
        <v>0</v>
      </c>
      <c r="AX434" s="31">
        <v>73.979989318611103</v>
      </c>
      <c r="AY434" s="31">
        <v>0</v>
      </c>
    </row>
    <row r="435" spans="31:51" x14ac:dyDescent="0.25">
      <c r="AE435">
        <v>4.2279999999999998</v>
      </c>
      <c r="AF435">
        <v>4</v>
      </c>
      <c r="AG435">
        <v>2</v>
      </c>
      <c r="AH435">
        <v>1</v>
      </c>
      <c r="AI435">
        <v>1.9999999999708962</v>
      </c>
      <c r="AJ435">
        <v>4.2281199999999997</v>
      </c>
      <c r="AK435" t="str">
        <v>Base</v>
      </c>
      <c r="AL435">
        <v>-14.25</v>
      </c>
      <c r="AM435">
        <v>-6.5149297086959281</v>
      </c>
      <c r="AN435">
        <v>-1.9349642501866153</v>
      </c>
      <c r="AO435">
        <v>60.529991260550531</v>
      </c>
      <c r="AP435">
        <v>0</v>
      </c>
      <c r="AQ435">
        <v>0</v>
      </c>
      <c r="AR435" t="str">
        <v>32193r1.par</v>
      </c>
      <c r="AV435" t="str">
        <v>91,255,255</v>
      </c>
      <c r="AW435" s="31">
        <v>0</v>
      </c>
      <c r="AX435" s="31">
        <v>60.529991260550531</v>
      </c>
      <c r="AY435" s="31">
        <v>0</v>
      </c>
    </row>
    <row r="436" spans="31:51" x14ac:dyDescent="0.25">
      <c r="AE436">
        <v>4.2249999999999996</v>
      </c>
      <c r="AF436">
        <v>4</v>
      </c>
      <c r="AG436">
        <v>2</v>
      </c>
      <c r="AH436">
        <v>1</v>
      </c>
      <c r="AI436">
        <v>1.9999999999708962</v>
      </c>
      <c r="AJ436">
        <v>4.2251199999999995</v>
      </c>
      <c r="AK436" t="str">
        <v>Base</v>
      </c>
      <c r="AL436">
        <v>-14.25</v>
      </c>
      <c r="AM436">
        <v>-6.0655624547724596</v>
      </c>
      <c r="AN436">
        <v>-1.3225328023847971</v>
      </c>
      <c r="AO436">
        <v>46.89999322847882</v>
      </c>
      <c r="AP436">
        <v>0</v>
      </c>
      <c r="AQ436">
        <v>0</v>
      </c>
      <c r="AR436" t="str">
        <v>32193r1.par</v>
      </c>
      <c r="AV436" t="str">
        <v>91,255,255</v>
      </c>
      <c r="AW436" s="31">
        <v>0</v>
      </c>
      <c r="AX436" s="31">
        <v>46.89999322847882</v>
      </c>
      <c r="AY436" s="31">
        <v>0</v>
      </c>
    </row>
    <row r="437" spans="31:51" x14ac:dyDescent="0.25">
      <c r="AE437">
        <v>4.2220000000000004</v>
      </c>
      <c r="AF437">
        <v>4</v>
      </c>
      <c r="AG437">
        <v>2</v>
      </c>
      <c r="AH437">
        <v>1</v>
      </c>
      <c r="AI437">
        <v>2.0000000000436557</v>
      </c>
      <c r="AJ437">
        <v>4.2221200000000003</v>
      </c>
      <c r="AK437" t="str">
        <v>Base</v>
      </c>
      <c r="AL437">
        <v>-14.25</v>
      </c>
      <c r="AM437">
        <v>-5.4860015733948275</v>
      </c>
      <c r="AN437">
        <v>-0.83183469190879178</v>
      </c>
      <c r="AO437">
        <v>33.279995194963185</v>
      </c>
      <c r="AP437">
        <v>0</v>
      </c>
      <c r="AQ437">
        <v>0</v>
      </c>
      <c r="AR437" t="str">
        <v>32193r1.par</v>
      </c>
      <c r="AV437" t="str">
        <v>91,255,255</v>
      </c>
      <c r="AW437" s="31">
        <v>0</v>
      </c>
      <c r="AX437" s="31">
        <v>33.279995194963185</v>
      </c>
      <c r="AY437" s="31">
        <v>0</v>
      </c>
    </row>
    <row r="438" spans="31:51" x14ac:dyDescent="0.25">
      <c r="AE438">
        <v>4.2190000000000003</v>
      </c>
      <c r="AF438">
        <v>4</v>
      </c>
      <c r="AG438">
        <v>2</v>
      </c>
      <c r="AH438">
        <v>1</v>
      </c>
      <c r="AI438">
        <v>2.0000000000436557</v>
      </c>
      <c r="AJ438">
        <v>4.2191200000000002</v>
      </c>
      <c r="AK438" t="str">
        <v>Base</v>
      </c>
      <c r="AL438">
        <v>-14.25</v>
      </c>
      <c r="AM438">
        <v>-4.8061705690502698</v>
      </c>
      <c r="AN438">
        <v>-0.49276906160375167</v>
      </c>
      <c r="AO438">
        <v>19.649997162891438</v>
      </c>
      <c r="AP438">
        <v>0</v>
      </c>
      <c r="AQ438">
        <v>0</v>
      </c>
      <c r="AR438" t="str">
        <v>32193r1.par</v>
      </c>
      <c r="AV438" t="str">
        <v>91,255,255</v>
      </c>
      <c r="AW438" s="31">
        <v>0</v>
      </c>
      <c r="AX438" s="31">
        <v>19.649997162891438</v>
      </c>
      <c r="AY438" s="31">
        <v>0</v>
      </c>
    </row>
    <row r="439" spans="31:51" x14ac:dyDescent="0.25">
      <c r="AE439">
        <v>4.2160000000000002</v>
      </c>
      <c r="AF439">
        <v>4</v>
      </c>
      <c r="AG439">
        <v>2</v>
      </c>
      <c r="AH439">
        <v>1</v>
      </c>
      <c r="AI439">
        <v>2.0000000000436557</v>
      </c>
      <c r="AJ439">
        <v>4.2161200000000001</v>
      </c>
      <c r="AK439" t="str">
        <v>Base</v>
      </c>
      <c r="AL439">
        <v>-14.25</v>
      </c>
      <c r="AM439">
        <v>-4.0538913077739718</v>
      </c>
      <c r="AN439">
        <v>-0.32260183848790869</v>
      </c>
      <c r="AO439">
        <v>5.8099991611399071</v>
      </c>
      <c r="AP439">
        <v>0</v>
      </c>
      <c r="AQ439">
        <v>0</v>
      </c>
      <c r="AR439" t="str">
        <v>32193r1.par</v>
      </c>
      <c r="AV439" t="str">
        <v>91,255,255</v>
      </c>
      <c r="AW439" s="31">
        <v>0</v>
      </c>
      <c r="AX439" s="31">
        <v>5.8099991611399071</v>
      </c>
      <c r="AY439" s="31">
        <v>0</v>
      </c>
    </row>
    <row r="440" spans="31:51" x14ac:dyDescent="0.25">
      <c r="AE440">
        <v>4.1399999999999997</v>
      </c>
      <c r="AF440">
        <v>4</v>
      </c>
      <c r="AG440">
        <v>1</v>
      </c>
      <c r="AH440">
        <v>1</v>
      </c>
      <c r="AI440">
        <v>1.9999999999708962</v>
      </c>
      <c r="AJ440">
        <v>4.1401199999999996</v>
      </c>
      <c r="AK440" t="str">
        <v>Base</v>
      </c>
      <c r="AL440">
        <v>-13.5</v>
      </c>
      <c r="AM440">
        <v>-7.134921518923302</v>
      </c>
      <c r="AN440">
        <v>-4.8410624838324008</v>
      </c>
      <c r="AO440">
        <v>87.999987294373838</v>
      </c>
      <c r="AP440">
        <v>-32.399995322019443</v>
      </c>
      <c r="AQ440">
        <v>0</v>
      </c>
      <c r="AR440" t="str">
        <v>1613.par</v>
      </c>
      <c r="AV440" t="str">
        <v>0,204,204</v>
      </c>
      <c r="AW440" s="31">
        <v>0</v>
      </c>
      <c r="AX440" s="31">
        <v>87.999987294373838</v>
      </c>
      <c r="AY440" s="31">
        <v>0</v>
      </c>
    </row>
    <row r="441" spans="31:51" x14ac:dyDescent="0.25">
      <c r="AE441">
        <v>4.1369999999999996</v>
      </c>
      <c r="AF441">
        <v>4</v>
      </c>
      <c r="AG441">
        <v>1</v>
      </c>
      <c r="AH441">
        <v>1</v>
      </c>
      <c r="AI441">
        <v>1.9999999999708962</v>
      </c>
      <c r="AJ441">
        <v>4.1371199999999995</v>
      </c>
      <c r="AK441" t="str">
        <v>Base</v>
      </c>
      <c r="AL441">
        <v>-13.5</v>
      </c>
      <c r="AM441">
        <v>-7.0993214115533769</v>
      </c>
      <c r="AN441">
        <v>-4.0809933163591037</v>
      </c>
      <c r="AO441">
        <v>85.999987583138065</v>
      </c>
      <c r="AP441">
        <v>-31.19999549527801</v>
      </c>
      <c r="AQ441">
        <v>0</v>
      </c>
      <c r="AR441" t="str">
        <v>1613.par</v>
      </c>
      <c r="AV441" t="str">
        <v>0,204,204</v>
      </c>
      <c r="AW441" s="31">
        <v>0</v>
      </c>
      <c r="AX441" s="31">
        <v>85.999987583138065</v>
      </c>
      <c r="AY441" s="31">
        <v>0</v>
      </c>
    </row>
    <row r="442" spans="31:51" x14ac:dyDescent="0.25">
      <c r="AE442">
        <v>4.1340000000000003</v>
      </c>
      <c r="AF442">
        <v>4</v>
      </c>
      <c r="AG442">
        <v>1</v>
      </c>
      <c r="AH442">
        <v>1</v>
      </c>
      <c r="AI442">
        <v>2.0000000000436557</v>
      </c>
      <c r="AJ442">
        <v>4.1341200000000002</v>
      </c>
      <c r="AK442" t="str">
        <v>Base</v>
      </c>
      <c r="AL442">
        <v>-13.5</v>
      </c>
      <c r="AM442">
        <v>-6.9875210743635598</v>
      </c>
      <c r="AN442">
        <v>-3.3360940555467589</v>
      </c>
      <c r="AO442">
        <v>80.099988434992554</v>
      </c>
      <c r="AP442">
        <v>-27.899995971738971</v>
      </c>
      <c r="AQ442">
        <v>0</v>
      </c>
      <c r="AR442" t="str">
        <v>1613.par</v>
      </c>
      <c r="AV442" t="str">
        <v>0,204,204</v>
      </c>
      <c r="AW442" s="31">
        <v>0</v>
      </c>
      <c r="AX442" s="31">
        <v>80.099988434992554</v>
      </c>
      <c r="AY442" s="31">
        <v>0</v>
      </c>
    </row>
    <row r="443" spans="31:51" x14ac:dyDescent="0.25">
      <c r="AE443">
        <v>4.1310000000000002</v>
      </c>
      <c r="AF443">
        <v>4</v>
      </c>
      <c r="AG443">
        <v>1</v>
      </c>
      <c r="AH443">
        <v>1</v>
      </c>
      <c r="AI443">
        <v>2.0000000000436557</v>
      </c>
      <c r="AJ443">
        <v>4.1311200000000001</v>
      </c>
      <c r="AK443" t="str">
        <v>Base</v>
      </c>
      <c r="AL443">
        <v>-13.5</v>
      </c>
      <c r="AM443">
        <v>-6.8108205414347527</v>
      </c>
      <c r="AN443">
        <v>-2.6193520322356045</v>
      </c>
      <c r="AO443">
        <v>74.099989301285248</v>
      </c>
      <c r="AP443">
        <v>-25.599996303817825</v>
      </c>
      <c r="AQ443">
        <v>0</v>
      </c>
      <c r="AR443" t="str">
        <v>1613.par</v>
      </c>
      <c r="AV443" t="str">
        <v>0,204,204</v>
      </c>
      <c r="AW443" s="31">
        <v>0</v>
      </c>
      <c r="AX443" s="31">
        <v>74.099989301285248</v>
      </c>
      <c r="AY443" s="31">
        <v>0</v>
      </c>
    </row>
    <row r="444" spans="31:51" x14ac:dyDescent="0.25">
      <c r="AE444">
        <v>4.1280000000000001</v>
      </c>
      <c r="AF444">
        <v>4</v>
      </c>
      <c r="AG444">
        <v>1</v>
      </c>
      <c r="AH444">
        <v>1</v>
      </c>
      <c r="AI444">
        <v>1.9999999999708962</v>
      </c>
      <c r="AJ444">
        <v>4.12812</v>
      </c>
      <c r="AK444" t="str">
        <v>Base</v>
      </c>
      <c r="AL444">
        <v>-13.5</v>
      </c>
      <c r="AM444">
        <v>-6.5144196474896567</v>
      </c>
      <c r="AN444">
        <v>-1.9301103693082098</v>
      </c>
      <c r="AO444">
        <v>62.499990976117786</v>
      </c>
      <c r="AP444">
        <v>-22.699996722525942</v>
      </c>
      <c r="AQ444">
        <v>0</v>
      </c>
      <c r="AR444" t="str">
        <v>1613.par</v>
      </c>
      <c r="AV444" t="str">
        <v>0,204,204</v>
      </c>
      <c r="AW444" s="31">
        <v>0</v>
      </c>
      <c r="AX444" s="31">
        <v>62.499990976117786</v>
      </c>
      <c r="AY444" s="31">
        <v>0</v>
      </c>
    </row>
    <row r="445" spans="31:51" x14ac:dyDescent="0.25">
      <c r="AE445">
        <v>4.125</v>
      </c>
      <c r="AF445">
        <v>4</v>
      </c>
      <c r="AG445">
        <v>1</v>
      </c>
      <c r="AH445">
        <v>1</v>
      </c>
      <c r="AI445">
        <v>1.9999999999708962</v>
      </c>
      <c r="AJ445">
        <v>4.1251199999999999</v>
      </c>
      <c r="AK445" t="str">
        <v>Base</v>
      </c>
      <c r="AL445">
        <v>-13.5</v>
      </c>
      <c r="AM445">
        <v>-6.0591182743007153</v>
      </c>
      <c r="AN445">
        <v>-1.3234856913140129</v>
      </c>
      <c r="AO445">
        <v>50.699992679826764</v>
      </c>
      <c r="AP445">
        <v>-19.299997213425165</v>
      </c>
      <c r="AQ445">
        <v>0</v>
      </c>
      <c r="AR445" t="str">
        <v>1613.par</v>
      </c>
      <c r="AV445" t="str">
        <v>0,204,204</v>
      </c>
      <c r="AW445" s="31">
        <v>0</v>
      </c>
      <c r="AX445" s="31">
        <v>50.699992679826764</v>
      </c>
      <c r="AY445" s="31">
        <v>0</v>
      </c>
    </row>
    <row r="446" spans="31:51" x14ac:dyDescent="0.25">
      <c r="AE446">
        <v>4.1219999999999999</v>
      </c>
      <c r="AF446">
        <v>4</v>
      </c>
      <c r="AG446">
        <v>1</v>
      </c>
      <c r="AH446">
        <v>1</v>
      </c>
      <c r="AI446">
        <v>1.9999999999708962</v>
      </c>
      <c r="AJ446">
        <v>4.1221199999999998</v>
      </c>
      <c r="AK446" t="str">
        <v>Base</v>
      </c>
      <c r="AL446">
        <v>-13.5</v>
      </c>
      <c r="AM446">
        <v>-5.4776165204914253</v>
      </c>
      <c r="AN446">
        <v>-0.83881700596329289</v>
      </c>
      <c r="AO446">
        <v>38.799994397973919</v>
      </c>
      <c r="AP446">
        <v>-16.799997574380452</v>
      </c>
      <c r="AQ446">
        <v>0</v>
      </c>
      <c r="AR446" t="str">
        <v>1613.par</v>
      </c>
      <c r="AV446" t="str">
        <v>0,204,204</v>
      </c>
      <c r="AW446" s="31">
        <v>0</v>
      </c>
      <c r="AX446" s="31">
        <v>38.799994397973919</v>
      </c>
      <c r="AY446" s="31">
        <v>0</v>
      </c>
    </row>
    <row r="447" spans="31:51" x14ac:dyDescent="0.25">
      <c r="AE447">
        <v>4.1189999999999998</v>
      </c>
      <c r="AF447">
        <v>4</v>
      </c>
      <c r="AG447">
        <v>1</v>
      </c>
      <c r="AH447">
        <v>1</v>
      </c>
      <c r="AI447">
        <v>1.9999999999708962</v>
      </c>
      <c r="AJ447">
        <v>4.1191199999999997</v>
      </c>
      <c r="AK447" t="str">
        <v>Base</v>
      </c>
      <c r="AL447">
        <v>-13.5</v>
      </c>
      <c r="AM447">
        <v>-4.7994144750340562</v>
      </c>
      <c r="AN447">
        <v>-0.50332759004863148</v>
      </c>
      <c r="AO447">
        <v>26.999996101682843</v>
      </c>
      <c r="AP447">
        <v>-15.99999768988615</v>
      </c>
      <c r="AQ447">
        <v>0</v>
      </c>
      <c r="AR447" t="str">
        <v>1613.par</v>
      </c>
      <c r="AV447" t="str">
        <v>0,204,204</v>
      </c>
      <c r="AW447" s="31">
        <v>0</v>
      </c>
      <c r="AX447" s="31">
        <v>26.999996101682843</v>
      </c>
      <c r="AY447" s="31">
        <v>0</v>
      </c>
    </row>
    <row r="448" spans="31:51" x14ac:dyDescent="0.25">
      <c r="AE448">
        <v>4.1159999999999997</v>
      </c>
      <c r="AF448">
        <v>4</v>
      </c>
      <c r="AG448">
        <v>1</v>
      </c>
      <c r="AH448">
        <v>1</v>
      </c>
      <c r="AI448">
        <v>1.9999999999708962</v>
      </c>
      <c r="AJ448">
        <v>4.1161199999999996</v>
      </c>
      <c r="AK448" t="str">
        <v>Base</v>
      </c>
      <c r="AL448">
        <v>-13.5</v>
      </c>
      <c r="AM448">
        <v>-4.049712213932037</v>
      </c>
      <c r="AN448">
        <v>-0.3358095839215175</v>
      </c>
      <c r="AO448">
        <v>14.999997834268299</v>
      </c>
      <c r="AP448">
        <v>-15.299997790953599</v>
      </c>
      <c r="AQ448">
        <v>0</v>
      </c>
      <c r="AR448" t="str">
        <v>1613.par</v>
      </c>
      <c r="AV448" t="str">
        <v>0,204,204</v>
      </c>
      <c r="AW448" s="31">
        <v>0</v>
      </c>
      <c r="AX448" s="31">
        <v>14.999997834268299</v>
      </c>
      <c r="AY448" s="31">
        <v>0</v>
      </c>
    </row>
    <row r="449" spans="31:51" x14ac:dyDescent="0.25">
      <c r="AE449">
        <v>4.1130000000000004</v>
      </c>
      <c r="AF449">
        <v>4</v>
      </c>
      <c r="AG449">
        <v>1</v>
      </c>
      <c r="AH449">
        <v>1</v>
      </c>
      <c r="AI449">
        <v>2.0000000000436557</v>
      </c>
      <c r="AJ449">
        <v>4.1131200000000003</v>
      </c>
      <c r="AK449" t="str">
        <v>Base</v>
      </c>
      <c r="AL449">
        <v>-13.5</v>
      </c>
      <c r="AM449">
        <v>-3.3149099977685546</v>
      </c>
      <c r="AN449">
        <v>-0.34635024060193731</v>
      </c>
      <c r="AO449">
        <v>3.5999994802242887</v>
      </c>
      <c r="AP449">
        <v>-14.999997834268255</v>
      </c>
      <c r="AQ449">
        <v>0</v>
      </c>
      <c r="AR449" t="str">
        <v>1613.par</v>
      </c>
      <c r="AV449" t="str">
        <v>0,204,204</v>
      </c>
      <c r="AW449" s="31">
        <v>0</v>
      </c>
      <c r="AX449" s="31">
        <v>3.5999994802242887</v>
      </c>
      <c r="AY449" s="31">
        <v>0</v>
      </c>
    </row>
    <row r="450" spans="31:51" x14ac:dyDescent="0.25">
      <c r="AE450">
        <v>3.2360000000000002</v>
      </c>
      <c r="AF450">
        <v>3</v>
      </c>
      <c r="AG450">
        <v>2</v>
      </c>
      <c r="AH450">
        <v>1</v>
      </c>
      <c r="AI450">
        <v>2.000000000007276</v>
      </c>
      <c r="AJ450">
        <v>3.2361200000000001</v>
      </c>
      <c r="AK450" t="str">
        <v>Base</v>
      </c>
      <c r="AL450">
        <v>-12.75</v>
      </c>
      <c r="AM450">
        <v>-7.0507586261945114</v>
      </c>
      <c r="AN450">
        <v>-3.8483141593638099</v>
      </c>
      <c r="AO450">
        <v>83.029988011952952</v>
      </c>
      <c r="AP450">
        <v>0</v>
      </c>
      <c r="AQ450">
        <v>0</v>
      </c>
      <c r="AR450" t="str">
        <v>32193r1.par</v>
      </c>
      <c r="AV450" t="str">
        <v>97,255,97</v>
      </c>
      <c r="AW450" s="31">
        <v>0</v>
      </c>
      <c r="AX450" s="31">
        <v>83.029988011952952</v>
      </c>
      <c r="AY450" s="31">
        <v>0</v>
      </c>
    </row>
    <row r="451" spans="31:51" x14ac:dyDescent="0.25">
      <c r="AE451">
        <v>3.2330000000000001</v>
      </c>
      <c r="AF451">
        <v>3</v>
      </c>
      <c r="AG451">
        <v>2</v>
      </c>
      <c r="AH451">
        <v>1</v>
      </c>
      <c r="AI451">
        <v>2.000000000007276</v>
      </c>
      <c r="AJ451">
        <v>3.23312</v>
      </c>
      <c r="AK451" t="str">
        <v>Base</v>
      </c>
      <c r="AL451">
        <v>-12.75</v>
      </c>
      <c r="AM451">
        <v>-6.9238622261586871</v>
      </c>
      <c r="AN451">
        <v>-3.1090166761613052</v>
      </c>
      <c r="AO451">
        <v>77.369988829155744</v>
      </c>
      <c r="AP451">
        <v>0</v>
      </c>
      <c r="AQ451">
        <v>0</v>
      </c>
      <c r="AR451" t="str">
        <v>32193r1.par</v>
      </c>
      <c r="AV451" t="str">
        <v>97,255,97</v>
      </c>
      <c r="AW451" s="31">
        <v>0</v>
      </c>
      <c r="AX451" s="31">
        <v>77.369988829155744</v>
      </c>
      <c r="AY451" s="31">
        <v>0</v>
      </c>
    </row>
    <row r="452" spans="31:51" x14ac:dyDescent="0.25">
      <c r="AE452">
        <v>3.23</v>
      </c>
      <c r="AF452">
        <v>3</v>
      </c>
      <c r="AG452">
        <v>2</v>
      </c>
      <c r="AH452">
        <v>1</v>
      </c>
      <c r="AI452">
        <v>1.9999999999708962</v>
      </c>
      <c r="AJ452">
        <v>3.2301199999999999</v>
      </c>
      <c r="AK452" t="str">
        <v>Base</v>
      </c>
      <c r="AL452">
        <v>-12.75</v>
      </c>
      <c r="AM452">
        <v>-6.725590072660129</v>
      </c>
      <c r="AN452">
        <v>-2.3961832485795971</v>
      </c>
      <c r="AO452">
        <v>69.489989966886796</v>
      </c>
      <c r="AP452">
        <v>0</v>
      </c>
      <c r="AQ452">
        <v>0</v>
      </c>
      <c r="AR452" t="str">
        <v>32193r1.par</v>
      </c>
      <c r="AV452" t="str">
        <v>97,255,97</v>
      </c>
      <c r="AW452" s="31">
        <v>0</v>
      </c>
      <c r="AX452" s="31">
        <v>69.489989966886796</v>
      </c>
      <c r="AY452" s="31">
        <v>0</v>
      </c>
    </row>
    <row r="453" spans="31:51" x14ac:dyDescent="0.25">
      <c r="AE453">
        <v>3.2269999999999999</v>
      </c>
      <c r="AF453">
        <v>3</v>
      </c>
      <c r="AG453">
        <v>2</v>
      </c>
      <c r="AH453">
        <v>1</v>
      </c>
      <c r="AI453">
        <v>1.9999999999708962</v>
      </c>
      <c r="AJ453">
        <v>3.2271199999999998</v>
      </c>
      <c r="AK453" t="str">
        <v>Base</v>
      </c>
      <c r="AL453">
        <v>-12.75</v>
      </c>
      <c r="AM453">
        <v>-6.3819414385070941</v>
      </c>
      <c r="AN453">
        <v>-1.725969284158607</v>
      </c>
      <c r="AO453">
        <v>55.989991916045376</v>
      </c>
      <c r="AP453">
        <v>0</v>
      </c>
      <c r="AQ453">
        <v>0</v>
      </c>
      <c r="AR453" t="str">
        <v>32193r1.par</v>
      </c>
      <c r="AV453" t="str">
        <v>97,255,97</v>
      </c>
      <c r="AW453" s="31">
        <v>0</v>
      </c>
      <c r="AX453" s="31">
        <v>55.989991916045376</v>
      </c>
      <c r="AY453" s="31">
        <v>0</v>
      </c>
    </row>
    <row r="454" spans="31:51" x14ac:dyDescent="0.25">
      <c r="AE454">
        <v>3.2240000000000002</v>
      </c>
      <c r="AF454">
        <v>3</v>
      </c>
      <c r="AG454">
        <v>2</v>
      </c>
      <c r="AH454">
        <v>1</v>
      </c>
      <c r="AI454">
        <v>2.000000000007276</v>
      </c>
      <c r="AJ454">
        <v>3.2241200000000001</v>
      </c>
      <c r="AK454" t="str">
        <v>Base</v>
      </c>
      <c r="AL454">
        <v>-12.75</v>
      </c>
      <c r="AM454">
        <v>-5.8857941714501347</v>
      </c>
      <c r="AN454">
        <v>-1.1508729584988922</v>
      </c>
      <c r="AO454">
        <v>42.359993883973594</v>
      </c>
      <c r="AP454">
        <v>0</v>
      </c>
      <c r="AQ454">
        <v>0</v>
      </c>
      <c r="AR454" t="str">
        <v>32193r1.par</v>
      </c>
      <c r="AV454" t="str">
        <v>97,255,97</v>
      </c>
      <c r="AW454" s="31">
        <v>0</v>
      </c>
      <c r="AX454" s="31">
        <v>42.359993883973594</v>
      </c>
      <c r="AY454" s="31">
        <v>0</v>
      </c>
    </row>
    <row r="455" spans="31:51" x14ac:dyDescent="0.25">
      <c r="AE455">
        <v>3.2210000000000001</v>
      </c>
      <c r="AF455">
        <v>3</v>
      </c>
      <c r="AG455">
        <v>2</v>
      </c>
      <c r="AH455">
        <v>1</v>
      </c>
      <c r="AI455">
        <v>2.000000000007276</v>
      </c>
      <c r="AJ455">
        <v>3.22112</v>
      </c>
      <c r="AK455" t="str">
        <v>Base</v>
      </c>
      <c r="AL455">
        <v>-12.75</v>
      </c>
      <c r="AM455">
        <v>-5.2680978147010773</v>
      </c>
      <c r="AN455">
        <v>-0.70892891908928224</v>
      </c>
      <c r="AO455">
        <v>28.739995850458001</v>
      </c>
      <c r="AP455">
        <v>0</v>
      </c>
      <c r="AQ455">
        <v>0</v>
      </c>
      <c r="AR455" t="str">
        <v>32193r1.par</v>
      </c>
      <c r="AV455" t="str">
        <v>97,255,97</v>
      </c>
      <c r="AW455" s="31">
        <v>0</v>
      </c>
      <c r="AX455" s="31">
        <v>28.739995850458001</v>
      </c>
      <c r="AY455" s="31">
        <v>0</v>
      </c>
    </row>
    <row r="456" spans="31:51" x14ac:dyDescent="0.25">
      <c r="AE456">
        <v>3.218</v>
      </c>
      <c r="AF456">
        <v>3</v>
      </c>
      <c r="AG456">
        <v>2</v>
      </c>
      <c r="AH456">
        <v>1</v>
      </c>
      <c r="AI456">
        <v>1.9999999999708962</v>
      </c>
      <c r="AJ456">
        <v>3.2181199999999999</v>
      </c>
      <c r="AK456" t="str">
        <v>Base</v>
      </c>
      <c r="AL456">
        <v>-12.75</v>
      </c>
      <c r="AM456">
        <v>-4.5604424072880363</v>
      </c>
      <c r="AN456">
        <v>-0.42240799716440908</v>
      </c>
      <c r="AO456">
        <v>15.039997828492986</v>
      </c>
      <c r="AP456">
        <v>0</v>
      </c>
      <c r="AQ456">
        <v>0</v>
      </c>
      <c r="AR456" t="str">
        <v>32193r1.par</v>
      </c>
      <c r="AV456" t="str">
        <v>97,255,97</v>
      </c>
      <c r="AW456" s="31">
        <v>0</v>
      </c>
      <c r="AX456" s="31">
        <v>15.039997828492986</v>
      </c>
      <c r="AY456" s="31">
        <v>0</v>
      </c>
    </row>
    <row r="457" spans="31:51" x14ac:dyDescent="0.25">
      <c r="AE457">
        <v>3.2149999999999999</v>
      </c>
      <c r="AF457">
        <v>3</v>
      </c>
      <c r="AG457">
        <v>2</v>
      </c>
      <c r="AH457">
        <v>1</v>
      </c>
      <c r="AI457">
        <v>1.9999999999708962</v>
      </c>
      <c r="AJ457">
        <v>3.2151199999999998</v>
      </c>
      <c r="AK457" t="str">
        <v>Base</v>
      </c>
      <c r="AL457">
        <v>-12.75</v>
      </c>
      <c r="AM457">
        <v>-3.8078821406039247</v>
      </c>
      <c r="AN457">
        <v>-0.314026167418964</v>
      </c>
      <c r="AO457">
        <v>1.3999997978650411</v>
      </c>
      <c r="AP457">
        <v>0</v>
      </c>
      <c r="AQ457">
        <v>0</v>
      </c>
      <c r="AR457" t="str">
        <v>32193r1.par</v>
      </c>
      <c r="AV457" t="str">
        <v>97,255,97</v>
      </c>
      <c r="AW457" s="31">
        <v>0</v>
      </c>
      <c r="AX457" s="31">
        <v>1.3999997978650411</v>
      </c>
      <c r="AY457" s="31">
        <v>0</v>
      </c>
    </row>
    <row r="458" spans="31:51" x14ac:dyDescent="0.25">
      <c r="AE458">
        <v>3.1389999999999998</v>
      </c>
      <c r="AF458">
        <v>3</v>
      </c>
      <c r="AG458">
        <v>1</v>
      </c>
      <c r="AH458">
        <v>1</v>
      </c>
      <c r="AI458">
        <v>1.9999999999708962</v>
      </c>
      <c r="AJ458">
        <v>3.1391199999999997</v>
      </c>
      <c r="AK458" t="str">
        <v>Base</v>
      </c>
      <c r="AL458">
        <v>-12</v>
      </c>
      <c r="AM458">
        <v>-7.134921518923302</v>
      </c>
      <c r="AN458">
        <v>-4.5951008856029905</v>
      </c>
      <c r="AO458">
        <v>87.999987294373838</v>
      </c>
      <c r="AP458">
        <v>-32.399995322019443</v>
      </c>
      <c r="AQ458">
        <v>0</v>
      </c>
      <c r="AR458" t="str">
        <v>1613.par</v>
      </c>
      <c r="AV458" t="str">
        <v>0,204,0</v>
      </c>
      <c r="AW458" s="31">
        <v>0</v>
      </c>
      <c r="AX458" s="31">
        <v>87.999987294373838</v>
      </c>
      <c r="AY458" s="31">
        <v>0</v>
      </c>
    </row>
    <row r="459" spans="31:51" x14ac:dyDescent="0.25">
      <c r="AE459">
        <v>3.1360000000000001</v>
      </c>
      <c r="AF459">
        <v>3</v>
      </c>
      <c r="AG459">
        <v>1</v>
      </c>
      <c r="AH459">
        <v>1</v>
      </c>
      <c r="AI459">
        <v>2.000000000007276</v>
      </c>
      <c r="AJ459">
        <v>3.13612</v>
      </c>
      <c r="AK459" t="str">
        <v>Base</v>
      </c>
      <c r="AL459">
        <v>-12</v>
      </c>
      <c r="AM459">
        <v>-7.0703213240891127</v>
      </c>
      <c r="AN459">
        <v>-3.8400585387705193</v>
      </c>
      <c r="AO459">
        <v>83.99998787190232</v>
      </c>
      <c r="AP459">
        <v>-30.099995654098311</v>
      </c>
      <c r="AQ459">
        <v>0</v>
      </c>
      <c r="AR459" t="str">
        <v>1613.par</v>
      </c>
      <c r="AV459" t="str">
        <v>0,204,0</v>
      </c>
      <c r="AW459" s="31">
        <v>0</v>
      </c>
      <c r="AX459" s="31">
        <v>83.99998787190232</v>
      </c>
      <c r="AY459" s="31">
        <v>0</v>
      </c>
    </row>
    <row r="460" spans="31:51" x14ac:dyDescent="0.25">
      <c r="AE460">
        <v>3.133</v>
      </c>
      <c r="AF460">
        <v>3</v>
      </c>
      <c r="AG460">
        <v>1</v>
      </c>
      <c r="AH460">
        <v>1</v>
      </c>
      <c r="AI460">
        <v>2.000000000007276</v>
      </c>
      <c r="AJ460">
        <v>3.1331199999999999</v>
      </c>
      <c r="AK460" t="str">
        <v>Base</v>
      </c>
      <c r="AL460">
        <v>-12</v>
      </c>
      <c r="AM460">
        <v>-6.9348209154198814</v>
      </c>
      <c r="AN460">
        <v>-3.1007806837154366</v>
      </c>
      <c r="AO460">
        <v>78.099988723756752</v>
      </c>
      <c r="AP460">
        <v>-27.199996072806442</v>
      </c>
      <c r="AQ460">
        <v>0</v>
      </c>
      <c r="AR460" t="str">
        <v>1613.par</v>
      </c>
      <c r="AV460" t="str">
        <v>0,204,0</v>
      </c>
      <c r="AW460" s="31">
        <v>0</v>
      </c>
      <c r="AX460" s="31">
        <v>78.099988723756752</v>
      </c>
      <c r="AY460" s="31">
        <v>0</v>
      </c>
    </row>
    <row r="461" spans="31:51" x14ac:dyDescent="0.25">
      <c r="AE461">
        <v>3.13</v>
      </c>
      <c r="AF461">
        <v>3</v>
      </c>
      <c r="AG461">
        <v>1</v>
      </c>
      <c r="AH461">
        <v>1</v>
      </c>
      <c r="AI461">
        <v>1.9999999999708962</v>
      </c>
      <c r="AJ461">
        <v>3.1301199999999998</v>
      </c>
      <c r="AK461" t="str">
        <v>Base</v>
      </c>
      <c r="AL461">
        <v>-12</v>
      </c>
      <c r="AM461">
        <v>-6.730020297741218</v>
      </c>
      <c r="AN461">
        <v>-2.3890625643606729</v>
      </c>
      <c r="AO461">
        <v>70.19998986437551</v>
      </c>
      <c r="AP461">
        <v>-24.799996419323509</v>
      </c>
      <c r="AQ461">
        <v>0</v>
      </c>
      <c r="AR461" t="str">
        <v>1613.par</v>
      </c>
      <c r="AV461" t="str">
        <v>0,204,0</v>
      </c>
      <c r="AW461" s="31">
        <v>0</v>
      </c>
      <c r="AX461" s="31">
        <v>70.19998986437551</v>
      </c>
      <c r="AY461" s="31">
        <v>0</v>
      </c>
    </row>
    <row r="462" spans="31:51" x14ac:dyDescent="0.25">
      <c r="AE462">
        <v>3.1269999999999998</v>
      </c>
      <c r="AF462">
        <v>3</v>
      </c>
      <c r="AG462">
        <v>1</v>
      </c>
      <c r="AH462">
        <v>1</v>
      </c>
      <c r="AI462">
        <v>1.9999999999708962</v>
      </c>
      <c r="AJ462">
        <v>3.1271199999999997</v>
      </c>
      <c r="AK462" t="str">
        <v>Base</v>
      </c>
      <c r="AL462">
        <v>-12</v>
      </c>
      <c r="AM462">
        <v>-6.3792192397252263</v>
      </c>
      <c r="AN462">
        <v>-1.7227639566229822</v>
      </c>
      <c r="AO462">
        <v>58.499991553646254</v>
      </c>
      <c r="AP462">
        <v>-21.599996881346282</v>
      </c>
      <c r="AQ462">
        <v>0</v>
      </c>
      <c r="AR462" t="str">
        <v>1613.par</v>
      </c>
      <c r="AV462" t="str">
        <v>0,204,0</v>
      </c>
      <c r="AW462" s="31">
        <v>0</v>
      </c>
      <c r="AX462" s="31">
        <v>58.499991553646254</v>
      </c>
      <c r="AY462" s="31">
        <v>0</v>
      </c>
    </row>
    <row r="463" spans="31:51" x14ac:dyDescent="0.25">
      <c r="AE463">
        <v>3.1240000000000001</v>
      </c>
      <c r="AF463">
        <v>3</v>
      </c>
      <c r="AG463">
        <v>1</v>
      </c>
      <c r="AH463">
        <v>1</v>
      </c>
      <c r="AI463">
        <v>2.000000000007276</v>
      </c>
      <c r="AJ463">
        <v>3.12412</v>
      </c>
      <c r="AK463" t="str">
        <v>Base</v>
      </c>
      <c r="AL463">
        <v>-12</v>
      </c>
      <c r="AM463">
        <v>-5.8779177277998667</v>
      </c>
      <c r="AN463">
        <v>-1.1542657824329043</v>
      </c>
      <c r="AO463">
        <v>46.699993257355175</v>
      </c>
      <c r="AP463">
        <v>-18.099997386683679</v>
      </c>
      <c r="AQ463">
        <v>0</v>
      </c>
      <c r="AR463" t="str">
        <v>1613.par</v>
      </c>
      <c r="AV463" t="str">
        <v>0,204,0</v>
      </c>
      <c r="AW463" s="31">
        <v>0</v>
      </c>
      <c r="AX463" s="31">
        <v>46.699993257355175</v>
      </c>
      <c r="AY463" s="31">
        <v>0</v>
      </c>
    </row>
    <row r="464" spans="31:51" x14ac:dyDescent="0.25">
      <c r="AE464">
        <v>3.121</v>
      </c>
      <c r="AF464">
        <v>3</v>
      </c>
      <c r="AG464">
        <v>1</v>
      </c>
      <c r="AH464">
        <v>1</v>
      </c>
      <c r="AI464">
        <v>2.000000000007276</v>
      </c>
      <c r="AJ464">
        <v>3.1211199999999999</v>
      </c>
      <c r="AK464" t="str">
        <v>Base</v>
      </c>
      <c r="AL464">
        <v>-12</v>
      </c>
      <c r="AM464">
        <v>-5.2601158645094488</v>
      </c>
      <c r="AN464">
        <v>-0.71720029619933134</v>
      </c>
      <c r="AO464">
        <v>34.899994961064216</v>
      </c>
      <c r="AP464">
        <v>-16.499997617695097</v>
      </c>
      <c r="AQ464">
        <v>0</v>
      </c>
      <c r="AR464" t="str">
        <v>1613.par</v>
      </c>
      <c r="AV464" t="str">
        <v>0,204,0</v>
      </c>
      <c r="AW464" s="31">
        <v>0</v>
      </c>
      <c r="AX464" s="31">
        <v>34.899994961064216</v>
      </c>
      <c r="AY464" s="31">
        <v>0</v>
      </c>
    </row>
    <row r="465" spans="31:51" x14ac:dyDescent="0.25">
      <c r="AE465">
        <v>3.1179999999999999</v>
      </c>
      <c r="AF465">
        <v>3</v>
      </c>
      <c r="AG465">
        <v>1</v>
      </c>
      <c r="AH465">
        <v>1</v>
      </c>
      <c r="AI465">
        <v>1.9999999999708962</v>
      </c>
      <c r="AJ465">
        <v>3.1181199999999998</v>
      </c>
      <c r="AK465" t="str">
        <v>Base</v>
      </c>
      <c r="AL465">
        <v>-12</v>
      </c>
      <c r="AM465">
        <v>-4.5544137361118278</v>
      </c>
      <c r="AN465">
        <v>-0.43408277442964482</v>
      </c>
      <c r="AO465">
        <v>22.999996679211449</v>
      </c>
      <c r="AP465">
        <v>-15.699997733200757</v>
      </c>
      <c r="AQ465">
        <v>0</v>
      </c>
      <c r="AR465" t="str">
        <v>1613.par</v>
      </c>
      <c r="AV465" t="str">
        <v>0,204,0</v>
      </c>
      <c r="AW465" s="31">
        <v>0</v>
      </c>
      <c r="AX465" s="31">
        <v>22.999996679211449</v>
      </c>
      <c r="AY465" s="31">
        <v>0</v>
      </c>
    </row>
    <row r="466" spans="31:51" x14ac:dyDescent="0.25">
      <c r="AE466">
        <v>3.1150000000000002</v>
      </c>
      <c r="AF466">
        <v>3</v>
      </c>
      <c r="AG466">
        <v>1</v>
      </c>
      <c r="AH466">
        <v>1</v>
      </c>
      <c r="AI466">
        <v>2.000000000007276</v>
      </c>
      <c r="AJ466">
        <v>3.1151200000000001</v>
      </c>
      <c r="AK466" t="str">
        <v>Base</v>
      </c>
      <c r="AL466">
        <v>-12</v>
      </c>
      <c r="AM466">
        <v>-3.8047114750098086</v>
      </c>
      <c r="AN466">
        <v>-0.32758481371246306</v>
      </c>
      <c r="AO466">
        <v>11.199998382920322</v>
      </c>
      <c r="AP466">
        <v>-15.19999780539186</v>
      </c>
      <c r="AQ466">
        <v>0</v>
      </c>
      <c r="AR466" t="str">
        <v>1613.par</v>
      </c>
      <c r="AV466" t="str">
        <v>0,204,0</v>
      </c>
      <c r="AW466" s="31">
        <v>0</v>
      </c>
      <c r="AX466" s="31">
        <v>11.199998382920322</v>
      </c>
      <c r="AY466" s="31">
        <v>0</v>
      </c>
    </row>
    <row r="467" spans="31:51" x14ac:dyDescent="0.25">
      <c r="AE467">
        <v>3.1120000000000001</v>
      </c>
      <c r="AF467">
        <v>3</v>
      </c>
      <c r="AG467">
        <v>1</v>
      </c>
      <c r="AH467">
        <v>1</v>
      </c>
      <c r="AI467">
        <v>2.000000000007276</v>
      </c>
      <c r="AJ467">
        <v>3.11212</v>
      </c>
      <c r="AK467" t="str">
        <v>Base</v>
      </c>
      <c r="AL467">
        <v>-12</v>
      </c>
      <c r="AM467">
        <v>-3.0632092386390637</v>
      </c>
      <c r="AN467">
        <v>-0.39658953570532779</v>
      </c>
      <c r="AO467">
        <v>-0.39999994224709218</v>
      </c>
      <c r="AP467">
        <v>-14.999997834268255</v>
      </c>
      <c r="AQ467">
        <v>0</v>
      </c>
      <c r="AR467" t="str">
        <v>1613.par</v>
      </c>
      <c r="AV467" t="str">
        <v>0,204,0</v>
      </c>
      <c r="AW467" s="31">
        <v>0</v>
      </c>
      <c r="AX467" s="31">
        <v>-0.39999994224709218</v>
      </c>
      <c r="AY467" s="31">
        <v>0</v>
      </c>
    </row>
    <row r="468" spans="31:51" x14ac:dyDescent="0.25">
      <c r="AE468">
        <v>3.109</v>
      </c>
      <c r="AF468">
        <v>3</v>
      </c>
      <c r="AG468">
        <v>1</v>
      </c>
      <c r="AH468">
        <v>1</v>
      </c>
      <c r="AI468">
        <v>1.9999999999708962</v>
      </c>
      <c r="AJ468">
        <v>3.1091199999999999</v>
      </c>
      <c r="AK468" t="str">
        <v>Base</v>
      </c>
      <c r="AL468">
        <v>-12</v>
      </c>
      <c r="AM468">
        <v>-2.3207069992523097</v>
      </c>
      <c r="AN468">
        <v>-0.59119012261160298</v>
      </c>
      <c r="AO468">
        <v>-2.999999566853591</v>
      </c>
      <c r="AP468">
        <v>-14.999997834268255</v>
      </c>
      <c r="AQ468">
        <v>0</v>
      </c>
      <c r="AR468" t="str">
        <v>1613.par</v>
      </c>
      <c r="AV468" t="str">
        <v>0,204,0</v>
      </c>
      <c r="AW468" s="31">
        <v>0</v>
      </c>
      <c r="AX468" s="31">
        <v>-2.999999566853591</v>
      </c>
      <c r="AY468" s="31">
        <v>0</v>
      </c>
    </row>
    <row r="469" spans="31:51" x14ac:dyDescent="0.25">
      <c r="AE469">
        <v>3.1059999999999999</v>
      </c>
      <c r="AF469">
        <v>3</v>
      </c>
      <c r="AG469">
        <v>1</v>
      </c>
      <c r="AH469">
        <v>1</v>
      </c>
      <c r="AI469">
        <v>1.9999999999708962</v>
      </c>
      <c r="AJ469">
        <v>3.1061199999999998</v>
      </c>
      <c r="AK469" t="str">
        <v>Base</v>
      </c>
      <c r="AL469">
        <v>-12</v>
      </c>
      <c r="AM469">
        <v>-1.578804761675161</v>
      </c>
      <c r="AN469">
        <v>-0.78999072219421151</v>
      </c>
      <c r="AO469">
        <v>-2.9999995668536275</v>
      </c>
      <c r="AP469">
        <v>-14.999997834268255</v>
      </c>
      <c r="AQ469">
        <v>0</v>
      </c>
      <c r="AR469" t="str">
        <v>1613.par</v>
      </c>
      <c r="AV469" t="str">
        <v>0,204,0</v>
      </c>
      <c r="AW469" s="31">
        <v>0</v>
      </c>
      <c r="AX469" s="31">
        <v>-2.9999995668536275</v>
      </c>
      <c r="AY469" s="31">
        <v>0</v>
      </c>
    </row>
    <row r="470" spans="31:51" x14ac:dyDescent="0.25">
      <c r="AE470">
        <v>3.1030000000000002</v>
      </c>
      <c r="AF470">
        <v>3</v>
      </c>
      <c r="AG470">
        <v>1</v>
      </c>
      <c r="AH470">
        <v>1</v>
      </c>
      <c r="AI470">
        <v>2.000000000007276</v>
      </c>
      <c r="AJ470">
        <v>3.1031200000000001</v>
      </c>
      <c r="AK470" t="str">
        <v>Base</v>
      </c>
      <c r="AL470">
        <v>-12</v>
      </c>
      <c r="AM470">
        <v>-0.83590252108200369</v>
      </c>
      <c r="AN470">
        <v>-0.98509131062668076</v>
      </c>
      <c r="AO470">
        <v>-3.999999422471531</v>
      </c>
      <c r="AP470">
        <v>-17.499997473312991</v>
      </c>
      <c r="AQ470">
        <v>0</v>
      </c>
      <c r="AR470" t="str">
        <v>1613.par</v>
      </c>
      <c r="AV470" t="str">
        <v>0,204,0</v>
      </c>
      <c r="AW470" s="31">
        <v>0</v>
      </c>
      <c r="AX470" s="31">
        <v>-3.999999422471531</v>
      </c>
      <c r="AY470" s="31">
        <v>0</v>
      </c>
    </row>
    <row r="471" spans="31:51" x14ac:dyDescent="0.25">
      <c r="AE471">
        <v>2.2349999999999999</v>
      </c>
      <c r="AF471">
        <v>2</v>
      </c>
      <c r="AG471">
        <v>2</v>
      </c>
      <c r="AH471">
        <v>1</v>
      </c>
      <c r="AI471">
        <v>1.9999999999708962</v>
      </c>
      <c r="AJ471">
        <v>2.2351199999999998</v>
      </c>
      <c r="AK471" t="str">
        <v>Base</v>
      </c>
      <c r="AL471">
        <v>-11.25</v>
      </c>
      <c r="AM471">
        <v>-7.0165105337643832</v>
      </c>
      <c r="AN471">
        <v>-3.6755306007311135</v>
      </c>
      <c r="AO471">
        <v>81.139988284835155</v>
      </c>
      <c r="AP471">
        <v>0</v>
      </c>
      <c r="AQ471">
        <v>0</v>
      </c>
      <c r="AR471" t="str">
        <v>32193r1.par</v>
      </c>
      <c r="AV471" t="str">
        <v>255,255,91</v>
      </c>
      <c r="AW471" s="31">
        <v>0</v>
      </c>
      <c r="AX471" s="31">
        <v>81.139988284835155</v>
      </c>
      <c r="AY471" s="31">
        <v>0</v>
      </c>
    </row>
    <row r="472" spans="31:51" x14ac:dyDescent="0.25">
      <c r="AE472">
        <v>2.2320000000000002</v>
      </c>
      <c r="AF472">
        <v>2</v>
      </c>
      <c r="AG472">
        <v>2</v>
      </c>
      <c r="AH472">
        <v>1</v>
      </c>
      <c r="AI472">
        <v>2.000000000007276</v>
      </c>
      <c r="AJ472">
        <v>2.2321200000000001</v>
      </c>
      <c r="AK472" t="str">
        <v>Base</v>
      </c>
      <c r="AL472">
        <v>-11.25</v>
      </c>
      <c r="AM472">
        <v>-6.8662009777270292</v>
      </c>
      <c r="AN472">
        <v>-2.9468943101177487</v>
      </c>
      <c r="AO472">
        <v>75.519989096262663</v>
      </c>
      <c r="AP472">
        <v>0</v>
      </c>
      <c r="AQ472">
        <v>0</v>
      </c>
      <c r="AR472" t="str">
        <v>32193r1.par</v>
      </c>
      <c r="AV472" t="str">
        <v>255,255,91</v>
      </c>
      <c r="AW472" s="31">
        <v>0</v>
      </c>
      <c r="AX472" s="31">
        <v>75.519989096262663</v>
      </c>
      <c r="AY472" s="31">
        <v>0</v>
      </c>
    </row>
    <row r="473" spans="31:51" x14ac:dyDescent="0.25">
      <c r="AE473">
        <v>2.2290000000000001</v>
      </c>
      <c r="AF473">
        <v>2</v>
      </c>
      <c r="AG473">
        <v>2</v>
      </c>
      <c r="AH473">
        <v>1</v>
      </c>
      <c r="AI473">
        <v>2.000000000007276</v>
      </c>
      <c r="AJ473">
        <v>2.22912</v>
      </c>
      <c r="AK473" t="str">
        <v>Base</v>
      </c>
      <c r="AL473">
        <v>-11.25</v>
      </c>
      <c r="AM473">
        <v>-6.6290549725447221</v>
      </c>
      <c r="AN473">
        <v>-2.2412428147623054</v>
      </c>
      <c r="AO473">
        <v>65.009990613718685</v>
      </c>
      <c r="AP473">
        <v>0</v>
      </c>
      <c r="AQ473">
        <v>0</v>
      </c>
      <c r="AR473" t="str">
        <v>32193r1.par</v>
      </c>
      <c r="AV473" t="str">
        <v>255,255,91</v>
      </c>
      <c r="AW473" s="31">
        <v>0</v>
      </c>
      <c r="AX473" s="31">
        <v>65.009990613718685</v>
      </c>
      <c r="AY473" s="31">
        <v>0</v>
      </c>
    </row>
    <row r="474" spans="31:51" x14ac:dyDescent="0.25">
      <c r="AE474">
        <v>2.226</v>
      </c>
      <c r="AF474">
        <v>2</v>
      </c>
      <c r="AG474">
        <v>2</v>
      </c>
      <c r="AH474">
        <v>1</v>
      </c>
      <c r="AI474">
        <v>1.9999999999708962</v>
      </c>
      <c r="AJ474">
        <v>2.2261199999999999</v>
      </c>
      <c r="AK474" t="str">
        <v>Base</v>
      </c>
      <c r="AL474">
        <v>-11.25</v>
      </c>
      <c r="AM474">
        <v>-6.2307698386228481</v>
      </c>
      <c r="AN474">
        <v>-1.5983833295365821</v>
      </c>
      <c r="AO474">
        <v>51.44999257154015</v>
      </c>
      <c r="AP474">
        <v>0</v>
      </c>
      <c r="AQ474">
        <v>0</v>
      </c>
      <c r="AR474" t="str">
        <v>32193r1.par</v>
      </c>
      <c r="AV474" t="str">
        <v>255,255,91</v>
      </c>
      <c r="AW474" s="31">
        <v>0</v>
      </c>
      <c r="AX474" s="31">
        <v>51.44999257154015</v>
      </c>
      <c r="AY474" s="31">
        <v>0</v>
      </c>
    </row>
    <row r="475" spans="31:51" x14ac:dyDescent="0.25">
      <c r="AE475">
        <v>2.2229999999999999</v>
      </c>
      <c r="AF475">
        <v>2</v>
      </c>
      <c r="AG475">
        <v>2</v>
      </c>
      <c r="AH475">
        <v>1</v>
      </c>
      <c r="AI475">
        <v>1.9999999999708962</v>
      </c>
      <c r="AJ475">
        <v>2.2231199999999998</v>
      </c>
      <c r="AK475" t="str">
        <v>Base</v>
      </c>
      <c r="AL475">
        <v>-11.25</v>
      </c>
      <c r="AM475">
        <v>-5.69201707950619</v>
      </c>
      <c r="AN475">
        <v>-1.0633447475474891</v>
      </c>
      <c r="AO475">
        <v>37.819994539468404</v>
      </c>
      <c r="AP475">
        <v>0</v>
      </c>
      <c r="AQ475">
        <v>0</v>
      </c>
      <c r="AR475" t="str">
        <v>32193r1.par</v>
      </c>
      <c r="AV475" t="str">
        <v>255,255,91</v>
      </c>
      <c r="AW475" s="31">
        <v>0</v>
      </c>
      <c r="AX475" s="31">
        <v>37.819994539468404</v>
      </c>
      <c r="AY475" s="31">
        <v>0</v>
      </c>
    </row>
    <row r="476" spans="31:51" x14ac:dyDescent="0.25">
      <c r="AE476">
        <v>2.2200000000000002</v>
      </c>
      <c r="AF476">
        <v>2</v>
      </c>
      <c r="AG476">
        <v>2</v>
      </c>
      <c r="AH476">
        <v>1</v>
      </c>
      <c r="AI476">
        <v>2.000000000007276</v>
      </c>
      <c r="AJ476">
        <v>2.2201200000000001</v>
      </c>
      <c r="AK476" t="str">
        <v>Base</v>
      </c>
      <c r="AL476">
        <v>-11.25</v>
      </c>
      <c r="AM476">
        <v>-5.0413149669126422</v>
      </c>
      <c r="AN476">
        <v>-0.67158437115136493</v>
      </c>
      <c r="AO476">
        <v>24.199996505952807</v>
      </c>
      <c r="AP476">
        <v>0</v>
      </c>
      <c r="AQ476">
        <v>0</v>
      </c>
      <c r="AR476" t="str">
        <v>32193r1.par</v>
      </c>
      <c r="AV476" t="str">
        <v>255,255,91</v>
      </c>
      <c r="AW476" s="31">
        <v>0</v>
      </c>
      <c r="AX476" s="31">
        <v>24.199996505952807</v>
      </c>
      <c r="AY476" s="31">
        <v>0</v>
      </c>
    </row>
    <row r="477" spans="31:51" x14ac:dyDescent="0.25">
      <c r="AE477">
        <v>2.2170000000000001</v>
      </c>
      <c r="AF477">
        <v>2</v>
      </c>
      <c r="AG477">
        <v>2</v>
      </c>
      <c r="AH477">
        <v>1</v>
      </c>
      <c r="AI477">
        <v>2.000000000007276</v>
      </c>
      <c r="AJ477">
        <v>2.21712</v>
      </c>
      <c r="AK477" t="str">
        <v>Base</v>
      </c>
      <c r="AL477">
        <v>-11.25</v>
      </c>
      <c r="AM477">
        <v>-4.3088536342635777</v>
      </c>
      <c r="AN477">
        <v>-0.44276156878859896</v>
      </c>
      <c r="AO477">
        <v>10.429998494094541</v>
      </c>
      <c r="AP477">
        <v>0</v>
      </c>
      <c r="AQ477">
        <v>0</v>
      </c>
      <c r="AR477" t="str">
        <v>32193r1.par</v>
      </c>
      <c r="AV477" t="str">
        <v>255,255,91</v>
      </c>
      <c r="AW477" s="31">
        <v>0</v>
      </c>
      <c r="AX477" s="31">
        <v>10.429998494094541</v>
      </c>
      <c r="AY477" s="31">
        <v>0</v>
      </c>
    </row>
    <row r="478" spans="31:51" x14ac:dyDescent="0.25">
      <c r="AE478">
        <v>2.1379999999999999</v>
      </c>
      <c r="AF478">
        <v>2</v>
      </c>
      <c r="AG478">
        <v>1</v>
      </c>
      <c r="AH478">
        <v>1</v>
      </c>
      <c r="AI478">
        <v>1.9999999999708962</v>
      </c>
      <c r="AJ478">
        <v>2.1381199999999998</v>
      </c>
      <c r="AK478" t="str">
        <v>Base</v>
      </c>
      <c r="AL478">
        <v>-10.5</v>
      </c>
      <c r="AM478">
        <v>-7.1349215189233002</v>
      </c>
      <c r="AN478">
        <v>-4.4181942784300849</v>
      </c>
      <c r="AO478">
        <v>87.999987294373824</v>
      </c>
      <c r="AP478">
        <v>-32.399995322019493</v>
      </c>
      <c r="AQ478">
        <v>0</v>
      </c>
      <c r="AR478" t="str">
        <v>1613.par</v>
      </c>
      <c r="AV478" t="str">
        <v>204,204,0</v>
      </c>
      <c r="AW478" s="31">
        <v>0</v>
      </c>
      <c r="AX478" s="31">
        <v>87.999987294373824</v>
      </c>
      <c r="AY478" s="31">
        <v>0</v>
      </c>
    </row>
    <row r="479" spans="31:51" x14ac:dyDescent="0.25">
      <c r="AE479">
        <v>2.1349999999999998</v>
      </c>
      <c r="AF479">
        <v>2</v>
      </c>
      <c r="AG479">
        <v>1</v>
      </c>
      <c r="AH479">
        <v>1</v>
      </c>
      <c r="AI479">
        <v>1.9999999999708962</v>
      </c>
      <c r="AJ479">
        <v>2.1351199999999997</v>
      </c>
      <c r="AK479" t="str">
        <v>Base</v>
      </c>
      <c r="AL479">
        <v>-10.5</v>
      </c>
      <c r="AM479">
        <v>-7.0330212115919748</v>
      </c>
      <c r="AN479">
        <v>-3.6670863877904276</v>
      </c>
      <c r="AO479">
        <v>81.999988160666504</v>
      </c>
      <c r="AP479">
        <v>-29.099995798480432</v>
      </c>
      <c r="AQ479">
        <v>0</v>
      </c>
      <c r="AR479" t="str">
        <v>1613.par</v>
      </c>
      <c r="AV479" t="str">
        <v>204,204,0</v>
      </c>
      <c r="AW479" s="31">
        <v>0</v>
      </c>
      <c r="AX479" s="31">
        <v>81.999988160666504</v>
      </c>
      <c r="AY479" s="31">
        <v>0</v>
      </c>
    </row>
    <row r="480" spans="31:51" x14ac:dyDescent="0.25">
      <c r="AE480">
        <v>2.1320000000000001</v>
      </c>
      <c r="AF480">
        <v>2</v>
      </c>
      <c r="AG480">
        <v>1</v>
      </c>
      <c r="AH480">
        <v>1</v>
      </c>
      <c r="AI480">
        <v>2.000000000007276</v>
      </c>
      <c r="AJ480">
        <v>2.13212</v>
      </c>
      <c r="AK480" t="str">
        <v>Base</v>
      </c>
      <c r="AL480">
        <v>-10.5</v>
      </c>
      <c r="AM480">
        <v>-6.8749207347609369</v>
      </c>
      <c r="AN480">
        <v>-2.9389284273303828</v>
      </c>
      <c r="AO480">
        <v>76.099989012521036</v>
      </c>
      <c r="AP480">
        <v>-26.399996188312151</v>
      </c>
      <c r="AQ480">
        <v>0</v>
      </c>
      <c r="AR480" t="str">
        <v>1613.par</v>
      </c>
      <c r="AV480" t="str">
        <v>204,204,0</v>
      </c>
      <c r="AW480" s="31">
        <v>0</v>
      </c>
      <c r="AX480" s="31">
        <v>76.099989012521036</v>
      </c>
      <c r="AY480" s="31">
        <v>0</v>
      </c>
    </row>
    <row r="481" spans="31:51" x14ac:dyDescent="0.25">
      <c r="AE481">
        <v>2.129</v>
      </c>
      <c r="AF481">
        <v>2</v>
      </c>
      <c r="AG481">
        <v>1</v>
      </c>
      <c r="AH481">
        <v>1</v>
      </c>
      <c r="AI481">
        <v>2.000000000007276</v>
      </c>
      <c r="AJ481">
        <v>2.1291199999999999</v>
      </c>
      <c r="AK481" t="str">
        <v>Base</v>
      </c>
      <c r="AL481">
        <v>-10.5</v>
      </c>
      <c r="AM481">
        <v>-6.6310199991563152</v>
      </c>
      <c r="AN481">
        <v>-2.2350432481714999</v>
      </c>
      <c r="AO481">
        <v>66.299990427465758</v>
      </c>
      <c r="AP481">
        <v>-23.799996563705651</v>
      </c>
      <c r="AQ481">
        <v>0</v>
      </c>
      <c r="AR481" t="str">
        <v>1613.par</v>
      </c>
      <c r="AV481" t="str">
        <v>204,204,0</v>
      </c>
      <c r="AW481" s="31">
        <v>0</v>
      </c>
      <c r="AX481" s="31">
        <v>66.299990427465758</v>
      </c>
      <c r="AY481" s="31">
        <v>0</v>
      </c>
    </row>
    <row r="482" spans="31:51" x14ac:dyDescent="0.25">
      <c r="AE482">
        <v>2.1259999999999999</v>
      </c>
      <c r="AF482">
        <v>2</v>
      </c>
      <c r="AG482">
        <v>1</v>
      </c>
      <c r="AH482">
        <v>1</v>
      </c>
      <c r="AI482">
        <v>1.9999999999708962</v>
      </c>
      <c r="AJ482">
        <v>2.1261199999999998</v>
      </c>
      <c r="AK482" t="str">
        <v>Base</v>
      </c>
      <c r="AL482">
        <v>-10.5</v>
      </c>
      <c r="AM482">
        <v>-6.226118777974234</v>
      </c>
      <c r="AN482">
        <v>-1.5970847952164293</v>
      </c>
      <c r="AO482">
        <v>54.599992116736487</v>
      </c>
      <c r="AP482">
        <v>-20.499997040166612</v>
      </c>
      <c r="AQ482">
        <v>0</v>
      </c>
      <c r="AR482" t="str">
        <v>1613.par</v>
      </c>
      <c r="AV482" t="str">
        <v>204,204,0</v>
      </c>
      <c r="AW482" s="31">
        <v>0</v>
      </c>
      <c r="AX482" s="31">
        <v>54.599992116736487</v>
      </c>
      <c r="AY482" s="31">
        <v>0</v>
      </c>
    </row>
    <row r="483" spans="31:51" x14ac:dyDescent="0.25">
      <c r="AE483">
        <v>2.1230000000000002</v>
      </c>
      <c r="AF483">
        <v>2</v>
      </c>
      <c r="AG483">
        <v>1</v>
      </c>
      <c r="AH483">
        <v>1</v>
      </c>
      <c r="AI483">
        <v>2.000000000007276</v>
      </c>
      <c r="AJ483">
        <v>2.1231200000000001</v>
      </c>
      <c r="AK483" t="str">
        <v>Base</v>
      </c>
      <c r="AL483">
        <v>-10.5</v>
      </c>
      <c r="AM483">
        <v>-5.6833171408844958</v>
      </c>
      <c r="AN483">
        <v>-1.0690048678705029</v>
      </c>
      <c r="AO483">
        <v>42.799993820445501</v>
      </c>
      <c r="AP483">
        <v>-17.09999753106581</v>
      </c>
      <c r="AQ483">
        <v>0</v>
      </c>
      <c r="AR483" t="str">
        <v>1613.par</v>
      </c>
      <c r="AV483" t="str">
        <v>204,204,0</v>
      </c>
      <c r="AW483" s="31">
        <v>0</v>
      </c>
      <c r="AX483" s="31">
        <v>42.799993820445501</v>
      </c>
      <c r="AY483" s="31">
        <v>0</v>
      </c>
    </row>
    <row r="484" spans="31:51" x14ac:dyDescent="0.25">
      <c r="AE484">
        <v>2.12</v>
      </c>
      <c r="AF484">
        <v>2</v>
      </c>
      <c r="AG484">
        <v>1</v>
      </c>
      <c r="AH484">
        <v>1</v>
      </c>
      <c r="AI484">
        <v>2.000000000007276</v>
      </c>
      <c r="AJ484">
        <v>2.12012</v>
      </c>
      <c r="AK484" t="str">
        <v>Base</v>
      </c>
      <c r="AL484">
        <v>-10.5</v>
      </c>
      <c r="AM484">
        <v>-5.0339151822881893</v>
      </c>
      <c r="AN484">
        <v>-0.68093244608906511</v>
      </c>
      <c r="AO484">
        <v>31.099995509716226</v>
      </c>
      <c r="AP484">
        <v>-16.299997646571494</v>
      </c>
      <c r="AQ484">
        <v>0</v>
      </c>
      <c r="AR484" t="str">
        <v>1613.par</v>
      </c>
      <c r="AV484" t="str">
        <v>204,204,0</v>
      </c>
      <c r="AW484" s="31">
        <v>0</v>
      </c>
      <c r="AX484" s="31">
        <v>31.099995509716226</v>
      </c>
      <c r="AY484" s="31">
        <v>0</v>
      </c>
    </row>
    <row r="485" spans="31:51" x14ac:dyDescent="0.25">
      <c r="AE485">
        <v>2.117</v>
      </c>
      <c r="AF485">
        <v>2</v>
      </c>
      <c r="AG485">
        <v>1</v>
      </c>
      <c r="AH485">
        <v>1</v>
      </c>
      <c r="AI485">
        <v>1.9999999999708962</v>
      </c>
      <c r="AJ485">
        <v>2.1171199999999999</v>
      </c>
      <c r="AK485" t="str">
        <v>Base</v>
      </c>
      <c r="AL485">
        <v>-10.5</v>
      </c>
      <c r="AM485">
        <v>-4.3037129799983482</v>
      </c>
      <c r="AN485">
        <v>-0.45527301441264362</v>
      </c>
      <c r="AO485">
        <v>18.999997256739832</v>
      </c>
      <c r="AP485">
        <v>-15.499997762077202</v>
      </c>
      <c r="AQ485">
        <v>0</v>
      </c>
      <c r="AR485" t="str">
        <v>1613.par</v>
      </c>
      <c r="AV485" t="str">
        <v>204,204,0</v>
      </c>
      <c r="AW485" s="31">
        <v>0</v>
      </c>
      <c r="AX485" s="31">
        <v>18.999997256739832</v>
      </c>
      <c r="AY485" s="31">
        <v>0</v>
      </c>
    </row>
    <row r="486" spans="31:51" x14ac:dyDescent="0.25">
      <c r="AE486">
        <v>2.1139999999999999</v>
      </c>
      <c r="AF486">
        <v>2</v>
      </c>
      <c r="AG486">
        <v>1</v>
      </c>
      <c r="AH486">
        <v>1</v>
      </c>
      <c r="AI486">
        <v>1.9999999999708962</v>
      </c>
      <c r="AJ486">
        <v>2.1141199999999998</v>
      </c>
      <c r="AK486" t="str">
        <v>Base</v>
      </c>
      <c r="AL486">
        <v>-10.5</v>
      </c>
      <c r="AM486">
        <v>-3.5593107348811763</v>
      </c>
      <c r="AN486">
        <v>-0.40728349432663413</v>
      </c>
      <c r="AO486">
        <v>7.3999989315723473</v>
      </c>
      <c r="AP486">
        <v>-15.099997819830071</v>
      </c>
      <c r="AQ486">
        <v>0</v>
      </c>
      <c r="AR486" t="str">
        <v>1613.par</v>
      </c>
      <c r="AV486" t="str">
        <v>204,204,0</v>
      </c>
      <c r="AW486" s="31">
        <v>0</v>
      </c>
      <c r="AX486" s="31">
        <v>7.3999989315723473</v>
      </c>
      <c r="AY486" s="31">
        <v>0</v>
      </c>
    </row>
    <row r="487" spans="31:51" x14ac:dyDescent="0.25">
      <c r="AE487">
        <v>1.2370000000000001</v>
      </c>
      <c r="AF487">
        <v>1</v>
      </c>
      <c r="AG487">
        <v>2</v>
      </c>
      <c r="AH487">
        <v>1</v>
      </c>
      <c r="AI487">
        <v>2.000000000007276</v>
      </c>
      <c r="AJ487">
        <v>1.23712</v>
      </c>
      <c r="AK487" t="str">
        <v>Base</v>
      </c>
      <c r="AL487">
        <v>-9.75</v>
      </c>
      <c r="AM487">
        <v>-7.0763183047111937</v>
      </c>
      <c r="AN487">
        <v>-4.1758606251886228</v>
      </c>
      <c r="AO487">
        <v>84.909987740514595</v>
      </c>
      <c r="AP487">
        <v>0</v>
      </c>
      <c r="AQ487">
        <v>0</v>
      </c>
      <c r="AR487" t="str">
        <v>32193r1.par</v>
      </c>
      <c r="AV487" t="str">
        <v>255,188,121</v>
      </c>
      <c r="AW487" s="31">
        <v>0</v>
      </c>
      <c r="AX487" s="31">
        <v>84.909987740514595</v>
      </c>
      <c r="AY487" s="31">
        <v>0</v>
      </c>
    </row>
    <row r="488" spans="31:51" x14ac:dyDescent="0.25">
      <c r="AE488">
        <v>1.234</v>
      </c>
      <c r="AF488">
        <v>1</v>
      </c>
      <c r="AG488">
        <v>2</v>
      </c>
      <c r="AH488">
        <v>1</v>
      </c>
      <c r="AI488">
        <v>1.9999999999890861</v>
      </c>
      <c r="AJ488">
        <v>1.2341199999999999</v>
      </c>
      <c r="AK488" t="str">
        <v>Base</v>
      </c>
      <c r="AL488">
        <v>-9.75</v>
      </c>
      <c r="AM488">
        <v>-6.9745354852076851</v>
      </c>
      <c r="AN488">
        <v>-3.4313929147140878</v>
      </c>
      <c r="AO488">
        <v>79.239988559161176</v>
      </c>
      <c r="AP488">
        <v>0</v>
      </c>
      <c r="AQ488">
        <v>0</v>
      </c>
      <c r="AR488" t="str">
        <v>32193r1.par</v>
      </c>
      <c r="AV488" t="str">
        <v>255,188,121</v>
      </c>
      <c r="AW488" s="31">
        <v>0</v>
      </c>
      <c r="AX488" s="31">
        <v>79.239988559161176</v>
      </c>
      <c r="AY488" s="31">
        <v>0</v>
      </c>
    </row>
    <row r="489" spans="31:51" x14ac:dyDescent="0.25">
      <c r="AE489">
        <v>1.2310000000000001</v>
      </c>
      <c r="AF489">
        <v>1</v>
      </c>
      <c r="AG489">
        <v>2</v>
      </c>
      <c r="AH489">
        <v>1</v>
      </c>
      <c r="AI489">
        <v>2.000000000007276</v>
      </c>
      <c r="AJ489">
        <v>1.23112</v>
      </c>
      <c r="AK489" t="str">
        <v>Base</v>
      </c>
      <c r="AL489">
        <v>-9.75</v>
      </c>
      <c r="AM489">
        <v>-6.8042623594709379</v>
      </c>
      <c r="AN489">
        <v>-2.7139028161814043</v>
      </c>
      <c r="AO489">
        <v>73.979989318611075</v>
      </c>
      <c r="AP489">
        <v>0</v>
      </c>
      <c r="AQ489">
        <v>0</v>
      </c>
      <c r="AR489" t="str">
        <v>32193r1.par</v>
      </c>
      <c r="AV489" t="str">
        <v>255,188,121</v>
      </c>
      <c r="AW489" s="31">
        <v>0</v>
      </c>
      <c r="AX489" s="31">
        <v>73.979989318611075</v>
      </c>
      <c r="AY489" s="31">
        <v>0</v>
      </c>
    </row>
    <row r="490" spans="31:51" x14ac:dyDescent="0.25">
      <c r="AE490">
        <v>1.228</v>
      </c>
      <c r="AF490">
        <v>1</v>
      </c>
      <c r="AG490">
        <v>2</v>
      </c>
      <c r="AH490">
        <v>1</v>
      </c>
      <c r="AI490">
        <v>1.9999999999890861</v>
      </c>
      <c r="AJ490">
        <v>1.2281199999999999</v>
      </c>
      <c r="AK490" t="str">
        <v>Base</v>
      </c>
      <c r="AL490">
        <v>-9.75</v>
      </c>
      <c r="AM490">
        <v>-6.514929708695929</v>
      </c>
      <c r="AN490">
        <v>-2.0219645509897788</v>
      </c>
      <c r="AO490">
        <v>60.52999126055056</v>
      </c>
      <c r="AP490">
        <v>0</v>
      </c>
      <c r="AQ490">
        <v>0</v>
      </c>
      <c r="AR490" t="str">
        <v>32193r1.par</v>
      </c>
      <c r="AV490" t="str">
        <v>255,188,121</v>
      </c>
      <c r="AW490" s="31">
        <v>0</v>
      </c>
      <c r="AX490" s="31">
        <v>60.52999126055056</v>
      </c>
      <c r="AY490" s="31">
        <v>0</v>
      </c>
    </row>
    <row r="491" spans="31:51" x14ac:dyDescent="0.25">
      <c r="AE491">
        <v>1.2250000000000001</v>
      </c>
      <c r="AF491">
        <v>1</v>
      </c>
      <c r="AG491">
        <v>2</v>
      </c>
      <c r="AH491">
        <v>1</v>
      </c>
      <c r="AI491">
        <v>2.000000000007276</v>
      </c>
      <c r="AJ491">
        <v>1.22512</v>
      </c>
      <c r="AK491" t="str">
        <v>Base</v>
      </c>
      <c r="AL491">
        <v>-9.75</v>
      </c>
      <c r="AM491">
        <v>-6.0655624547724605</v>
      </c>
      <c r="AN491">
        <v>-1.4095331031925091</v>
      </c>
      <c r="AO491">
        <v>46.899993228478813</v>
      </c>
      <c r="AP491">
        <v>0</v>
      </c>
      <c r="AQ491">
        <v>0</v>
      </c>
      <c r="AR491" t="str">
        <v>32193r1.par</v>
      </c>
      <c r="AV491" t="str">
        <v>255,188,121</v>
      </c>
      <c r="AW491" s="31">
        <v>0</v>
      </c>
      <c r="AX491" s="31">
        <v>46.899993228478813</v>
      </c>
      <c r="AY491" s="31">
        <v>0</v>
      </c>
    </row>
    <row r="492" spans="31:51" x14ac:dyDescent="0.25">
      <c r="AE492">
        <v>1.222</v>
      </c>
      <c r="AF492">
        <v>1</v>
      </c>
      <c r="AG492">
        <v>2</v>
      </c>
      <c r="AH492">
        <v>1</v>
      </c>
      <c r="AI492">
        <v>1.9999999999890861</v>
      </c>
      <c r="AJ492">
        <v>1.2221199999999999</v>
      </c>
      <c r="AK492" t="str">
        <v>Base</v>
      </c>
      <c r="AL492">
        <v>-9.75</v>
      </c>
      <c r="AM492">
        <v>-5.4860015733948257</v>
      </c>
      <c r="AN492">
        <v>-0.91883499269376556</v>
      </c>
      <c r="AO492">
        <v>33.279995194963199</v>
      </c>
      <c r="AP492">
        <v>0</v>
      </c>
      <c r="AQ492">
        <v>0</v>
      </c>
      <c r="AR492" t="str">
        <v>32193r1.par</v>
      </c>
      <c r="AV492" t="str">
        <v>255,188,121</v>
      </c>
      <c r="AW492" s="31">
        <v>0</v>
      </c>
      <c r="AX492" s="31">
        <v>33.279995194963199</v>
      </c>
      <c r="AY492" s="31">
        <v>0</v>
      </c>
    </row>
    <row r="493" spans="31:51" x14ac:dyDescent="0.25">
      <c r="AE493">
        <v>1.2190000000000001</v>
      </c>
      <c r="AF493">
        <v>1</v>
      </c>
      <c r="AG493">
        <v>2</v>
      </c>
      <c r="AH493">
        <v>1</v>
      </c>
      <c r="AI493">
        <v>1.9999999999890861</v>
      </c>
      <c r="AJ493">
        <v>1.21912</v>
      </c>
      <c r="AK493" t="str">
        <v>Base</v>
      </c>
      <c r="AL493">
        <v>-9.75</v>
      </c>
      <c r="AM493">
        <v>-4.8061705690502698</v>
      </c>
      <c r="AN493">
        <v>-0.57976936238872634</v>
      </c>
      <c r="AO493">
        <v>19.649997162891438</v>
      </c>
      <c r="AP493">
        <v>0</v>
      </c>
      <c r="AQ493">
        <v>0</v>
      </c>
      <c r="AR493" t="str">
        <v>32193r1.par</v>
      </c>
      <c r="AV493" t="str">
        <v>255,188,121</v>
      </c>
      <c r="AW493" s="31">
        <v>0</v>
      </c>
      <c r="AX493" s="31">
        <v>19.649997162891438</v>
      </c>
      <c r="AY493" s="31">
        <v>0</v>
      </c>
    </row>
    <row r="494" spans="31:51" x14ac:dyDescent="0.25">
      <c r="AE494">
        <v>1.216</v>
      </c>
      <c r="AF494">
        <v>1</v>
      </c>
      <c r="AG494">
        <v>2</v>
      </c>
      <c r="AH494">
        <v>1</v>
      </c>
      <c r="AI494">
        <v>1.9999999999890861</v>
      </c>
      <c r="AJ494">
        <v>1.2161199999999999</v>
      </c>
      <c r="AK494" t="str">
        <v>Base</v>
      </c>
      <c r="AL494">
        <v>-9.75</v>
      </c>
      <c r="AM494">
        <v>-4.0538913077739727</v>
      </c>
      <c r="AN494">
        <v>-0.40960213927288336</v>
      </c>
      <c r="AO494">
        <v>5.809999161139908</v>
      </c>
      <c r="AP494">
        <v>0</v>
      </c>
      <c r="AQ494">
        <v>0</v>
      </c>
      <c r="AR494" t="str">
        <v>32193r1.par</v>
      </c>
      <c r="AV494" t="str">
        <v>255,188,121</v>
      </c>
      <c r="AW494" s="31">
        <v>0</v>
      </c>
      <c r="AX494" s="31">
        <v>5.809999161139908</v>
      </c>
      <c r="AY494" s="31">
        <v>0</v>
      </c>
    </row>
    <row r="495" spans="31:51" x14ac:dyDescent="0.25">
      <c r="AE495">
        <v>1.1399999999999999</v>
      </c>
      <c r="AF495">
        <v>1</v>
      </c>
      <c r="AG495">
        <v>1</v>
      </c>
      <c r="AH495">
        <v>1</v>
      </c>
      <c r="AI495">
        <v>1.9999999999890861</v>
      </c>
      <c r="AJ495">
        <v>1.1401199999999998</v>
      </c>
      <c r="AK495" t="str">
        <v>Base</v>
      </c>
      <c r="AL495">
        <v>-9</v>
      </c>
      <c r="AM495">
        <v>-7.1349215217547588</v>
      </c>
      <c r="AN495">
        <v>-4.9280627845615843</v>
      </c>
      <c r="AO495">
        <v>87.999987296345381</v>
      </c>
      <c r="AP495">
        <v>-32.399995357848091</v>
      </c>
      <c r="AQ495">
        <v>0</v>
      </c>
      <c r="AR495" t="str">
        <v>1613.par</v>
      </c>
      <c r="AV495" t="str">
        <v>255,127,0</v>
      </c>
      <c r="AW495" s="31">
        <v>0</v>
      </c>
      <c r="AX495" s="31">
        <v>87.999987296345381</v>
      </c>
      <c r="AY495" s="31">
        <v>0</v>
      </c>
    </row>
    <row r="496" spans="31:51" x14ac:dyDescent="0.25">
      <c r="AE496">
        <v>1.137</v>
      </c>
      <c r="AF496">
        <v>1</v>
      </c>
      <c r="AG496">
        <v>1</v>
      </c>
      <c r="AH496">
        <v>1</v>
      </c>
      <c r="AI496">
        <v>1.9999999999890861</v>
      </c>
      <c r="AJ496">
        <v>1.1371199999999999</v>
      </c>
      <c r="AK496" t="str">
        <v>Base</v>
      </c>
      <c r="AL496">
        <v>-9</v>
      </c>
      <c r="AM496">
        <v>-7.0993214168333942</v>
      </c>
      <c r="AN496">
        <v>-4.1679936168420326</v>
      </c>
      <c r="AO496">
        <v>85.999987591262339</v>
      </c>
      <c r="AP496">
        <v>-31.199995565640261</v>
      </c>
      <c r="AQ496">
        <v>0</v>
      </c>
      <c r="AR496" t="str">
        <v>1613.par</v>
      </c>
      <c r="AV496" t="str">
        <v>255,127,0</v>
      </c>
      <c r="AW496" s="31">
        <v>0</v>
      </c>
      <c r="AX496" s="31">
        <v>85.999987591262339</v>
      </c>
      <c r="AY496" s="31">
        <v>0</v>
      </c>
    </row>
    <row r="497" spans="31:51" x14ac:dyDescent="0.25">
      <c r="AE497">
        <v>1.1339999999999999</v>
      </c>
      <c r="AF497">
        <v>1</v>
      </c>
      <c r="AG497">
        <v>1</v>
      </c>
      <c r="AH497">
        <v>1</v>
      </c>
      <c r="AI497">
        <v>1.9999999999708962</v>
      </c>
      <c r="AJ497">
        <v>1.1341199999999998</v>
      </c>
      <c r="AK497" t="str">
        <v>Base</v>
      </c>
      <c r="AL497">
        <v>-9</v>
      </c>
      <c r="AM497">
        <v>-6.9875210848493108</v>
      </c>
      <c r="AN497">
        <v>-3.4230943546116013</v>
      </c>
      <c r="AO497">
        <v>80.099988488520111</v>
      </c>
      <c r="AP497">
        <v>-27.899996134127584</v>
      </c>
      <c r="AQ497">
        <v>0</v>
      </c>
      <c r="AR497" t="str">
        <v>1613.par</v>
      </c>
      <c r="AV497" t="str">
        <v>255,127,0</v>
      </c>
      <c r="AW497" s="31">
        <v>0</v>
      </c>
      <c r="AX497" s="31">
        <v>80.099988488520111</v>
      </c>
      <c r="AY497" s="31">
        <v>0</v>
      </c>
    </row>
    <row r="498" spans="31:51" x14ac:dyDescent="0.25">
      <c r="AE498">
        <v>1.131</v>
      </c>
      <c r="AF498">
        <v>1</v>
      </c>
      <c r="AG498">
        <v>1</v>
      </c>
      <c r="AH498">
        <v>1</v>
      </c>
      <c r="AI498">
        <v>1.9999999999890861</v>
      </c>
      <c r="AJ498">
        <v>1.1311199999999999</v>
      </c>
      <c r="AK498" t="str">
        <v>Base</v>
      </c>
      <c r="AL498">
        <v>-9</v>
      </c>
      <c r="AM498">
        <v>-6.8108205553435051</v>
      </c>
      <c r="AN498">
        <v>-2.7063523292349028</v>
      </c>
      <c r="AO498">
        <v>74.099989446480123</v>
      </c>
      <c r="AP498">
        <v>-25.599996548029999</v>
      </c>
      <c r="AQ498">
        <v>0</v>
      </c>
      <c r="AR498" t="str">
        <v>1613.par</v>
      </c>
      <c r="AV498" t="str">
        <v>255,127,0</v>
      </c>
      <c r="AW498" s="31">
        <v>0</v>
      </c>
      <c r="AX498" s="31">
        <v>74.099989446480123</v>
      </c>
      <c r="AY498" s="31">
        <v>0</v>
      </c>
    </row>
    <row r="499" spans="31:51" x14ac:dyDescent="0.25">
      <c r="AE499">
        <v>1.1279999999999999</v>
      </c>
      <c r="AF499">
        <v>1</v>
      </c>
      <c r="AG499">
        <v>1</v>
      </c>
      <c r="AH499">
        <v>1</v>
      </c>
      <c r="AI499">
        <v>1.9999999999708962</v>
      </c>
      <c r="AJ499">
        <v>1.1281199999999998</v>
      </c>
      <c r="AK499" t="str">
        <v>Base</v>
      </c>
      <c r="AL499">
        <v>-9</v>
      </c>
      <c r="AM499">
        <v>-6.5144196647361827</v>
      </c>
      <c r="AN499">
        <v>-2.0171106614127483</v>
      </c>
      <c r="AO499">
        <v>62.499991427382007</v>
      </c>
      <c r="AP499">
        <v>-22.699997085145576</v>
      </c>
      <c r="AQ499">
        <v>0</v>
      </c>
      <c r="AR499" t="str">
        <v>1613.par</v>
      </c>
      <c r="AV499" t="str">
        <v>255,127,0</v>
      </c>
      <c r="AW499" s="31">
        <v>0</v>
      </c>
      <c r="AX499" s="31">
        <v>62.499991427382007</v>
      </c>
      <c r="AY499" s="31">
        <v>0</v>
      </c>
    </row>
    <row r="500" spans="31:51" x14ac:dyDescent="0.25">
      <c r="AE500">
        <v>1.125</v>
      </c>
      <c r="AF500">
        <v>1</v>
      </c>
      <c r="AG500">
        <v>1</v>
      </c>
      <c r="AH500">
        <v>1</v>
      </c>
      <c r="AI500">
        <v>1.9999999999890861</v>
      </c>
      <c r="AJ500">
        <v>1.1251199999999999</v>
      </c>
      <c r="AK500" t="str">
        <v>Base</v>
      </c>
      <c r="AL500">
        <v>-9</v>
      </c>
      <c r="AM500">
        <v>-6.0591182894398417</v>
      </c>
      <c r="AN500">
        <v>-1.4104859800927938</v>
      </c>
      <c r="AO500">
        <v>50.699993635276748</v>
      </c>
      <c r="AP500">
        <v>-19.299997622218779</v>
      </c>
      <c r="AQ500">
        <v>0</v>
      </c>
      <c r="AR500" t="str">
        <v>1613.par</v>
      </c>
      <c r="AV500" t="str">
        <v>255,127,0</v>
      </c>
      <c r="AW500" s="31">
        <v>0</v>
      </c>
      <c r="AX500" s="31">
        <v>50.699993635276748</v>
      </c>
      <c r="AY500" s="31">
        <v>0</v>
      </c>
    </row>
    <row r="501" spans="31:51" x14ac:dyDescent="0.25">
      <c r="AE501">
        <v>1.1220000000000001</v>
      </c>
      <c r="AF501">
        <v>1</v>
      </c>
      <c r="AG501">
        <v>1</v>
      </c>
      <c r="AH501">
        <v>1</v>
      </c>
      <c r="AI501">
        <v>2.000000000007276</v>
      </c>
      <c r="AJ501">
        <v>1.12212</v>
      </c>
      <c r="AK501" t="str">
        <v>Base</v>
      </c>
      <c r="AL501">
        <v>-9</v>
      </c>
      <c r="AM501">
        <v>-5.477616532026329</v>
      </c>
      <c r="AN501">
        <v>-0.92581729286737213</v>
      </c>
      <c r="AO501">
        <v>38.799996044241624</v>
      </c>
      <c r="AP501">
        <v>-16.799997974008789</v>
      </c>
      <c r="AQ501">
        <v>0</v>
      </c>
      <c r="AR501" t="str">
        <v>1613.par</v>
      </c>
      <c r="AV501" t="str">
        <v>255,127,0</v>
      </c>
      <c r="AW501" s="31">
        <v>0</v>
      </c>
      <c r="AX501" s="31">
        <v>38.799996044241624</v>
      </c>
      <c r="AY501" s="31">
        <v>0</v>
      </c>
    </row>
    <row r="502" spans="31:51" x14ac:dyDescent="0.25">
      <c r="AE502">
        <v>1.119</v>
      </c>
      <c r="AF502">
        <v>1</v>
      </c>
      <c r="AG502">
        <v>1</v>
      </c>
      <c r="AH502">
        <v>1</v>
      </c>
      <c r="AI502">
        <v>1.9999999999890861</v>
      </c>
      <c r="AJ502">
        <v>1.1191199999999999</v>
      </c>
      <c r="AK502" t="str">
        <v>Base</v>
      </c>
      <c r="AL502">
        <v>-9</v>
      </c>
      <c r="AM502">
        <v>-4.7994144837238126</v>
      </c>
      <c r="AN502">
        <v>-0.59032787435058465</v>
      </c>
      <c r="AO502">
        <v>26.999998577869427</v>
      </c>
      <c r="AP502">
        <v>-15.999998051666994</v>
      </c>
      <c r="AQ502">
        <v>0</v>
      </c>
      <c r="AR502" t="str">
        <v>1613.par</v>
      </c>
      <c r="AV502" t="str">
        <v>255,127,0</v>
      </c>
      <c r="AW502" s="31">
        <v>0</v>
      </c>
      <c r="AX502" s="31">
        <v>26.999998577869427</v>
      </c>
      <c r="AY502" s="31">
        <v>0</v>
      </c>
    </row>
    <row r="503" spans="31:51" x14ac:dyDescent="0.25">
      <c r="AE503">
        <v>1.1160000000000001</v>
      </c>
      <c r="AF503">
        <v>1</v>
      </c>
      <c r="AG503">
        <v>1</v>
      </c>
      <c r="AH503">
        <v>1</v>
      </c>
      <c r="AI503">
        <v>2.000000000007276</v>
      </c>
      <c r="AJ503">
        <v>1.11612</v>
      </c>
      <c r="AK503" t="str">
        <v>Base</v>
      </c>
      <c r="AL503">
        <v>-9</v>
      </c>
      <c r="AM503">
        <v>-4.0497122188539496</v>
      </c>
      <c r="AN503">
        <v>-0.42280986704337975</v>
      </c>
      <c r="AO503">
        <v>15.000001306799158</v>
      </c>
      <c r="AP503">
        <v>-15.299998045499139</v>
      </c>
      <c r="AQ503">
        <v>0</v>
      </c>
      <c r="AR503" t="str">
        <v>1613.par</v>
      </c>
      <c r="AV503" t="str">
        <v>255,127,0</v>
      </c>
      <c r="AW503" s="31">
        <v>0</v>
      </c>
      <c r="AX503" s="31">
        <v>15.000001306799158</v>
      </c>
      <c r="AY503" s="31">
        <v>0</v>
      </c>
    </row>
    <row r="504" spans="31:51" x14ac:dyDescent="0.25">
      <c r="AE504">
        <v>1.113</v>
      </c>
      <c r="AF504">
        <v>1</v>
      </c>
      <c r="AG504">
        <v>1</v>
      </c>
      <c r="AH504">
        <v>1</v>
      </c>
      <c r="AI504">
        <v>1.9999999999890861</v>
      </c>
      <c r="AJ504">
        <v>1.1131199999999999</v>
      </c>
      <c r="AK504" t="str">
        <v>Base</v>
      </c>
      <c r="AL504">
        <v>-9</v>
      </c>
      <c r="AM504">
        <v>-3.3149099989555051</v>
      </c>
      <c r="AN504">
        <v>-0.43335052336766583</v>
      </c>
      <c r="AO504">
        <v>3.6000040220107441</v>
      </c>
      <c r="AP504">
        <v>-14.99999791083343</v>
      </c>
      <c r="AQ504">
        <v>0</v>
      </c>
      <c r="AR504" t="str">
        <v>1613.par</v>
      </c>
      <c r="AV504" t="str">
        <v>255,127,0</v>
      </c>
      <c r="AW504" s="31">
        <v>0</v>
      </c>
      <c r="AX504" s="31">
        <v>3.6000040220107441</v>
      </c>
      <c r="AY504" s="31">
        <v>0</v>
      </c>
    </row>
    <row r="505" spans="31:51" x14ac:dyDescent="0.25">
      <c r="AE505">
        <v>1.1100000000000001</v>
      </c>
      <c r="AF505">
        <v>1</v>
      </c>
      <c r="AG505">
        <v>1</v>
      </c>
      <c r="AH505">
        <v>1</v>
      </c>
      <c r="AI505">
        <v>2.000000000007276</v>
      </c>
      <c r="AJ505">
        <v>1.11012</v>
      </c>
      <c r="AK505" t="str">
        <v>Base</v>
      </c>
      <c r="AL505">
        <v>-9</v>
      </c>
      <c r="AM505">
        <v>-2.5680077441214388</v>
      </c>
      <c r="AN505">
        <v>-0.60475104054032292</v>
      </c>
      <c r="AO505">
        <v>-2.9999936970089967</v>
      </c>
      <c r="AP505">
        <v>-14.999997751840365</v>
      </c>
      <c r="AQ505">
        <v>0</v>
      </c>
      <c r="AR505" t="str">
        <v>1613.par</v>
      </c>
      <c r="AV505" t="str">
        <v>255,127,0</v>
      </c>
      <c r="AW505" s="31">
        <v>0</v>
      </c>
      <c r="AX505" s="31">
        <v>-2.9999936970089967</v>
      </c>
      <c r="AY505" s="31">
        <v>0</v>
      </c>
    </row>
    <row r="506" spans="31:51" x14ac:dyDescent="0.25">
      <c r="AE506">
        <v>1.107</v>
      </c>
      <c r="AF506">
        <v>1</v>
      </c>
      <c r="AG506">
        <v>1</v>
      </c>
      <c r="AH506">
        <v>1</v>
      </c>
      <c r="AI506">
        <v>1.9999999999890861</v>
      </c>
      <c r="AJ506">
        <v>1.1071199999999999</v>
      </c>
      <c r="AK506" t="str">
        <v>Base</v>
      </c>
      <c r="AL506">
        <v>-9</v>
      </c>
      <c r="AM506">
        <v>-1.8261055065442908</v>
      </c>
      <c r="AN506">
        <v>-0.80355164056274164</v>
      </c>
      <c r="AO506">
        <v>-2.9999913122339605</v>
      </c>
      <c r="AP506">
        <v>-14.999997718351972</v>
      </c>
      <c r="AQ506">
        <v>0</v>
      </c>
      <c r="AR506" t="str">
        <v>1613.par</v>
      </c>
      <c r="AV506" t="str">
        <v>255,127,0</v>
      </c>
      <c r="AW506" s="31">
        <v>0</v>
      </c>
      <c r="AX506" s="31">
        <v>-2.9999913122339605</v>
      </c>
      <c r="AY506" s="31">
        <v>0</v>
      </c>
    </row>
    <row r="507" spans="31:51" x14ac:dyDescent="0.25">
      <c r="AE507">
        <v>1.1040000000000001</v>
      </c>
      <c r="AF507">
        <v>1</v>
      </c>
      <c r="AG507">
        <v>1</v>
      </c>
      <c r="AH507">
        <v>1</v>
      </c>
      <c r="AI507">
        <v>2.000000000007276</v>
      </c>
      <c r="AJ507">
        <v>1.10412</v>
      </c>
      <c r="AK507" t="str">
        <v>Base</v>
      </c>
      <c r="AL507">
        <v>-9</v>
      </c>
      <c r="AM507">
        <v>-1.0838032676279075</v>
      </c>
      <c r="AN507">
        <v>-1.0009522346014188</v>
      </c>
      <c r="AO507">
        <v>-2.9999857925960174</v>
      </c>
      <c r="AP507">
        <v>-15.999997482891414</v>
      </c>
      <c r="AQ507">
        <v>0</v>
      </c>
      <c r="AR507" t="str">
        <v>1613.par</v>
      </c>
      <c r="AV507" t="str">
        <v>255,127,0</v>
      </c>
      <c r="AW507" s="31">
        <v>0</v>
      </c>
      <c r="AX507" s="31">
        <v>-2.9999857925960174</v>
      </c>
      <c r="AY507" s="31">
        <v>0</v>
      </c>
    </row>
    <row r="508" spans="31:51" x14ac:dyDescent="0.25">
      <c r="AE508">
        <v>1.101</v>
      </c>
      <c r="AF508">
        <v>1</v>
      </c>
      <c r="AG508">
        <v>1</v>
      </c>
      <c r="AH508">
        <v>1</v>
      </c>
      <c r="AI508">
        <v>1.9999999999890861</v>
      </c>
      <c r="AJ508">
        <v>1.1011199999999999</v>
      </c>
      <c r="AK508" t="str">
        <v>Base</v>
      </c>
      <c r="AL508">
        <v>-9</v>
      </c>
      <c r="AM508">
        <v>-0.33880101542602581</v>
      </c>
      <c r="AN508">
        <v>-1.1882527893732369</v>
      </c>
      <c r="AO508">
        <v>-8.9999588850334611</v>
      </c>
      <c r="AP508">
        <v>-22.499994139312239</v>
      </c>
      <c r="AQ508">
        <v>0</v>
      </c>
      <c r="AR508" t="str">
        <v>1613.par</v>
      </c>
      <c r="AV508" t="str">
        <v>255,127,0</v>
      </c>
      <c r="AW508" s="31">
        <v>0</v>
      </c>
      <c r="AX508" s="31">
        <v>-8.9999588850334611</v>
      </c>
      <c r="AY508" s="31">
        <v>0</v>
      </c>
    </row>
    <row r="509" spans="31:51" x14ac:dyDescent="0.25">
      <c r="AE509">
        <v>6.2359999999999998</v>
      </c>
      <c r="AF509">
        <v>6</v>
      </c>
      <c r="AG509">
        <v>2</v>
      </c>
      <c r="AH509">
        <v>2</v>
      </c>
      <c r="AI509">
        <v>1.9999999999708962</v>
      </c>
      <c r="AJ509">
        <v>6.2362199999999994</v>
      </c>
      <c r="AK509">
        <v>6.2361199999999997</v>
      </c>
      <c r="AL509">
        <v>0</v>
      </c>
      <c r="AM509">
        <v>0</v>
      </c>
      <c r="AN509">
        <v>0</v>
      </c>
      <c r="AO509">
        <v>-83.029988011952966</v>
      </c>
      <c r="AP509">
        <v>0</v>
      </c>
      <c r="AQ509">
        <v>0</v>
      </c>
      <c r="AR509" t="str">
        <v>32193r1.par</v>
      </c>
      <c r="AV509" t="str">
        <v>188,121,255</v>
      </c>
      <c r="AW509" s="31">
        <v>0</v>
      </c>
      <c r="AX509" s="31">
        <v>83.029988011952966</v>
      </c>
      <c r="AY509" s="31">
        <v>-83.029988011952966</v>
      </c>
    </row>
    <row r="510" spans="31:51" x14ac:dyDescent="0.25">
      <c r="AE510">
        <v>6.2329999999999997</v>
      </c>
      <c r="AF510">
        <v>6</v>
      </c>
      <c r="AG510">
        <v>2</v>
      </c>
      <c r="AH510">
        <v>2</v>
      </c>
      <c r="AI510">
        <v>1.9999999998981366</v>
      </c>
      <c r="AJ510">
        <v>6.2332199999999993</v>
      </c>
      <c r="AK510">
        <v>6.2331199999999995</v>
      </c>
      <c r="AL510">
        <v>0</v>
      </c>
      <c r="AM510">
        <v>0</v>
      </c>
      <c r="AN510">
        <v>0</v>
      </c>
      <c r="AO510">
        <v>-77.369988829155716</v>
      </c>
      <c r="AP510">
        <v>0</v>
      </c>
      <c r="AQ510">
        <v>0</v>
      </c>
      <c r="AR510" t="str">
        <v>32193r1.par</v>
      </c>
      <c r="AV510" t="str">
        <v>188,121,255</v>
      </c>
      <c r="AW510" s="31">
        <v>0</v>
      </c>
      <c r="AX510" s="31">
        <v>77.369988829155716</v>
      </c>
      <c r="AY510" s="31">
        <v>-77.369988829155716</v>
      </c>
    </row>
    <row r="511" spans="31:51" x14ac:dyDescent="0.25">
      <c r="AE511">
        <v>6.23</v>
      </c>
      <c r="AF511">
        <v>6</v>
      </c>
      <c r="AG511">
        <v>2</v>
      </c>
      <c r="AH511">
        <v>2</v>
      </c>
      <c r="AI511">
        <v>2.0000000000436557</v>
      </c>
      <c r="AJ511">
        <v>6.2302200000000001</v>
      </c>
      <c r="AK511">
        <v>6.2301200000000003</v>
      </c>
      <c r="AL511">
        <v>0</v>
      </c>
      <c r="AM511">
        <v>0</v>
      </c>
      <c r="AN511">
        <v>0</v>
      </c>
      <c r="AO511">
        <v>-69.48998996688681</v>
      </c>
      <c r="AP511">
        <v>0</v>
      </c>
      <c r="AQ511">
        <v>0</v>
      </c>
      <c r="AR511" t="str">
        <v>32193r1.par</v>
      </c>
      <c r="AV511" t="str">
        <v>188,121,255</v>
      </c>
      <c r="AW511" s="31">
        <v>0</v>
      </c>
      <c r="AX511" s="31">
        <v>69.48998996688681</v>
      </c>
      <c r="AY511" s="31">
        <v>-69.48998996688681</v>
      </c>
    </row>
    <row r="512" spans="31:51" x14ac:dyDescent="0.25">
      <c r="AE512">
        <v>6.2270000000000003</v>
      </c>
      <c r="AF512">
        <v>6</v>
      </c>
      <c r="AG512">
        <v>2</v>
      </c>
      <c r="AH512">
        <v>2</v>
      </c>
      <c r="AI512">
        <v>1.9999999999708962</v>
      </c>
      <c r="AJ512">
        <v>6.22722</v>
      </c>
      <c r="AK512">
        <v>6.2271200000000002</v>
      </c>
      <c r="AL512">
        <v>0</v>
      </c>
      <c r="AM512">
        <v>0</v>
      </c>
      <c r="AN512">
        <v>0</v>
      </c>
      <c r="AO512">
        <v>-55.98999191604539</v>
      </c>
      <c r="AP512">
        <v>0</v>
      </c>
      <c r="AQ512">
        <v>0</v>
      </c>
      <c r="AR512" t="str">
        <v>32193r1.par</v>
      </c>
      <c r="AV512" t="str">
        <v>188,121,255</v>
      </c>
      <c r="AW512" s="31">
        <v>0</v>
      </c>
      <c r="AX512" s="31">
        <v>55.98999191604539</v>
      </c>
      <c r="AY512" s="31">
        <v>-55.98999191604539</v>
      </c>
    </row>
    <row r="513" spans="31:51" x14ac:dyDescent="0.25">
      <c r="AE513">
        <v>6.2240000000000002</v>
      </c>
      <c r="AF513">
        <v>6</v>
      </c>
      <c r="AG513">
        <v>2</v>
      </c>
      <c r="AH513">
        <v>2</v>
      </c>
      <c r="AI513">
        <v>1.9999999999708962</v>
      </c>
      <c r="AJ513">
        <v>6.2242199999999999</v>
      </c>
      <c r="AK513">
        <v>6.2241200000000001</v>
      </c>
      <c r="AL513">
        <v>0</v>
      </c>
      <c r="AM513">
        <v>0</v>
      </c>
      <c r="AN513">
        <v>0</v>
      </c>
      <c r="AO513">
        <v>-42.359993883973615</v>
      </c>
      <c r="AP513">
        <v>0</v>
      </c>
      <c r="AQ513">
        <v>0</v>
      </c>
      <c r="AR513" t="str">
        <v>32193r1.par</v>
      </c>
      <c r="AV513" t="str">
        <v>188,121,255</v>
      </c>
      <c r="AW513" s="31">
        <v>0</v>
      </c>
      <c r="AX513" s="31">
        <v>42.359993883973615</v>
      </c>
      <c r="AY513" s="31">
        <v>-42.359993883973615</v>
      </c>
    </row>
    <row r="514" spans="31:51" x14ac:dyDescent="0.25">
      <c r="AE514">
        <v>6.2210000000000001</v>
      </c>
      <c r="AF514">
        <v>6</v>
      </c>
      <c r="AG514">
        <v>2</v>
      </c>
      <c r="AH514">
        <v>2</v>
      </c>
      <c r="AI514">
        <v>1.9999999999708962</v>
      </c>
      <c r="AJ514">
        <v>6.2212199999999998</v>
      </c>
      <c r="AK514">
        <v>6.22112</v>
      </c>
      <c r="AL514">
        <v>0</v>
      </c>
      <c r="AM514">
        <v>0</v>
      </c>
      <c r="AN514">
        <v>0</v>
      </c>
      <c r="AO514">
        <v>-28.739995850458012</v>
      </c>
      <c r="AP514">
        <v>0</v>
      </c>
      <c r="AQ514">
        <v>0</v>
      </c>
      <c r="AR514" t="str">
        <v>32193r1.par</v>
      </c>
      <c r="AV514" t="str">
        <v>188,121,255</v>
      </c>
      <c r="AW514" s="31">
        <v>0</v>
      </c>
      <c r="AX514" s="31">
        <v>28.739995850458012</v>
      </c>
      <c r="AY514" s="31">
        <v>-28.739995850458012</v>
      </c>
    </row>
    <row r="515" spans="31:51" x14ac:dyDescent="0.25">
      <c r="AE515">
        <v>6.218</v>
      </c>
      <c r="AF515">
        <v>6</v>
      </c>
      <c r="AG515">
        <v>2</v>
      </c>
      <c r="AH515">
        <v>2</v>
      </c>
      <c r="AI515">
        <v>1.9999999999708962</v>
      </c>
      <c r="AJ515">
        <v>6.2182199999999996</v>
      </c>
      <c r="AK515">
        <v>6.2181199999999999</v>
      </c>
      <c r="AL515">
        <v>0</v>
      </c>
      <c r="AM515">
        <v>0</v>
      </c>
      <c r="AN515">
        <v>0</v>
      </c>
      <c r="AO515">
        <v>-15.039997828492989</v>
      </c>
      <c r="AP515">
        <v>0</v>
      </c>
      <c r="AQ515">
        <v>0</v>
      </c>
      <c r="AR515" t="str">
        <v>32193r1.par</v>
      </c>
      <c r="AV515" t="str">
        <v>188,121,255</v>
      </c>
      <c r="AW515" s="31">
        <v>0</v>
      </c>
      <c r="AX515" s="31">
        <v>15.039997828492989</v>
      </c>
      <c r="AY515" s="31">
        <v>-15.039997828492989</v>
      </c>
    </row>
    <row r="516" spans="31:51" x14ac:dyDescent="0.25">
      <c r="AE516">
        <v>6.2149999999999999</v>
      </c>
      <c r="AF516">
        <v>6</v>
      </c>
      <c r="AG516">
        <v>2</v>
      </c>
      <c r="AH516">
        <v>2</v>
      </c>
      <c r="AI516">
        <v>1.9999999999708962</v>
      </c>
      <c r="AJ516">
        <v>6.2152199999999995</v>
      </c>
      <c r="AK516">
        <v>6.2151199999999998</v>
      </c>
      <c r="AL516">
        <v>0</v>
      </c>
      <c r="AM516">
        <v>0</v>
      </c>
      <c r="AN516">
        <v>0</v>
      </c>
      <c r="AO516">
        <v>-1.3999997978650478</v>
      </c>
      <c r="AP516">
        <v>0</v>
      </c>
      <c r="AQ516">
        <v>0</v>
      </c>
      <c r="AR516" t="str">
        <v>32193r1.par</v>
      </c>
      <c r="AV516" t="str">
        <v>188,121,255</v>
      </c>
      <c r="AW516" s="31">
        <v>0</v>
      </c>
      <c r="AX516" s="31">
        <v>1.3999997978650478</v>
      </c>
      <c r="AY516" s="31">
        <v>-1.3999997978650478</v>
      </c>
    </row>
    <row r="517" spans="31:51" x14ac:dyDescent="0.25">
      <c r="AE517">
        <v>6.1390000000000002</v>
      </c>
      <c r="AF517">
        <v>6</v>
      </c>
      <c r="AG517">
        <v>1</v>
      </c>
      <c r="AH517">
        <v>2</v>
      </c>
      <c r="AI517">
        <v>1.9999999999708962</v>
      </c>
      <c r="AJ517">
        <v>6.1392199999999999</v>
      </c>
      <c r="AK517">
        <v>6.1391200000000001</v>
      </c>
      <c r="AL517">
        <v>0</v>
      </c>
      <c r="AM517">
        <v>0</v>
      </c>
      <c r="AN517">
        <v>0</v>
      </c>
      <c r="AO517">
        <v>-87.999987294373938</v>
      </c>
      <c r="AP517">
        <v>0</v>
      </c>
      <c r="AQ517">
        <v>0</v>
      </c>
      <c r="AR517" t="str">
        <v>1613.par</v>
      </c>
      <c r="AV517" t="str">
        <v>127,0,255</v>
      </c>
      <c r="AW517" s="31">
        <v>0</v>
      </c>
      <c r="AX517" s="31">
        <v>87.999987294373938</v>
      </c>
      <c r="AY517" s="31">
        <v>-87.999987294373938</v>
      </c>
    </row>
    <row r="518" spans="31:51" x14ac:dyDescent="0.25">
      <c r="AE518">
        <v>6.1360000000000001</v>
      </c>
      <c r="AF518">
        <v>6</v>
      </c>
      <c r="AG518">
        <v>1</v>
      </c>
      <c r="AH518">
        <v>2</v>
      </c>
      <c r="AI518">
        <v>1.9999999999708962</v>
      </c>
      <c r="AJ518">
        <v>6.1362199999999998</v>
      </c>
      <c r="AK518">
        <v>6.13612</v>
      </c>
      <c r="AL518">
        <v>0</v>
      </c>
      <c r="AM518">
        <v>0</v>
      </c>
      <c r="AN518">
        <v>0</v>
      </c>
      <c r="AO518">
        <v>-83.999987871902363</v>
      </c>
      <c r="AP518">
        <v>0</v>
      </c>
      <c r="AQ518">
        <v>0</v>
      </c>
      <c r="AR518" t="str">
        <v>1613.par</v>
      </c>
      <c r="AV518" t="str">
        <v>127,0,255</v>
      </c>
      <c r="AW518" s="31">
        <v>0</v>
      </c>
      <c r="AX518" s="31">
        <v>83.999987871902363</v>
      </c>
      <c r="AY518" s="31">
        <v>-83.999987871902363</v>
      </c>
    </row>
    <row r="519" spans="31:51" x14ac:dyDescent="0.25">
      <c r="AE519">
        <v>6.133</v>
      </c>
      <c r="AF519">
        <v>6</v>
      </c>
      <c r="AG519">
        <v>1</v>
      </c>
      <c r="AH519">
        <v>2</v>
      </c>
      <c r="AI519">
        <v>1.9999999999708962</v>
      </c>
      <c r="AJ519">
        <v>6.1332199999999997</v>
      </c>
      <c r="AK519">
        <v>6.1331199999999999</v>
      </c>
      <c r="AL519">
        <v>0</v>
      </c>
      <c r="AM519">
        <v>0</v>
      </c>
      <c r="AN519">
        <v>0</v>
      </c>
      <c r="AO519">
        <v>-78.099988723756766</v>
      </c>
      <c r="AP519">
        <v>0</v>
      </c>
      <c r="AQ519">
        <v>0</v>
      </c>
      <c r="AR519" t="str">
        <v>1613.par</v>
      </c>
      <c r="AV519" t="str">
        <v>127,0,255</v>
      </c>
      <c r="AW519" s="31">
        <v>0</v>
      </c>
      <c r="AX519" s="31">
        <v>78.099988723756766</v>
      </c>
      <c r="AY519" s="31">
        <v>-78.099988723756766</v>
      </c>
    </row>
    <row r="520" spans="31:51" x14ac:dyDescent="0.25">
      <c r="AE520">
        <v>6.13</v>
      </c>
      <c r="AF520">
        <v>6</v>
      </c>
      <c r="AG520">
        <v>1</v>
      </c>
      <c r="AH520">
        <v>2</v>
      </c>
      <c r="AI520">
        <v>1.9999999999708962</v>
      </c>
      <c r="AJ520">
        <v>6.1302199999999996</v>
      </c>
      <c r="AK520">
        <v>6.1301199999999998</v>
      </c>
      <c r="AL520">
        <v>0</v>
      </c>
      <c r="AM520">
        <v>0</v>
      </c>
      <c r="AN520">
        <v>0</v>
      </c>
      <c r="AO520">
        <v>-70.19998986437551</v>
      </c>
      <c r="AP520">
        <v>0</v>
      </c>
      <c r="AQ520">
        <v>0</v>
      </c>
      <c r="AR520" t="str">
        <v>1613.par</v>
      </c>
      <c r="AV520" t="str">
        <v>127,0,255</v>
      </c>
      <c r="AW520" s="31">
        <v>0</v>
      </c>
      <c r="AX520" s="31">
        <v>70.19998986437551</v>
      </c>
      <c r="AY520" s="31">
        <v>-70.19998986437551</v>
      </c>
    </row>
    <row r="521" spans="31:51" x14ac:dyDescent="0.25">
      <c r="AE521">
        <v>6.1269999999999998</v>
      </c>
      <c r="AF521">
        <v>6</v>
      </c>
      <c r="AG521">
        <v>1</v>
      </c>
      <c r="AH521">
        <v>2</v>
      </c>
      <c r="AI521">
        <v>1.9999999999708962</v>
      </c>
      <c r="AJ521">
        <v>6.1272199999999994</v>
      </c>
      <c r="AK521">
        <v>6.1271199999999997</v>
      </c>
      <c r="AL521">
        <v>0</v>
      </c>
      <c r="AM521">
        <v>0</v>
      </c>
      <c r="AN521">
        <v>0</v>
      </c>
      <c r="AO521">
        <v>-58.499991553646176</v>
      </c>
      <c r="AP521">
        <v>0</v>
      </c>
      <c r="AQ521">
        <v>0</v>
      </c>
      <c r="AR521" t="str">
        <v>1613.par</v>
      </c>
      <c r="AV521" t="str">
        <v>127,0,255</v>
      </c>
      <c r="AW521" s="31">
        <v>0</v>
      </c>
      <c r="AX521" s="31">
        <v>58.499991553646176</v>
      </c>
      <c r="AY521" s="31">
        <v>-58.499991553646176</v>
      </c>
    </row>
    <row r="522" spans="31:51" x14ac:dyDescent="0.25">
      <c r="AE522">
        <v>6.1239999999999997</v>
      </c>
      <c r="AF522">
        <v>6</v>
      </c>
      <c r="AG522">
        <v>1</v>
      </c>
      <c r="AH522">
        <v>2</v>
      </c>
      <c r="AI522">
        <v>1.9999999998981366</v>
      </c>
      <c r="AJ522">
        <v>6.1242199999999993</v>
      </c>
      <c r="AK522">
        <v>6.1241199999999996</v>
      </c>
      <c r="AL522">
        <v>0</v>
      </c>
      <c r="AM522">
        <v>0</v>
      </c>
      <c r="AN522">
        <v>0</v>
      </c>
      <c r="AO522">
        <v>-46.699993257355175</v>
      </c>
      <c r="AP522">
        <v>0</v>
      </c>
      <c r="AQ522">
        <v>0</v>
      </c>
      <c r="AR522" t="str">
        <v>1613.par</v>
      </c>
      <c r="AV522" t="str">
        <v>127,0,255</v>
      </c>
      <c r="AW522" s="31">
        <v>0</v>
      </c>
      <c r="AX522" s="31">
        <v>46.699993257355175</v>
      </c>
      <c r="AY522" s="31">
        <v>-46.699993257355175</v>
      </c>
    </row>
    <row r="523" spans="31:51" x14ac:dyDescent="0.25">
      <c r="AE523">
        <v>6.1210000000000004</v>
      </c>
      <c r="AF523">
        <v>6</v>
      </c>
      <c r="AG523">
        <v>1</v>
      </c>
      <c r="AH523">
        <v>2</v>
      </c>
      <c r="AI523">
        <v>2.0000000000436557</v>
      </c>
      <c r="AJ523">
        <v>6.1212200000000001</v>
      </c>
      <c r="AK523">
        <v>6.1211200000000003</v>
      </c>
      <c r="AL523">
        <v>0</v>
      </c>
      <c r="AM523">
        <v>0</v>
      </c>
      <c r="AN523">
        <v>0</v>
      </c>
      <c r="AO523">
        <v>-34.899994961064216</v>
      </c>
      <c r="AP523">
        <v>0</v>
      </c>
      <c r="AQ523">
        <v>0</v>
      </c>
      <c r="AR523" t="str">
        <v>1613.par</v>
      </c>
      <c r="AV523" t="str">
        <v>127,0,255</v>
      </c>
      <c r="AW523" s="31">
        <v>0</v>
      </c>
      <c r="AX523" s="31">
        <v>34.899994961064216</v>
      </c>
      <c r="AY523" s="31">
        <v>-34.899994961064216</v>
      </c>
    </row>
    <row r="524" spans="31:51" x14ac:dyDescent="0.25">
      <c r="AE524">
        <v>6.1180000000000003</v>
      </c>
      <c r="AF524">
        <v>6</v>
      </c>
      <c r="AG524">
        <v>1</v>
      </c>
      <c r="AH524">
        <v>2</v>
      </c>
      <c r="AI524">
        <v>1.9999999999708962</v>
      </c>
      <c r="AJ524">
        <v>6.11822</v>
      </c>
      <c r="AK524">
        <v>6.1181200000000002</v>
      </c>
      <c r="AL524">
        <v>0</v>
      </c>
      <c r="AM524">
        <v>0</v>
      </c>
      <c r="AN524">
        <v>0</v>
      </c>
      <c r="AO524">
        <v>-22.999996679211435</v>
      </c>
      <c r="AP524">
        <v>0</v>
      </c>
      <c r="AQ524">
        <v>0</v>
      </c>
      <c r="AR524" t="str">
        <v>1613.par</v>
      </c>
      <c r="AV524" t="str">
        <v>127,0,255</v>
      </c>
      <c r="AW524" s="31">
        <v>0</v>
      </c>
      <c r="AX524" s="31">
        <v>22.999996679211435</v>
      </c>
      <c r="AY524" s="31">
        <v>-22.999996679211435</v>
      </c>
    </row>
    <row r="525" spans="31:51" x14ac:dyDescent="0.25">
      <c r="AE525">
        <v>6.1150000000000002</v>
      </c>
      <c r="AF525">
        <v>6</v>
      </c>
      <c r="AG525">
        <v>1</v>
      </c>
      <c r="AH525">
        <v>2</v>
      </c>
      <c r="AI525">
        <v>1.9999999999708962</v>
      </c>
      <c r="AJ525">
        <v>6.1152199999999999</v>
      </c>
      <c r="AK525">
        <v>6.1151200000000001</v>
      </c>
      <c r="AL525">
        <v>0</v>
      </c>
      <c r="AM525">
        <v>0</v>
      </c>
      <c r="AN525">
        <v>0</v>
      </c>
      <c r="AO525">
        <v>-11.19999838292026</v>
      </c>
      <c r="AP525">
        <v>0</v>
      </c>
      <c r="AQ525">
        <v>0</v>
      </c>
      <c r="AR525" t="str">
        <v>1613.par</v>
      </c>
      <c r="AV525" t="str">
        <v>127,0,255</v>
      </c>
      <c r="AW525" s="31">
        <v>0</v>
      </c>
      <c r="AX525" s="31">
        <v>11.19999838292026</v>
      </c>
      <c r="AY525" s="31">
        <v>-11.19999838292026</v>
      </c>
    </row>
    <row r="526" spans="31:51" x14ac:dyDescent="0.25">
      <c r="AE526">
        <v>6.1120000000000001</v>
      </c>
      <c r="AF526">
        <v>6</v>
      </c>
      <c r="AG526">
        <v>1</v>
      </c>
      <c r="AH526">
        <v>2</v>
      </c>
      <c r="AI526">
        <v>1.9999999999708962</v>
      </c>
      <c r="AJ526">
        <v>6.1122199999999998</v>
      </c>
      <c r="AK526">
        <v>6.11212</v>
      </c>
      <c r="AL526">
        <v>0</v>
      </c>
      <c r="AM526">
        <v>0</v>
      </c>
      <c r="AN526">
        <v>0</v>
      </c>
      <c r="AO526">
        <v>0.39999994224709201</v>
      </c>
      <c r="AP526">
        <v>0</v>
      </c>
      <c r="AQ526">
        <v>0</v>
      </c>
      <c r="AR526" t="str">
        <v>1613.par</v>
      </c>
      <c r="AV526" t="str">
        <v>127,0,255</v>
      </c>
      <c r="AW526" s="31">
        <v>0</v>
      </c>
      <c r="AX526" s="31">
        <v>-0.39999994224709201</v>
      </c>
      <c r="AY526" s="31">
        <v>0.39999994224709201</v>
      </c>
    </row>
    <row r="527" spans="31:51" x14ac:dyDescent="0.25">
      <c r="AE527">
        <v>5.2350000000000003</v>
      </c>
      <c r="AF527">
        <v>5</v>
      </c>
      <c r="AG527">
        <v>2</v>
      </c>
      <c r="AH527">
        <v>2</v>
      </c>
      <c r="AI527">
        <v>1.9999999999708962</v>
      </c>
      <c r="AJ527">
        <v>5.23522</v>
      </c>
      <c r="AK527">
        <v>5.2351200000000002</v>
      </c>
      <c r="AL527">
        <v>0</v>
      </c>
      <c r="AM527">
        <v>0</v>
      </c>
      <c r="AN527">
        <v>0</v>
      </c>
      <c r="AO527">
        <v>-81.139988284835155</v>
      </c>
      <c r="AP527">
        <v>0</v>
      </c>
      <c r="AQ527">
        <v>0</v>
      </c>
      <c r="AR527" t="str">
        <v>32193r1.par</v>
      </c>
      <c r="AV527" t="str">
        <v>121,188,255</v>
      </c>
      <c r="AW527" s="31">
        <v>0</v>
      </c>
      <c r="AX527" s="31">
        <v>81.139988284835155</v>
      </c>
      <c r="AY527" s="31">
        <v>-81.139988284835155</v>
      </c>
    </row>
    <row r="528" spans="31:51" x14ac:dyDescent="0.25">
      <c r="AE528">
        <v>5.2320000000000002</v>
      </c>
      <c r="AF528">
        <v>5</v>
      </c>
      <c r="AG528">
        <v>2</v>
      </c>
      <c r="AH528">
        <v>2</v>
      </c>
      <c r="AI528">
        <v>1.9999999999708962</v>
      </c>
      <c r="AJ528">
        <v>5.2322199999999999</v>
      </c>
      <c r="AK528">
        <v>5.2321200000000001</v>
      </c>
      <c r="AL528">
        <v>0</v>
      </c>
      <c r="AM528">
        <v>0</v>
      </c>
      <c r="AN528">
        <v>0</v>
      </c>
      <c r="AO528">
        <v>-75.519989096262663</v>
      </c>
      <c r="AP528">
        <v>0</v>
      </c>
      <c r="AQ528">
        <v>0</v>
      </c>
      <c r="AR528" t="str">
        <v>32193r1.par</v>
      </c>
      <c r="AV528" t="str">
        <v>121,188,255</v>
      </c>
      <c r="AW528" s="31">
        <v>0</v>
      </c>
      <c r="AX528" s="31">
        <v>75.519989096262663</v>
      </c>
      <c r="AY528" s="31">
        <v>-75.519989096262663</v>
      </c>
    </row>
    <row r="529" spans="31:51" x14ac:dyDescent="0.25">
      <c r="AE529">
        <v>5.2290000000000001</v>
      </c>
      <c r="AF529">
        <v>5</v>
      </c>
      <c r="AG529">
        <v>2</v>
      </c>
      <c r="AH529">
        <v>2</v>
      </c>
      <c r="AI529">
        <v>1.9999999999708962</v>
      </c>
      <c r="AJ529">
        <v>5.2292199999999998</v>
      </c>
      <c r="AK529">
        <v>5.22912</v>
      </c>
      <c r="AL529">
        <v>0</v>
      </c>
      <c r="AM529">
        <v>0</v>
      </c>
      <c r="AN529">
        <v>0</v>
      </c>
      <c r="AO529">
        <v>-65.009990613718642</v>
      </c>
      <c r="AP529">
        <v>0</v>
      </c>
      <c r="AQ529">
        <v>0</v>
      </c>
      <c r="AR529" t="str">
        <v>32193r1.par</v>
      </c>
      <c r="AV529" t="str">
        <v>121,188,255</v>
      </c>
      <c r="AW529" s="31">
        <v>0</v>
      </c>
      <c r="AX529" s="31">
        <v>65.009990613718642</v>
      </c>
      <c r="AY529" s="31">
        <v>-65.009990613718642</v>
      </c>
    </row>
    <row r="530" spans="31:51" x14ac:dyDescent="0.25">
      <c r="AE530">
        <v>5.226</v>
      </c>
      <c r="AF530">
        <v>5</v>
      </c>
      <c r="AG530">
        <v>2</v>
      </c>
      <c r="AH530">
        <v>2</v>
      </c>
      <c r="AI530">
        <v>1.9999999999708962</v>
      </c>
      <c r="AJ530">
        <v>5.2262199999999996</v>
      </c>
      <c r="AK530">
        <v>5.2261199999999999</v>
      </c>
      <c r="AL530">
        <v>0</v>
      </c>
      <c r="AM530">
        <v>0</v>
      </c>
      <c r="AN530">
        <v>0</v>
      </c>
      <c r="AO530">
        <v>-51.449992571540129</v>
      </c>
      <c r="AP530">
        <v>0</v>
      </c>
      <c r="AQ530">
        <v>0</v>
      </c>
      <c r="AR530" t="str">
        <v>32193r1.par</v>
      </c>
      <c r="AV530" t="str">
        <v>121,188,255</v>
      </c>
      <c r="AW530" s="31">
        <v>0</v>
      </c>
      <c r="AX530" s="31">
        <v>51.449992571540129</v>
      </c>
      <c r="AY530" s="31">
        <v>-51.449992571540129</v>
      </c>
    </row>
    <row r="531" spans="31:51" x14ac:dyDescent="0.25">
      <c r="AE531">
        <v>5.2229999999999999</v>
      </c>
      <c r="AF531">
        <v>5</v>
      </c>
      <c r="AG531">
        <v>2</v>
      </c>
      <c r="AH531">
        <v>2</v>
      </c>
      <c r="AI531">
        <v>1.9999999999708962</v>
      </c>
      <c r="AJ531">
        <v>5.2232199999999995</v>
      </c>
      <c r="AK531">
        <v>5.2231199999999998</v>
      </c>
      <c r="AL531">
        <v>0</v>
      </c>
      <c r="AM531">
        <v>0</v>
      </c>
      <c r="AN531">
        <v>0</v>
      </c>
      <c r="AO531">
        <v>-37.819994539468382</v>
      </c>
      <c r="AP531">
        <v>0</v>
      </c>
      <c r="AQ531">
        <v>0</v>
      </c>
      <c r="AR531" t="str">
        <v>32193r1.par</v>
      </c>
      <c r="AV531" t="str">
        <v>121,188,255</v>
      </c>
      <c r="AW531" s="31">
        <v>0</v>
      </c>
      <c r="AX531" s="31">
        <v>37.819994539468382</v>
      </c>
      <c r="AY531" s="31">
        <v>-37.819994539468382</v>
      </c>
    </row>
    <row r="532" spans="31:51" x14ac:dyDescent="0.25">
      <c r="AE532">
        <v>5.22</v>
      </c>
      <c r="AF532">
        <v>5</v>
      </c>
      <c r="AG532">
        <v>2</v>
      </c>
      <c r="AH532">
        <v>2</v>
      </c>
      <c r="AI532">
        <v>1.9999999999708962</v>
      </c>
      <c r="AJ532">
        <v>5.2202199999999994</v>
      </c>
      <c r="AK532">
        <v>5.2201199999999996</v>
      </c>
      <c r="AL532">
        <v>0</v>
      </c>
      <c r="AM532">
        <v>0</v>
      </c>
      <c r="AN532">
        <v>0</v>
      </c>
      <c r="AO532">
        <v>-24.199996505952821</v>
      </c>
      <c r="AP532">
        <v>0</v>
      </c>
      <c r="AQ532">
        <v>0</v>
      </c>
      <c r="AR532" t="str">
        <v>32193r1.par</v>
      </c>
      <c r="AV532" t="str">
        <v>121,188,255</v>
      </c>
      <c r="AW532" s="31">
        <v>0</v>
      </c>
      <c r="AX532" s="31">
        <v>24.199996505952821</v>
      </c>
      <c r="AY532" s="31">
        <v>-24.199996505952821</v>
      </c>
    </row>
    <row r="533" spans="31:51" x14ac:dyDescent="0.25">
      <c r="AE533">
        <v>5.2169999999999996</v>
      </c>
      <c r="AF533">
        <v>5</v>
      </c>
      <c r="AG533">
        <v>2</v>
      </c>
      <c r="AH533">
        <v>2</v>
      </c>
      <c r="AI533">
        <v>1.9999999998981366</v>
      </c>
      <c r="AJ533">
        <v>5.2172199999999993</v>
      </c>
      <c r="AK533">
        <v>5.2171199999999995</v>
      </c>
      <c r="AL533">
        <v>0</v>
      </c>
      <c r="AM533">
        <v>0</v>
      </c>
      <c r="AN533">
        <v>0</v>
      </c>
      <c r="AO533">
        <v>-10.429998494094555</v>
      </c>
      <c r="AP533">
        <v>0</v>
      </c>
      <c r="AQ533">
        <v>0</v>
      </c>
      <c r="AR533" t="str">
        <v>32193r1.par</v>
      </c>
      <c r="AV533" t="str">
        <v>121,188,255</v>
      </c>
      <c r="AW533" s="31">
        <v>0</v>
      </c>
      <c r="AX533" s="31">
        <v>10.429998494094555</v>
      </c>
      <c r="AY533" s="31">
        <v>-10.429998494094555</v>
      </c>
    </row>
    <row r="534" spans="31:51" x14ac:dyDescent="0.25">
      <c r="AE534">
        <v>5.1379999999999999</v>
      </c>
      <c r="AF534">
        <v>5</v>
      </c>
      <c r="AG534">
        <v>1</v>
      </c>
      <c r="AH534">
        <v>2</v>
      </c>
      <c r="AI534">
        <v>1.9999999999708962</v>
      </c>
      <c r="AJ534">
        <v>5.1382199999999996</v>
      </c>
      <c r="AK534">
        <v>5.1381199999999998</v>
      </c>
      <c r="AL534">
        <v>0</v>
      </c>
      <c r="AM534">
        <v>0</v>
      </c>
      <c r="AN534">
        <v>0</v>
      </c>
      <c r="AO534">
        <v>-87.999987294373852</v>
      </c>
      <c r="AP534">
        <v>0</v>
      </c>
      <c r="AQ534">
        <v>0</v>
      </c>
      <c r="AR534" t="str">
        <v>1613.par</v>
      </c>
      <c r="AV534" t="str">
        <v>0,102,204</v>
      </c>
      <c r="AW534" s="31">
        <v>0</v>
      </c>
      <c r="AX534" s="31">
        <v>87.999987294373852</v>
      </c>
      <c r="AY534" s="31">
        <v>-87.999987294373852</v>
      </c>
    </row>
    <row r="535" spans="31:51" x14ac:dyDescent="0.25">
      <c r="AE535">
        <v>5.1349999999999998</v>
      </c>
      <c r="AF535">
        <v>5</v>
      </c>
      <c r="AG535">
        <v>1</v>
      </c>
      <c r="AH535">
        <v>2</v>
      </c>
      <c r="AI535">
        <v>1.9999999999708962</v>
      </c>
      <c r="AJ535">
        <v>5.1352199999999995</v>
      </c>
      <c r="AK535">
        <v>5.1351199999999997</v>
      </c>
      <c r="AL535">
        <v>0</v>
      </c>
      <c r="AM535">
        <v>0</v>
      </c>
      <c r="AN535">
        <v>0</v>
      </c>
      <c r="AO535">
        <v>-81.999988160666575</v>
      </c>
      <c r="AP535">
        <v>0</v>
      </c>
      <c r="AQ535">
        <v>0</v>
      </c>
      <c r="AR535" t="str">
        <v>1613.par</v>
      </c>
      <c r="AV535" t="str">
        <v>0,102,204</v>
      </c>
      <c r="AW535" s="31">
        <v>0</v>
      </c>
      <c r="AX535" s="31">
        <v>81.999988160666575</v>
      </c>
      <c r="AY535" s="31">
        <v>-81.999988160666575</v>
      </c>
    </row>
    <row r="536" spans="31:51" x14ac:dyDescent="0.25">
      <c r="AE536">
        <v>5.1319999999999997</v>
      </c>
      <c r="AF536">
        <v>5</v>
      </c>
      <c r="AG536">
        <v>1</v>
      </c>
      <c r="AH536">
        <v>2</v>
      </c>
      <c r="AI536">
        <v>1.9999999998981366</v>
      </c>
      <c r="AJ536">
        <v>5.1322199999999993</v>
      </c>
      <c r="AK536">
        <v>5.1321199999999996</v>
      </c>
      <c r="AL536">
        <v>0</v>
      </c>
      <c r="AM536">
        <v>0</v>
      </c>
      <c r="AN536">
        <v>0</v>
      </c>
      <c r="AO536">
        <v>-76.099989012520979</v>
      </c>
      <c r="AP536">
        <v>0</v>
      </c>
      <c r="AQ536">
        <v>0</v>
      </c>
      <c r="AR536" t="str">
        <v>1613.par</v>
      </c>
      <c r="AV536" t="str">
        <v>0,102,204</v>
      </c>
      <c r="AW536" s="31">
        <v>0</v>
      </c>
      <c r="AX536" s="31">
        <v>76.099989012520979</v>
      </c>
      <c r="AY536" s="31">
        <v>-76.099989012520979</v>
      </c>
    </row>
    <row r="537" spans="31:51" x14ac:dyDescent="0.25">
      <c r="AE537">
        <v>5.1289999999999996</v>
      </c>
      <c r="AF537">
        <v>5</v>
      </c>
      <c r="AG537">
        <v>1</v>
      </c>
      <c r="AH537">
        <v>2</v>
      </c>
      <c r="AI537">
        <v>1.9999999998981366</v>
      </c>
      <c r="AJ537">
        <v>5.1292199999999992</v>
      </c>
      <c r="AK537">
        <v>5.1291199999999995</v>
      </c>
      <c r="AL537">
        <v>0</v>
      </c>
      <c r="AM537">
        <v>0</v>
      </c>
      <c r="AN537">
        <v>0</v>
      </c>
      <c r="AO537">
        <v>-66.299990427465744</v>
      </c>
      <c r="AP537">
        <v>0</v>
      </c>
      <c r="AQ537">
        <v>0</v>
      </c>
      <c r="AR537" t="str">
        <v>1613.par</v>
      </c>
      <c r="AV537" t="str">
        <v>0,102,204</v>
      </c>
      <c r="AW537" s="31">
        <v>0</v>
      </c>
      <c r="AX537" s="31">
        <v>66.299990427465744</v>
      </c>
      <c r="AY537" s="31">
        <v>-66.299990427465744</v>
      </c>
    </row>
    <row r="538" spans="31:51" x14ac:dyDescent="0.25">
      <c r="AE538">
        <v>5.1260000000000003</v>
      </c>
      <c r="AF538">
        <v>5</v>
      </c>
      <c r="AG538">
        <v>1</v>
      </c>
      <c r="AH538">
        <v>2</v>
      </c>
      <c r="AI538">
        <v>1.9999999999708962</v>
      </c>
      <c r="AJ538">
        <v>5.12622</v>
      </c>
      <c r="AK538">
        <v>5.1261200000000002</v>
      </c>
      <c r="AL538">
        <v>0</v>
      </c>
      <c r="AM538">
        <v>0</v>
      </c>
      <c r="AN538">
        <v>0</v>
      </c>
      <c r="AO538">
        <v>-54.599992116736459</v>
      </c>
      <c r="AP538">
        <v>0</v>
      </c>
      <c r="AQ538">
        <v>0</v>
      </c>
      <c r="AR538" t="str">
        <v>1613.par</v>
      </c>
      <c r="AV538" t="str">
        <v>0,102,204</v>
      </c>
      <c r="AW538" s="31">
        <v>0</v>
      </c>
      <c r="AX538" s="31">
        <v>54.599992116736459</v>
      </c>
      <c r="AY538" s="31">
        <v>-54.599992116736459</v>
      </c>
    </row>
    <row r="539" spans="31:51" x14ac:dyDescent="0.25">
      <c r="AE539">
        <v>5.1230000000000002</v>
      </c>
      <c r="AF539">
        <v>5</v>
      </c>
      <c r="AG539">
        <v>1</v>
      </c>
      <c r="AH539">
        <v>2</v>
      </c>
      <c r="AI539">
        <v>1.9999999999708962</v>
      </c>
      <c r="AJ539">
        <v>5.1232199999999999</v>
      </c>
      <c r="AK539">
        <v>5.1231200000000001</v>
      </c>
      <c r="AL539">
        <v>0</v>
      </c>
      <c r="AM539">
        <v>0</v>
      </c>
      <c r="AN539">
        <v>0</v>
      </c>
      <c r="AO539">
        <v>-42.799993820445458</v>
      </c>
      <c r="AP539">
        <v>0</v>
      </c>
      <c r="AQ539">
        <v>0</v>
      </c>
      <c r="AR539" t="str">
        <v>1613.par</v>
      </c>
      <c r="AV539" t="str">
        <v>0,102,204</v>
      </c>
      <c r="AW539" s="31">
        <v>0</v>
      </c>
      <c r="AX539" s="31">
        <v>42.799993820445458</v>
      </c>
      <c r="AY539" s="31">
        <v>-42.799993820445458</v>
      </c>
    </row>
    <row r="540" spans="31:51" x14ac:dyDescent="0.25">
      <c r="AE540">
        <v>5.12</v>
      </c>
      <c r="AF540">
        <v>5</v>
      </c>
      <c r="AG540">
        <v>1</v>
      </c>
      <c r="AH540">
        <v>2</v>
      </c>
      <c r="AI540">
        <v>1.9999999999708962</v>
      </c>
      <c r="AJ540">
        <v>5.1202199999999998</v>
      </c>
      <c r="AK540">
        <v>5.12012</v>
      </c>
      <c r="AL540">
        <v>0</v>
      </c>
      <c r="AM540">
        <v>0</v>
      </c>
      <c r="AN540">
        <v>0</v>
      </c>
      <c r="AO540">
        <v>-31.099995509716297</v>
      </c>
      <c r="AP540">
        <v>0</v>
      </c>
      <c r="AQ540">
        <v>0</v>
      </c>
      <c r="AR540" t="str">
        <v>1613.par</v>
      </c>
      <c r="AV540" t="str">
        <v>0,102,204</v>
      </c>
      <c r="AW540" s="31">
        <v>0</v>
      </c>
      <c r="AX540" s="31">
        <v>31.099995509716297</v>
      </c>
      <c r="AY540" s="31">
        <v>-31.099995509716297</v>
      </c>
    </row>
    <row r="541" spans="31:51" x14ac:dyDescent="0.25">
      <c r="AE541">
        <v>5.117</v>
      </c>
      <c r="AF541">
        <v>5</v>
      </c>
      <c r="AG541">
        <v>1</v>
      </c>
      <c r="AH541">
        <v>2</v>
      </c>
      <c r="AI541">
        <v>1.9999999999708962</v>
      </c>
      <c r="AJ541">
        <v>5.1172199999999997</v>
      </c>
      <c r="AK541">
        <v>5.1171199999999999</v>
      </c>
      <c r="AL541">
        <v>0</v>
      </c>
      <c r="AM541">
        <v>0</v>
      </c>
      <c r="AN541">
        <v>0</v>
      </c>
      <c r="AO541">
        <v>-18.999997256739775</v>
      </c>
      <c r="AP541">
        <v>0</v>
      </c>
      <c r="AQ541">
        <v>0</v>
      </c>
      <c r="AR541" t="str">
        <v>1613.par</v>
      </c>
      <c r="AV541" t="str">
        <v>0,102,204</v>
      </c>
      <c r="AW541" s="31">
        <v>0</v>
      </c>
      <c r="AX541" s="31">
        <v>18.999997256739775</v>
      </c>
      <c r="AY541" s="31">
        <v>-18.999997256739775</v>
      </c>
    </row>
    <row r="542" spans="31:51" x14ac:dyDescent="0.25">
      <c r="AE542">
        <v>5.1139999999999999</v>
      </c>
      <c r="AF542">
        <v>5</v>
      </c>
      <c r="AG542">
        <v>1</v>
      </c>
      <c r="AH542">
        <v>2</v>
      </c>
      <c r="AI542">
        <v>1.9999999999708962</v>
      </c>
      <c r="AJ542">
        <v>5.1142199999999995</v>
      </c>
      <c r="AK542">
        <v>5.1141199999999998</v>
      </c>
      <c r="AL542">
        <v>0</v>
      </c>
      <c r="AM542">
        <v>0</v>
      </c>
      <c r="AN542">
        <v>0</v>
      </c>
      <c r="AO542">
        <v>-7.3999989315723109</v>
      </c>
      <c r="AP542">
        <v>0</v>
      </c>
      <c r="AQ542">
        <v>0</v>
      </c>
      <c r="AR542" t="str">
        <v>1613.par</v>
      </c>
      <c r="AV542" t="str">
        <v>0,102,204</v>
      </c>
      <c r="AW542" s="31">
        <v>0</v>
      </c>
      <c r="AX542" s="31">
        <v>7.3999989315723109</v>
      </c>
      <c r="AY542" s="31">
        <v>-7.3999989315723109</v>
      </c>
    </row>
    <row r="543" spans="31:51" x14ac:dyDescent="0.25">
      <c r="AE543">
        <v>5.1109999999999998</v>
      </c>
      <c r="AF543">
        <v>5</v>
      </c>
      <c r="AG543">
        <v>1</v>
      </c>
      <c r="AH543">
        <v>2</v>
      </c>
      <c r="AI543">
        <v>1.9999999999708962</v>
      </c>
      <c r="AJ543">
        <v>5.1112199999999994</v>
      </c>
      <c r="AK543">
        <v>5.1111199999999997</v>
      </c>
      <c r="AL543">
        <v>0</v>
      </c>
      <c r="AM543">
        <v>0</v>
      </c>
      <c r="AN543">
        <v>0</v>
      </c>
      <c r="AO543">
        <v>1.9999997112357444</v>
      </c>
      <c r="AP543">
        <v>0</v>
      </c>
      <c r="AQ543">
        <v>0</v>
      </c>
      <c r="AR543" t="str">
        <v>1613.par</v>
      </c>
      <c r="AV543" t="str">
        <v>0,102,204</v>
      </c>
      <c r="AW543" s="31">
        <v>0</v>
      </c>
      <c r="AX543" s="31">
        <v>-1.9999997112357444</v>
      </c>
      <c r="AY543" s="31">
        <v>1.9999997112357444</v>
      </c>
    </row>
    <row r="544" spans="31:51" x14ac:dyDescent="0.25">
      <c r="AE544">
        <v>5.1079999999999997</v>
      </c>
      <c r="AF544">
        <v>5</v>
      </c>
      <c r="AG544">
        <v>1</v>
      </c>
      <c r="AH544">
        <v>2</v>
      </c>
      <c r="AI544">
        <v>1.9999999998981366</v>
      </c>
      <c r="AJ544">
        <v>5.1082199999999993</v>
      </c>
      <c r="AK544">
        <v>5.1081199999999995</v>
      </c>
      <c r="AL544">
        <v>0</v>
      </c>
      <c r="AM544">
        <v>0</v>
      </c>
      <c r="AN544">
        <v>0</v>
      </c>
      <c r="AO544">
        <v>2.999999566853591</v>
      </c>
      <c r="AP544">
        <v>0</v>
      </c>
      <c r="AQ544">
        <v>0</v>
      </c>
      <c r="AR544" t="str">
        <v>1613.par</v>
      </c>
      <c r="AV544" t="str">
        <v>0,102,204</v>
      </c>
      <c r="AW544" s="31">
        <v>0</v>
      </c>
      <c r="AX544" s="31">
        <v>-2.999999566853591</v>
      </c>
      <c r="AY544" s="31">
        <v>2.999999566853591</v>
      </c>
    </row>
    <row r="545" spans="31:51" x14ac:dyDescent="0.25">
      <c r="AE545">
        <v>5.1050000000000004</v>
      </c>
      <c r="AF545">
        <v>5</v>
      </c>
      <c r="AG545">
        <v>1</v>
      </c>
      <c r="AH545">
        <v>2</v>
      </c>
      <c r="AI545">
        <v>2.0000000000436557</v>
      </c>
      <c r="AJ545">
        <v>5.1052200000000001</v>
      </c>
      <c r="AK545">
        <v>5.1051200000000003</v>
      </c>
      <c r="AL545">
        <v>0</v>
      </c>
      <c r="AM545">
        <v>0</v>
      </c>
      <c r="AN545">
        <v>0</v>
      </c>
      <c r="AO545">
        <v>2.9999995668536164</v>
      </c>
      <c r="AP545">
        <v>0</v>
      </c>
      <c r="AQ545">
        <v>0</v>
      </c>
      <c r="AR545" t="str">
        <v>1613.par</v>
      </c>
      <c r="AV545" t="str">
        <v>0,102,204</v>
      </c>
      <c r="AW545" s="31">
        <v>0</v>
      </c>
      <c r="AX545" s="31">
        <v>-2.9999995668536164</v>
      </c>
      <c r="AY545" s="31">
        <v>2.9999995668536164</v>
      </c>
    </row>
    <row r="546" spans="31:51" x14ac:dyDescent="0.25">
      <c r="AE546">
        <v>5.1020000000000003</v>
      </c>
      <c r="AF546">
        <v>5</v>
      </c>
      <c r="AG546">
        <v>1</v>
      </c>
      <c r="AH546">
        <v>2</v>
      </c>
      <c r="AI546">
        <v>1.9999999999708962</v>
      </c>
      <c r="AJ546">
        <v>5.10222</v>
      </c>
      <c r="AK546">
        <v>5.1021200000000002</v>
      </c>
      <c r="AL546">
        <v>0</v>
      </c>
      <c r="AM546">
        <v>0</v>
      </c>
      <c r="AN546">
        <v>0</v>
      </c>
      <c r="AO546">
        <v>5.9999991337073411</v>
      </c>
      <c r="AP546">
        <v>0</v>
      </c>
      <c r="AQ546">
        <v>0</v>
      </c>
      <c r="AR546" t="str">
        <v>1613.par</v>
      </c>
      <c r="AV546" t="str">
        <v>0,102,204</v>
      </c>
      <c r="AW546" s="31">
        <v>0</v>
      </c>
      <c r="AX546" s="31">
        <v>-5.9999991337073411</v>
      </c>
      <c r="AY546" s="31">
        <v>5.9999991337073411</v>
      </c>
    </row>
    <row r="547" spans="31:51" x14ac:dyDescent="0.25">
      <c r="AE547">
        <v>4.2370000000000001</v>
      </c>
      <c r="AF547">
        <v>4</v>
      </c>
      <c r="AG547">
        <v>2</v>
      </c>
      <c r="AH547">
        <v>2</v>
      </c>
      <c r="AI547">
        <v>1.9999999999708962</v>
      </c>
      <c r="AJ547">
        <v>4.2372199999999998</v>
      </c>
      <c r="AK547">
        <v>4.23712</v>
      </c>
      <c r="AL547">
        <v>0</v>
      </c>
      <c r="AM547">
        <v>0</v>
      </c>
      <c r="AN547">
        <v>0</v>
      </c>
      <c r="AO547">
        <v>-84.909987740514595</v>
      </c>
      <c r="AP547">
        <v>0</v>
      </c>
      <c r="AQ547">
        <v>0</v>
      </c>
      <c r="AR547" t="str">
        <v>32193r1.par</v>
      </c>
      <c r="AV547" t="str">
        <v>91,255,255</v>
      </c>
      <c r="AW547" s="31">
        <v>0</v>
      </c>
      <c r="AX547" s="31">
        <v>84.909987740514595</v>
      </c>
      <c r="AY547" s="31">
        <v>-84.909987740514595</v>
      </c>
    </row>
    <row r="548" spans="31:51" x14ac:dyDescent="0.25">
      <c r="AE548">
        <v>4.234</v>
      </c>
      <c r="AF548">
        <v>4</v>
      </c>
      <c r="AG548">
        <v>2</v>
      </c>
      <c r="AH548">
        <v>2</v>
      </c>
      <c r="AI548">
        <v>1.9999999999708962</v>
      </c>
      <c r="AJ548">
        <v>4.2342199999999997</v>
      </c>
      <c r="AK548">
        <v>4.2341199999999999</v>
      </c>
      <c r="AL548">
        <v>0</v>
      </c>
      <c r="AM548">
        <v>0</v>
      </c>
      <c r="AN548">
        <v>0</v>
      </c>
      <c r="AO548">
        <v>-79.239988559161148</v>
      </c>
      <c r="AP548">
        <v>0</v>
      </c>
      <c r="AQ548">
        <v>0</v>
      </c>
      <c r="AR548" t="str">
        <v>32193r1.par</v>
      </c>
      <c r="AV548" t="str">
        <v>91,255,255</v>
      </c>
      <c r="AW548" s="31">
        <v>0</v>
      </c>
      <c r="AX548" s="31">
        <v>79.239988559161148</v>
      </c>
      <c r="AY548" s="31">
        <v>-79.239988559161148</v>
      </c>
    </row>
    <row r="549" spans="31:51" x14ac:dyDescent="0.25">
      <c r="AE549">
        <v>4.2309999999999999</v>
      </c>
      <c r="AF549">
        <v>4</v>
      </c>
      <c r="AG549">
        <v>2</v>
      </c>
      <c r="AH549">
        <v>2</v>
      </c>
      <c r="AI549">
        <v>1.9999999999708962</v>
      </c>
      <c r="AJ549">
        <v>4.2312199999999995</v>
      </c>
      <c r="AK549">
        <v>4.2311199999999998</v>
      </c>
      <c r="AL549">
        <v>0</v>
      </c>
      <c r="AM549">
        <v>0</v>
      </c>
      <c r="AN549">
        <v>0</v>
      </c>
      <c r="AO549">
        <v>-73.979989318611103</v>
      </c>
      <c r="AP549">
        <v>0</v>
      </c>
      <c r="AQ549">
        <v>0</v>
      </c>
      <c r="AR549" t="str">
        <v>32193r1.par</v>
      </c>
      <c r="AV549" t="str">
        <v>91,255,255</v>
      </c>
      <c r="AW549" s="31">
        <v>0</v>
      </c>
      <c r="AX549" s="31">
        <v>73.979989318611103</v>
      </c>
      <c r="AY549" s="31">
        <v>-73.979989318611103</v>
      </c>
    </row>
    <row r="550" spans="31:51" x14ac:dyDescent="0.25">
      <c r="AE550">
        <v>4.2279999999999998</v>
      </c>
      <c r="AF550">
        <v>4</v>
      </c>
      <c r="AG550">
        <v>2</v>
      </c>
      <c r="AH550">
        <v>2</v>
      </c>
      <c r="AI550">
        <v>1.9999999999708962</v>
      </c>
      <c r="AJ550">
        <v>4.2282199999999994</v>
      </c>
      <c r="AK550">
        <v>4.2281199999999997</v>
      </c>
      <c r="AL550">
        <v>0</v>
      </c>
      <c r="AM550">
        <v>0</v>
      </c>
      <c r="AN550">
        <v>0</v>
      </c>
      <c r="AO550">
        <v>-60.529991260550531</v>
      </c>
      <c r="AP550">
        <v>0</v>
      </c>
      <c r="AQ550">
        <v>0</v>
      </c>
      <c r="AR550" t="str">
        <v>32193r1.par</v>
      </c>
      <c r="AV550" t="str">
        <v>91,255,255</v>
      </c>
      <c r="AW550" s="31">
        <v>0</v>
      </c>
      <c r="AX550" s="31">
        <v>60.529991260550531</v>
      </c>
      <c r="AY550" s="31">
        <v>-60.529991260550531</v>
      </c>
    </row>
    <row r="551" spans="31:51" x14ac:dyDescent="0.25">
      <c r="AE551">
        <v>4.2249999999999996</v>
      </c>
      <c r="AF551">
        <v>4</v>
      </c>
      <c r="AG551">
        <v>2</v>
      </c>
      <c r="AH551">
        <v>2</v>
      </c>
      <c r="AI551">
        <v>1.9999999998981366</v>
      </c>
      <c r="AJ551">
        <v>4.2252199999999993</v>
      </c>
      <c r="AK551">
        <v>4.2251199999999995</v>
      </c>
      <c r="AL551">
        <v>0</v>
      </c>
      <c r="AM551">
        <v>0</v>
      </c>
      <c r="AN551">
        <v>0</v>
      </c>
      <c r="AO551">
        <v>-46.89999322847882</v>
      </c>
      <c r="AP551">
        <v>0</v>
      </c>
      <c r="AQ551">
        <v>0</v>
      </c>
      <c r="AR551" t="str">
        <v>32193r1.par</v>
      </c>
      <c r="AV551" t="str">
        <v>91,255,255</v>
      </c>
      <c r="AW551" s="31">
        <v>0</v>
      </c>
      <c r="AX551" s="31">
        <v>46.89999322847882</v>
      </c>
      <c r="AY551" s="31">
        <v>-46.89999322847882</v>
      </c>
    </row>
    <row r="552" spans="31:51" x14ac:dyDescent="0.25">
      <c r="AE552">
        <v>4.2220000000000004</v>
      </c>
      <c r="AF552">
        <v>4</v>
      </c>
      <c r="AG552">
        <v>2</v>
      </c>
      <c r="AH552">
        <v>2</v>
      </c>
      <c r="AI552">
        <v>2.0000000000436557</v>
      </c>
      <c r="AJ552">
        <v>4.2222200000000001</v>
      </c>
      <c r="AK552">
        <v>4.2221200000000003</v>
      </c>
      <c r="AL552">
        <v>0</v>
      </c>
      <c r="AM552">
        <v>0</v>
      </c>
      <c r="AN552">
        <v>0</v>
      </c>
      <c r="AO552">
        <v>-33.279995194963185</v>
      </c>
      <c r="AP552">
        <v>0</v>
      </c>
      <c r="AQ552">
        <v>0</v>
      </c>
      <c r="AR552" t="str">
        <v>32193r1.par</v>
      </c>
      <c r="AV552" t="str">
        <v>91,255,255</v>
      </c>
      <c r="AW552" s="31">
        <v>0</v>
      </c>
      <c r="AX552" s="31">
        <v>33.279995194963185</v>
      </c>
      <c r="AY552" s="31">
        <v>-33.279995194963185</v>
      </c>
    </row>
    <row r="553" spans="31:51" x14ac:dyDescent="0.25">
      <c r="AE553">
        <v>4.2190000000000003</v>
      </c>
      <c r="AF553">
        <v>4</v>
      </c>
      <c r="AG553">
        <v>2</v>
      </c>
      <c r="AH553">
        <v>2</v>
      </c>
      <c r="AI553">
        <v>1.9999999999708962</v>
      </c>
      <c r="AJ553">
        <v>4.21922</v>
      </c>
      <c r="AK553">
        <v>4.2191200000000002</v>
      </c>
      <c r="AL553">
        <v>0</v>
      </c>
      <c r="AM553">
        <v>0</v>
      </c>
      <c r="AN553">
        <v>0</v>
      </c>
      <c r="AO553">
        <v>-19.649997162891438</v>
      </c>
      <c r="AP553">
        <v>0</v>
      </c>
      <c r="AQ553">
        <v>0</v>
      </c>
      <c r="AR553" t="str">
        <v>32193r1.par</v>
      </c>
      <c r="AV553" t="str">
        <v>91,255,255</v>
      </c>
      <c r="AW553" s="31">
        <v>0</v>
      </c>
      <c r="AX553" s="31">
        <v>19.649997162891438</v>
      </c>
      <c r="AY553" s="31">
        <v>-19.649997162891438</v>
      </c>
    </row>
    <row r="554" spans="31:51" x14ac:dyDescent="0.25">
      <c r="AE554">
        <v>4.2160000000000002</v>
      </c>
      <c r="AF554">
        <v>4</v>
      </c>
      <c r="AG554">
        <v>2</v>
      </c>
      <c r="AH554">
        <v>2</v>
      </c>
      <c r="AI554">
        <v>1.9999999999708962</v>
      </c>
      <c r="AJ554">
        <v>4.2162199999999999</v>
      </c>
      <c r="AK554">
        <v>4.2161200000000001</v>
      </c>
      <c r="AL554">
        <v>0</v>
      </c>
      <c r="AM554">
        <v>0</v>
      </c>
      <c r="AN554">
        <v>0</v>
      </c>
      <c r="AO554">
        <v>-5.8099991611399071</v>
      </c>
      <c r="AP554">
        <v>0</v>
      </c>
      <c r="AQ554">
        <v>0</v>
      </c>
      <c r="AR554" t="str">
        <v>32193r1.par</v>
      </c>
      <c r="AV554" t="str">
        <v>91,255,255</v>
      </c>
      <c r="AW554" s="31">
        <v>0</v>
      </c>
      <c r="AX554" s="31">
        <v>5.8099991611399071</v>
      </c>
      <c r="AY554" s="31">
        <v>-5.8099991611399071</v>
      </c>
    </row>
    <row r="555" spans="31:51" x14ac:dyDescent="0.25">
      <c r="AE555">
        <v>4.1399999999999997</v>
      </c>
      <c r="AF555">
        <v>4</v>
      </c>
      <c r="AG555">
        <v>1</v>
      </c>
      <c r="AH555">
        <v>2</v>
      </c>
      <c r="AI555">
        <v>1.9999999999708962</v>
      </c>
      <c r="AJ555">
        <v>4.1402199999999993</v>
      </c>
      <c r="AK555">
        <v>4.1401199999999996</v>
      </c>
      <c r="AL555">
        <v>0</v>
      </c>
      <c r="AM555">
        <v>0</v>
      </c>
      <c r="AN555">
        <v>0</v>
      </c>
      <c r="AO555">
        <v>-87.999987294373838</v>
      </c>
      <c r="AP555">
        <v>0</v>
      </c>
      <c r="AQ555">
        <v>0</v>
      </c>
      <c r="AR555" t="str">
        <v>1613.par</v>
      </c>
      <c r="AV555" t="str">
        <v>0,204,204</v>
      </c>
      <c r="AW555" s="31">
        <v>0</v>
      </c>
      <c r="AX555" s="31">
        <v>87.999987294373838</v>
      </c>
      <c r="AY555" s="31">
        <v>-87.999987294373838</v>
      </c>
    </row>
    <row r="556" spans="31:51" x14ac:dyDescent="0.25">
      <c r="AE556">
        <v>4.1369999999999996</v>
      </c>
      <c r="AF556">
        <v>4</v>
      </c>
      <c r="AG556">
        <v>1</v>
      </c>
      <c r="AH556">
        <v>2</v>
      </c>
      <c r="AI556">
        <v>1.9999999998981366</v>
      </c>
      <c r="AJ556">
        <v>4.1372199999999992</v>
      </c>
      <c r="AK556">
        <v>4.1371199999999995</v>
      </c>
      <c r="AL556">
        <v>0</v>
      </c>
      <c r="AM556">
        <v>0</v>
      </c>
      <c r="AN556">
        <v>0</v>
      </c>
      <c r="AO556">
        <v>-85.999987583138065</v>
      </c>
      <c r="AP556">
        <v>0</v>
      </c>
      <c r="AQ556">
        <v>0</v>
      </c>
      <c r="AR556" t="str">
        <v>1613.par</v>
      </c>
      <c r="AV556" t="str">
        <v>0,204,204</v>
      </c>
      <c r="AW556" s="31">
        <v>0</v>
      </c>
      <c r="AX556" s="31">
        <v>85.999987583138065</v>
      </c>
      <c r="AY556" s="31">
        <v>-85.999987583138065</v>
      </c>
    </row>
    <row r="557" spans="31:51" x14ac:dyDescent="0.25">
      <c r="AE557">
        <v>4.1340000000000003</v>
      </c>
      <c r="AF557">
        <v>4</v>
      </c>
      <c r="AG557">
        <v>1</v>
      </c>
      <c r="AH557">
        <v>2</v>
      </c>
      <c r="AI557">
        <v>1.9999999999708962</v>
      </c>
      <c r="AJ557">
        <v>4.13422</v>
      </c>
      <c r="AK557">
        <v>4.1341200000000002</v>
      </c>
      <c r="AL557">
        <v>0</v>
      </c>
      <c r="AM557">
        <v>0</v>
      </c>
      <c r="AN557">
        <v>0</v>
      </c>
      <c r="AO557">
        <v>-80.099988434992554</v>
      </c>
      <c r="AP557">
        <v>0</v>
      </c>
      <c r="AQ557">
        <v>0</v>
      </c>
      <c r="AR557" t="str">
        <v>1613.par</v>
      </c>
      <c r="AV557" t="str">
        <v>0,204,204</v>
      </c>
      <c r="AW557" s="31">
        <v>0</v>
      </c>
      <c r="AX557" s="31">
        <v>80.099988434992554</v>
      </c>
      <c r="AY557" s="31">
        <v>-80.099988434992554</v>
      </c>
    </row>
    <row r="558" spans="31:51" x14ac:dyDescent="0.25">
      <c r="AE558">
        <v>4.1310000000000002</v>
      </c>
      <c r="AF558">
        <v>4</v>
      </c>
      <c r="AG558">
        <v>1</v>
      </c>
      <c r="AH558">
        <v>2</v>
      </c>
      <c r="AI558">
        <v>1.9999999999708962</v>
      </c>
      <c r="AJ558">
        <v>4.1312199999999999</v>
      </c>
      <c r="AK558">
        <v>4.1311200000000001</v>
      </c>
      <c r="AL558">
        <v>0</v>
      </c>
      <c r="AM558">
        <v>0</v>
      </c>
      <c r="AN558">
        <v>0</v>
      </c>
      <c r="AO558">
        <v>-74.099989301285248</v>
      </c>
      <c r="AP558">
        <v>0</v>
      </c>
      <c r="AQ558">
        <v>0</v>
      </c>
      <c r="AR558" t="str">
        <v>1613.par</v>
      </c>
      <c r="AV558" t="str">
        <v>0,204,204</v>
      </c>
      <c r="AW558" s="31">
        <v>0</v>
      </c>
      <c r="AX558" s="31">
        <v>74.099989301285248</v>
      </c>
      <c r="AY558" s="31">
        <v>-74.099989301285248</v>
      </c>
    </row>
    <row r="559" spans="31:51" x14ac:dyDescent="0.25">
      <c r="AE559">
        <v>4.1280000000000001</v>
      </c>
      <c r="AF559">
        <v>4</v>
      </c>
      <c r="AG559">
        <v>1</v>
      </c>
      <c r="AH559">
        <v>2</v>
      </c>
      <c r="AI559">
        <v>1.9999999999708962</v>
      </c>
      <c r="AJ559">
        <v>4.1282199999999998</v>
      </c>
      <c r="AK559">
        <v>4.12812</v>
      </c>
      <c r="AL559">
        <v>0</v>
      </c>
      <c r="AM559">
        <v>0</v>
      </c>
      <c r="AN559">
        <v>0</v>
      </c>
      <c r="AO559">
        <v>-62.499990976117786</v>
      </c>
      <c r="AP559">
        <v>0</v>
      </c>
      <c r="AQ559">
        <v>0</v>
      </c>
      <c r="AR559" t="str">
        <v>1613.par</v>
      </c>
      <c r="AV559" t="str">
        <v>0,204,204</v>
      </c>
      <c r="AW559" s="31">
        <v>0</v>
      </c>
      <c r="AX559" s="31">
        <v>62.499990976117786</v>
      </c>
      <c r="AY559" s="31">
        <v>-62.499990976117786</v>
      </c>
    </row>
    <row r="560" spans="31:51" x14ac:dyDescent="0.25">
      <c r="AE560">
        <v>4.125</v>
      </c>
      <c r="AF560">
        <v>4</v>
      </c>
      <c r="AG560">
        <v>1</v>
      </c>
      <c r="AH560">
        <v>2</v>
      </c>
      <c r="AI560">
        <v>1.9999999999708962</v>
      </c>
      <c r="AJ560">
        <v>4.1252199999999997</v>
      </c>
      <c r="AK560">
        <v>4.1251199999999999</v>
      </c>
      <c r="AL560">
        <v>0</v>
      </c>
      <c r="AM560">
        <v>0</v>
      </c>
      <c r="AN560">
        <v>0</v>
      </c>
      <c r="AO560">
        <v>-50.699992679826764</v>
      </c>
      <c r="AP560">
        <v>0</v>
      </c>
      <c r="AQ560">
        <v>0</v>
      </c>
      <c r="AR560" t="str">
        <v>1613.par</v>
      </c>
      <c r="AV560" t="str">
        <v>0,204,204</v>
      </c>
      <c r="AW560" s="31">
        <v>0</v>
      </c>
      <c r="AX560" s="31">
        <v>50.699992679826764</v>
      </c>
      <c r="AY560" s="31">
        <v>-50.699992679826764</v>
      </c>
    </row>
    <row r="561" spans="31:51" x14ac:dyDescent="0.25">
      <c r="AE561">
        <v>4.1219999999999999</v>
      </c>
      <c r="AF561">
        <v>4</v>
      </c>
      <c r="AG561">
        <v>1</v>
      </c>
      <c r="AH561">
        <v>2</v>
      </c>
      <c r="AI561">
        <v>1.9999999999708962</v>
      </c>
      <c r="AJ561">
        <v>4.1222199999999996</v>
      </c>
      <c r="AK561">
        <v>4.1221199999999998</v>
      </c>
      <c r="AL561">
        <v>0</v>
      </c>
      <c r="AM561">
        <v>0</v>
      </c>
      <c r="AN561">
        <v>0</v>
      </c>
      <c r="AO561">
        <v>-38.799994397973919</v>
      </c>
      <c r="AP561">
        <v>0</v>
      </c>
      <c r="AQ561">
        <v>0</v>
      </c>
      <c r="AR561" t="str">
        <v>1613.par</v>
      </c>
      <c r="AV561" t="str">
        <v>0,204,204</v>
      </c>
      <c r="AW561" s="31">
        <v>0</v>
      </c>
      <c r="AX561" s="31">
        <v>38.799994397973919</v>
      </c>
      <c r="AY561" s="31">
        <v>-38.799994397973919</v>
      </c>
    </row>
    <row r="562" spans="31:51" x14ac:dyDescent="0.25">
      <c r="AE562">
        <v>4.1189999999999998</v>
      </c>
      <c r="AF562">
        <v>4</v>
      </c>
      <c r="AG562">
        <v>1</v>
      </c>
      <c r="AH562">
        <v>2</v>
      </c>
      <c r="AI562">
        <v>1.9999999999708962</v>
      </c>
      <c r="AJ562">
        <v>4.1192199999999994</v>
      </c>
      <c r="AK562">
        <v>4.1191199999999997</v>
      </c>
      <c r="AL562">
        <v>0</v>
      </c>
      <c r="AM562">
        <v>0</v>
      </c>
      <c r="AN562">
        <v>0</v>
      </c>
      <c r="AO562">
        <v>-26.999996101682843</v>
      </c>
      <c r="AP562">
        <v>0</v>
      </c>
      <c r="AQ562">
        <v>0</v>
      </c>
      <c r="AR562" t="str">
        <v>1613.par</v>
      </c>
      <c r="AV562" t="str">
        <v>0,204,204</v>
      </c>
      <c r="AW562" s="31">
        <v>0</v>
      </c>
      <c r="AX562" s="31">
        <v>26.999996101682843</v>
      </c>
      <c r="AY562" s="31">
        <v>-26.999996101682843</v>
      </c>
    </row>
    <row r="563" spans="31:51" x14ac:dyDescent="0.25">
      <c r="AE563">
        <v>4.1159999999999997</v>
      </c>
      <c r="AF563">
        <v>4</v>
      </c>
      <c r="AG563">
        <v>1</v>
      </c>
      <c r="AH563">
        <v>2</v>
      </c>
      <c r="AI563">
        <v>1.9999999998981366</v>
      </c>
      <c r="AJ563">
        <v>4.1162199999999993</v>
      </c>
      <c r="AK563">
        <v>4.1161199999999996</v>
      </c>
      <c r="AL563">
        <v>0</v>
      </c>
      <c r="AM563">
        <v>0</v>
      </c>
      <c r="AN563">
        <v>0</v>
      </c>
      <c r="AO563">
        <v>-14.999997834268299</v>
      </c>
      <c r="AP563">
        <v>0</v>
      </c>
      <c r="AQ563">
        <v>0</v>
      </c>
      <c r="AR563" t="str">
        <v>1613.par</v>
      </c>
      <c r="AV563" t="str">
        <v>0,204,204</v>
      </c>
      <c r="AW563" s="31">
        <v>0</v>
      </c>
      <c r="AX563" s="31">
        <v>14.999997834268299</v>
      </c>
      <c r="AY563" s="31">
        <v>-14.999997834268299</v>
      </c>
    </row>
    <row r="564" spans="31:51" x14ac:dyDescent="0.25">
      <c r="AE564">
        <v>4.1130000000000004</v>
      </c>
      <c r="AF564">
        <v>4</v>
      </c>
      <c r="AG564">
        <v>1</v>
      </c>
      <c r="AH564">
        <v>2</v>
      </c>
      <c r="AI564">
        <v>2.0000000000436557</v>
      </c>
      <c r="AJ564">
        <v>4.1132200000000001</v>
      </c>
      <c r="AK564">
        <v>4.1131200000000003</v>
      </c>
      <c r="AL564">
        <v>0</v>
      </c>
      <c r="AM564">
        <v>0</v>
      </c>
      <c r="AN564">
        <v>0</v>
      </c>
      <c r="AO564">
        <v>-3.5999994802242887</v>
      </c>
      <c r="AP564">
        <v>0</v>
      </c>
      <c r="AQ564">
        <v>0</v>
      </c>
      <c r="AR564" t="str">
        <v>1613.par</v>
      </c>
      <c r="AV564" t="str">
        <v>0,204,204</v>
      </c>
      <c r="AW564" s="31">
        <v>0</v>
      </c>
      <c r="AX564" s="31">
        <v>3.5999994802242887</v>
      </c>
      <c r="AY564" s="31">
        <v>-3.5999994802242887</v>
      </c>
    </row>
    <row r="565" spans="31:51" x14ac:dyDescent="0.25">
      <c r="AE565">
        <v>3.2360000000000002</v>
      </c>
      <c r="AF565">
        <v>3</v>
      </c>
      <c r="AG565">
        <v>2</v>
      </c>
      <c r="AH565">
        <v>2</v>
      </c>
      <c r="AI565">
        <v>2.0000000000436557</v>
      </c>
      <c r="AJ565">
        <v>3.2362200000000003</v>
      </c>
      <c r="AK565">
        <v>3.2361200000000001</v>
      </c>
      <c r="AL565">
        <v>0</v>
      </c>
      <c r="AM565">
        <v>0</v>
      </c>
      <c r="AN565">
        <v>0</v>
      </c>
      <c r="AO565">
        <v>-83.029988011952952</v>
      </c>
      <c r="AP565">
        <v>0</v>
      </c>
      <c r="AQ565">
        <v>0</v>
      </c>
      <c r="AR565" t="str">
        <v>32193r1.par</v>
      </c>
      <c r="AV565" t="str">
        <v>97,255,97</v>
      </c>
      <c r="AW565" s="31">
        <v>0</v>
      </c>
      <c r="AX565" s="31">
        <v>83.029988011952952</v>
      </c>
      <c r="AY565" s="31">
        <v>-83.029988011952952</v>
      </c>
    </row>
    <row r="566" spans="31:51" x14ac:dyDescent="0.25">
      <c r="AE566">
        <v>3.2330000000000001</v>
      </c>
      <c r="AF566">
        <v>3</v>
      </c>
      <c r="AG566">
        <v>2</v>
      </c>
      <c r="AH566">
        <v>2</v>
      </c>
      <c r="AI566">
        <v>2.000000000007276</v>
      </c>
      <c r="AJ566">
        <v>3.2332200000000002</v>
      </c>
      <c r="AK566">
        <v>3.23312</v>
      </c>
      <c r="AL566">
        <v>0</v>
      </c>
      <c r="AM566">
        <v>0</v>
      </c>
      <c r="AN566">
        <v>0</v>
      </c>
      <c r="AO566">
        <v>-77.369988829155744</v>
      </c>
      <c r="AP566">
        <v>0</v>
      </c>
      <c r="AQ566">
        <v>0</v>
      </c>
      <c r="AR566" t="str">
        <v>32193r1.par</v>
      </c>
      <c r="AV566" t="str">
        <v>97,255,97</v>
      </c>
      <c r="AW566" s="31">
        <v>0</v>
      </c>
      <c r="AX566" s="31">
        <v>77.369988829155744</v>
      </c>
      <c r="AY566" s="31">
        <v>-77.369988829155744</v>
      </c>
    </row>
    <row r="567" spans="31:51" x14ac:dyDescent="0.25">
      <c r="AE567">
        <v>3.23</v>
      </c>
      <c r="AF567">
        <v>3</v>
      </c>
      <c r="AG567">
        <v>2</v>
      </c>
      <c r="AH567">
        <v>2</v>
      </c>
      <c r="AI567">
        <v>2.000000000007276</v>
      </c>
      <c r="AJ567">
        <v>3.2302200000000001</v>
      </c>
      <c r="AK567">
        <v>3.2301199999999999</v>
      </c>
      <c r="AL567">
        <v>0</v>
      </c>
      <c r="AM567">
        <v>0</v>
      </c>
      <c r="AN567">
        <v>0</v>
      </c>
      <c r="AO567">
        <v>-69.489989966886796</v>
      </c>
      <c r="AP567">
        <v>0</v>
      </c>
      <c r="AQ567">
        <v>0</v>
      </c>
      <c r="AR567" t="str">
        <v>32193r1.par</v>
      </c>
      <c r="AV567" t="str">
        <v>97,255,97</v>
      </c>
      <c r="AW567" s="31">
        <v>0</v>
      </c>
      <c r="AX567" s="31">
        <v>69.489989966886796</v>
      </c>
      <c r="AY567" s="31">
        <v>-69.489989966886796</v>
      </c>
    </row>
    <row r="568" spans="31:51" x14ac:dyDescent="0.25">
      <c r="AE568">
        <v>3.2269999999999999</v>
      </c>
      <c r="AF568">
        <v>3</v>
      </c>
      <c r="AG568">
        <v>2</v>
      </c>
      <c r="AH568">
        <v>2</v>
      </c>
      <c r="AI568">
        <v>2.000000000007276</v>
      </c>
      <c r="AJ568">
        <v>3.22722</v>
      </c>
      <c r="AK568">
        <v>3.2271199999999998</v>
      </c>
      <c r="AL568">
        <v>0</v>
      </c>
      <c r="AM568">
        <v>0</v>
      </c>
      <c r="AN568">
        <v>0</v>
      </c>
      <c r="AO568">
        <v>-55.989991916045376</v>
      </c>
      <c r="AP568">
        <v>0</v>
      </c>
      <c r="AQ568">
        <v>0</v>
      </c>
      <c r="AR568" t="str">
        <v>32193r1.par</v>
      </c>
      <c r="AV568" t="str">
        <v>97,255,97</v>
      </c>
      <c r="AW568" s="31">
        <v>0</v>
      </c>
      <c r="AX568" s="31">
        <v>55.989991916045376</v>
      </c>
      <c r="AY568" s="31">
        <v>-55.989991916045376</v>
      </c>
    </row>
    <row r="569" spans="31:51" x14ac:dyDescent="0.25">
      <c r="AE569">
        <v>3.2240000000000002</v>
      </c>
      <c r="AF569">
        <v>3</v>
      </c>
      <c r="AG569">
        <v>2</v>
      </c>
      <c r="AH569">
        <v>2</v>
      </c>
      <c r="AI569">
        <v>2.0000000000436557</v>
      </c>
      <c r="AJ569">
        <v>3.2242200000000003</v>
      </c>
      <c r="AK569">
        <v>3.2241200000000001</v>
      </c>
      <c r="AL569">
        <v>0</v>
      </c>
      <c r="AM569">
        <v>0</v>
      </c>
      <c r="AN569">
        <v>0</v>
      </c>
      <c r="AO569">
        <v>-42.359993883973594</v>
      </c>
      <c r="AP569">
        <v>0</v>
      </c>
      <c r="AQ569">
        <v>0</v>
      </c>
      <c r="AR569" t="str">
        <v>32193r1.par</v>
      </c>
      <c r="AV569" t="str">
        <v>97,255,97</v>
      </c>
      <c r="AW569" s="31">
        <v>0</v>
      </c>
      <c r="AX569" s="31">
        <v>42.359993883973594</v>
      </c>
      <c r="AY569" s="31">
        <v>-42.359993883973594</v>
      </c>
    </row>
    <row r="570" spans="31:51" x14ac:dyDescent="0.25">
      <c r="AE570">
        <v>3.2210000000000001</v>
      </c>
      <c r="AF570">
        <v>3</v>
      </c>
      <c r="AG570">
        <v>2</v>
      </c>
      <c r="AH570">
        <v>2</v>
      </c>
      <c r="AI570">
        <v>2.000000000007276</v>
      </c>
      <c r="AJ570">
        <v>3.2212200000000002</v>
      </c>
      <c r="AK570">
        <v>3.22112</v>
      </c>
      <c r="AL570">
        <v>0</v>
      </c>
      <c r="AM570">
        <v>0</v>
      </c>
      <c r="AN570">
        <v>0</v>
      </c>
      <c r="AO570">
        <v>-28.739995850458001</v>
      </c>
      <c r="AP570">
        <v>0</v>
      </c>
      <c r="AQ570">
        <v>0</v>
      </c>
      <c r="AR570" t="str">
        <v>32193r1.par</v>
      </c>
      <c r="AV570" t="str">
        <v>97,255,97</v>
      </c>
      <c r="AW570" s="31">
        <v>0</v>
      </c>
      <c r="AX570" s="31">
        <v>28.739995850458001</v>
      </c>
      <c r="AY570" s="31">
        <v>-28.739995850458001</v>
      </c>
    </row>
    <row r="571" spans="31:51" x14ac:dyDescent="0.25">
      <c r="AE571">
        <v>3.218</v>
      </c>
      <c r="AF571">
        <v>3</v>
      </c>
      <c r="AG571">
        <v>2</v>
      </c>
      <c r="AH571">
        <v>2</v>
      </c>
      <c r="AI571">
        <v>2.000000000007276</v>
      </c>
      <c r="AJ571">
        <v>3.2182200000000001</v>
      </c>
      <c r="AK571">
        <v>3.2181199999999999</v>
      </c>
      <c r="AL571">
        <v>0</v>
      </c>
      <c r="AM571">
        <v>0</v>
      </c>
      <c r="AN571">
        <v>0</v>
      </c>
      <c r="AO571">
        <v>-15.039997828492986</v>
      </c>
      <c r="AP571">
        <v>0</v>
      </c>
      <c r="AQ571">
        <v>0</v>
      </c>
      <c r="AR571" t="str">
        <v>32193r1.par</v>
      </c>
      <c r="AV571" t="str">
        <v>97,255,97</v>
      </c>
      <c r="AW571" s="31">
        <v>0</v>
      </c>
      <c r="AX571" s="31">
        <v>15.039997828492986</v>
      </c>
      <c r="AY571" s="31">
        <v>-15.039997828492986</v>
      </c>
    </row>
    <row r="572" spans="31:51" x14ac:dyDescent="0.25">
      <c r="AE572">
        <v>3.2149999999999999</v>
      </c>
      <c r="AF572">
        <v>3</v>
      </c>
      <c r="AG572">
        <v>2</v>
      </c>
      <c r="AH572">
        <v>2</v>
      </c>
      <c r="AI572">
        <v>2.000000000007276</v>
      </c>
      <c r="AJ572">
        <v>3.21522</v>
      </c>
      <c r="AK572">
        <v>3.2151199999999998</v>
      </c>
      <c r="AL572">
        <v>0</v>
      </c>
      <c r="AM572">
        <v>0</v>
      </c>
      <c r="AN572">
        <v>0</v>
      </c>
      <c r="AO572">
        <v>-1.3999997978650411</v>
      </c>
      <c r="AP572">
        <v>0</v>
      </c>
      <c r="AQ572">
        <v>0</v>
      </c>
      <c r="AR572" t="str">
        <v>32193r1.par</v>
      </c>
      <c r="AV572" t="str">
        <v>97,255,97</v>
      </c>
      <c r="AW572" s="31">
        <v>0</v>
      </c>
      <c r="AX572" s="31">
        <v>1.3999997978650411</v>
      </c>
      <c r="AY572" s="31">
        <v>-1.3999997978650411</v>
      </c>
    </row>
    <row r="573" spans="31:51" x14ac:dyDescent="0.25">
      <c r="AE573">
        <v>3.1389999999999998</v>
      </c>
      <c r="AF573">
        <v>3</v>
      </c>
      <c r="AG573">
        <v>1</v>
      </c>
      <c r="AH573">
        <v>2</v>
      </c>
      <c r="AI573">
        <v>2.000000000007276</v>
      </c>
      <c r="AJ573">
        <v>3.1392199999999999</v>
      </c>
      <c r="AK573">
        <v>3.1391199999999997</v>
      </c>
      <c r="AL573">
        <v>0</v>
      </c>
      <c r="AM573">
        <v>0</v>
      </c>
      <c r="AN573">
        <v>0</v>
      </c>
      <c r="AO573">
        <v>-87.999987294373838</v>
      </c>
      <c r="AP573">
        <v>0</v>
      </c>
      <c r="AQ573">
        <v>0</v>
      </c>
      <c r="AR573" t="str">
        <v>1613.par</v>
      </c>
      <c r="AV573" t="str">
        <v>0,204,0</v>
      </c>
      <c r="AW573" s="31">
        <v>0</v>
      </c>
      <c r="AX573" s="31">
        <v>87.999987294373838</v>
      </c>
      <c r="AY573" s="31">
        <v>-87.999987294373838</v>
      </c>
    </row>
    <row r="574" spans="31:51" x14ac:dyDescent="0.25">
      <c r="AE574">
        <v>3.1360000000000001</v>
      </c>
      <c r="AF574">
        <v>3</v>
      </c>
      <c r="AG574">
        <v>1</v>
      </c>
      <c r="AH574">
        <v>2</v>
      </c>
      <c r="AI574">
        <v>2.000000000007276</v>
      </c>
      <c r="AJ574">
        <v>3.1362200000000002</v>
      </c>
      <c r="AK574">
        <v>3.13612</v>
      </c>
      <c r="AL574">
        <v>0</v>
      </c>
      <c r="AM574">
        <v>0</v>
      </c>
      <c r="AN574">
        <v>0</v>
      </c>
      <c r="AO574">
        <v>-83.99998787190232</v>
      </c>
      <c r="AP574">
        <v>0</v>
      </c>
      <c r="AQ574">
        <v>0</v>
      </c>
      <c r="AR574" t="str">
        <v>1613.par</v>
      </c>
      <c r="AV574" t="str">
        <v>0,204,0</v>
      </c>
      <c r="AW574" s="31">
        <v>0</v>
      </c>
      <c r="AX574" s="31">
        <v>83.99998787190232</v>
      </c>
      <c r="AY574" s="31">
        <v>-83.99998787190232</v>
      </c>
    </row>
    <row r="575" spans="31:51" x14ac:dyDescent="0.25">
      <c r="AE575">
        <v>3.133</v>
      </c>
      <c r="AF575">
        <v>3</v>
      </c>
      <c r="AG575">
        <v>1</v>
      </c>
      <c r="AH575">
        <v>2</v>
      </c>
      <c r="AI575">
        <v>2.000000000007276</v>
      </c>
      <c r="AJ575">
        <v>3.1332200000000001</v>
      </c>
      <c r="AK575">
        <v>3.1331199999999999</v>
      </c>
      <c r="AL575">
        <v>0</v>
      </c>
      <c r="AM575">
        <v>0</v>
      </c>
      <c r="AN575">
        <v>0</v>
      </c>
      <c r="AO575">
        <v>-78.099988723756752</v>
      </c>
      <c r="AP575">
        <v>0</v>
      </c>
      <c r="AQ575">
        <v>0</v>
      </c>
      <c r="AR575" t="str">
        <v>1613.par</v>
      </c>
      <c r="AV575" t="str">
        <v>0,204,0</v>
      </c>
      <c r="AW575" s="31">
        <v>0</v>
      </c>
      <c r="AX575" s="31">
        <v>78.099988723756752</v>
      </c>
      <c r="AY575" s="31">
        <v>-78.099988723756752</v>
      </c>
    </row>
    <row r="576" spans="31:51" x14ac:dyDescent="0.25">
      <c r="AE576">
        <v>3.13</v>
      </c>
      <c r="AF576">
        <v>3</v>
      </c>
      <c r="AG576">
        <v>1</v>
      </c>
      <c r="AH576">
        <v>2</v>
      </c>
      <c r="AI576">
        <v>2.000000000007276</v>
      </c>
      <c r="AJ576">
        <v>3.13022</v>
      </c>
      <c r="AK576">
        <v>3.1301199999999998</v>
      </c>
      <c r="AL576">
        <v>0</v>
      </c>
      <c r="AM576">
        <v>0</v>
      </c>
      <c r="AN576">
        <v>0</v>
      </c>
      <c r="AO576">
        <v>-70.19998986437551</v>
      </c>
      <c r="AP576">
        <v>0</v>
      </c>
      <c r="AQ576">
        <v>0</v>
      </c>
      <c r="AR576" t="str">
        <v>1613.par</v>
      </c>
      <c r="AV576" t="str">
        <v>0,204,0</v>
      </c>
      <c r="AW576" s="31">
        <v>0</v>
      </c>
      <c r="AX576" s="31">
        <v>70.19998986437551</v>
      </c>
      <c r="AY576" s="31">
        <v>-70.19998986437551</v>
      </c>
    </row>
    <row r="577" spans="31:51" x14ac:dyDescent="0.25">
      <c r="AE577">
        <v>3.1269999999999998</v>
      </c>
      <c r="AF577">
        <v>3</v>
      </c>
      <c r="AG577">
        <v>1</v>
      </c>
      <c r="AH577">
        <v>2</v>
      </c>
      <c r="AI577">
        <v>1.9999999999708962</v>
      </c>
      <c r="AJ577">
        <v>3.1272199999999999</v>
      </c>
      <c r="AK577">
        <v>3.1271199999999997</v>
      </c>
      <c r="AL577">
        <v>0</v>
      </c>
      <c r="AM577">
        <v>0</v>
      </c>
      <c r="AN577">
        <v>0</v>
      </c>
      <c r="AO577">
        <v>-58.499991553646254</v>
      </c>
      <c r="AP577">
        <v>0</v>
      </c>
      <c r="AQ577">
        <v>0</v>
      </c>
      <c r="AR577" t="str">
        <v>1613.par</v>
      </c>
      <c r="AV577" t="str">
        <v>0,204,0</v>
      </c>
      <c r="AW577" s="31">
        <v>0</v>
      </c>
      <c r="AX577" s="31">
        <v>58.499991553646254</v>
      </c>
      <c r="AY577" s="31">
        <v>-58.499991553646254</v>
      </c>
    </row>
    <row r="578" spans="31:51" x14ac:dyDescent="0.25">
      <c r="AE578">
        <v>3.1240000000000001</v>
      </c>
      <c r="AF578">
        <v>3</v>
      </c>
      <c r="AG578">
        <v>1</v>
      </c>
      <c r="AH578">
        <v>2</v>
      </c>
      <c r="AI578">
        <v>2.000000000007276</v>
      </c>
      <c r="AJ578">
        <v>3.1242200000000002</v>
      </c>
      <c r="AK578">
        <v>3.12412</v>
      </c>
      <c r="AL578">
        <v>0</v>
      </c>
      <c r="AM578">
        <v>0</v>
      </c>
      <c r="AN578">
        <v>0</v>
      </c>
      <c r="AO578">
        <v>-46.699993257355175</v>
      </c>
      <c r="AP578">
        <v>0</v>
      </c>
      <c r="AQ578">
        <v>0</v>
      </c>
      <c r="AR578" t="str">
        <v>1613.par</v>
      </c>
      <c r="AV578" t="str">
        <v>0,204,0</v>
      </c>
      <c r="AW578" s="31">
        <v>0</v>
      </c>
      <c r="AX578" s="31">
        <v>46.699993257355175</v>
      </c>
      <c r="AY578" s="31">
        <v>-46.699993257355175</v>
      </c>
    </row>
    <row r="579" spans="31:51" x14ac:dyDescent="0.25">
      <c r="AE579">
        <v>3.121</v>
      </c>
      <c r="AF579">
        <v>3</v>
      </c>
      <c r="AG579">
        <v>1</v>
      </c>
      <c r="AH579">
        <v>2</v>
      </c>
      <c r="AI579">
        <v>2.000000000007276</v>
      </c>
      <c r="AJ579">
        <v>3.1212200000000001</v>
      </c>
      <c r="AK579">
        <v>3.1211199999999999</v>
      </c>
      <c r="AL579">
        <v>0</v>
      </c>
      <c r="AM579">
        <v>0</v>
      </c>
      <c r="AN579">
        <v>0</v>
      </c>
      <c r="AO579">
        <v>-34.899994961064216</v>
      </c>
      <c r="AP579">
        <v>0</v>
      </c>
      <c r="AQ579">
        <v>0</v>
      </c>
      <c r="AR579" t="str">
        <v>1613.par</v>
      </c>
      <c r="AV579" t="str">
        <v>0,204,0</v>
      </c>
      <c r="AW579" s="31">
        <v>0</v>
      </c>
      <c r="AX579" s="31">
        <v>34.899994961064216</v>
      </c>
      <c r="AY579" s="31">
        <v>-34.899994961064216</v>
      </c>
    </row>
    <row r="580" spans="31:51" x14ac:dyDescent="0.25">
      <c r="AE580">
        <v>3.1179999999999999</v>
      </c>
      <c r="AF580">
        <v>3</v>
      </c>
      <c r="AG580">
        <v>1</v>
      </c>
      <c r="AH580">
        <v>2</v>
      </c>
      <c r="AI580">
        <v>2.000000000007276</v>
      </c>
      <c r="AJ580">
        <v>3.11822</v>
      </c>
      <c r="AK580">
        <v>3.1181199999999998</v>
      </c>
      <c r="AL580">
        <v>0</v>
      </c>
      <c r="AM580">
        <v>0</v>
      </c>
      <c r="AN580">
        <v>0</v>
      </c>
      <c r="AO580">
        <v>-22.999996679211449</v>
      </c>
      <c r="AP580">
        <v>0</v>
      </c>
      <c r="AQ580">
        <v>0</v>
      </c>
      <c r="AR580" t="str">
        <v>1613.par</v>
      </c>
      <c r="AV580" t="str">
        <v>0,204,0</v>
      </c>
      <c r="AW580" s="31">
        <v>0</v>
      </c>
      <c r="AX580" s="31">
        <v>22.999996679211449</v>
      </c>
      <c r="AY580" s="31">
        <v>-22.999996679211449</v>
      </c>
    </row>
    <row r="581" spans="31:51" x14ac:dyDescent="0.25">
      <c r="AE581">
        <v>3.1150000000000002</v>
      </c>
      <c r="AF581">
        <v>3</v>
      </c>
      <c r="AG581">
        <v>1</v>
      </c>
      <c r="AH581">
        <v>2</v>
      </c>
      <c r="AI581">
        <v>2.0000000000436557</v>
      </c>
      <c r="AJ581">
        <v>3.1152200000000003</v>
      </c>
      <c r="AK581">
        <v>3.1151200000000001</v>
      </c>
      <c r="AL581">
        <v>0</v>
      </c>
      <c r="AM581">
        <v>0</v>
      </c>
      <c r="AN581">
        <v>0</v>
      </c>
      <c r="AO581">
        <v>-11.199998382920322</v>
      </c>
      <c r="AP581">
        <v>0</v>
      </c>
      <c r="AQ581">
        <v>0</v>
      </c>
      <c r="AR581" t="str">
        <v>1613.par</v>
      </c>
      <c r="AV581" t="str">
        <v>0,204,0</v>
      </c>
      <c r="AW581" s="31">
        <v>0</v>
      </c>
      <c r="AX581" s="31">
        <v>11.199998382920322</v>
      </c>
      <c r="AY581" s="31">
        <v>-11.199998382920322</v>
      </c>
    </row>
    <row r="582" spans="31:51" x14ac:dyDescent="0.25">
      <c r="AE582">
        <v>3.1120000000000001</v>
      </c>
      <c r="AF582">
        <v>3</v>
      </c>
      <c r="AG582">
        <v>1</v>
      </c>
      <c r="AH582">
        <v>2</v>
      </c>
      <c r="AI582">
        <v>2.000000000007276</v>
      </c>
      <c r="AJ582">
        <v>3.1122200000000002</v>
      </c>
      <c r="AK582">
        <v>3.11212</v>
      </c>
      <c r="AL582">
        <v>0</v>
      </c>
      <c r="AM582">
        <v>0</v>
      </c>
      <c r="AN582">
        <v>0</v>
      </c>
      <c r="AO582">
        <v>0.39999994224709218</v>
      </c>
      <c r="AP582">
        <v>0</v>
      </c>
      <c r="AQ582">
        <v>0</v>
      </c>
      <c r="AR582" t="str">
        <v>1613.par</v>
      </c>
      <c r="AV582" t="str">
        <v>0,204,0</v>
      </c>
      <c r="AW582" s="31">
        <v>0</v>
      </c>
      <c r="AX582" s="31">
        <v>-0.39999994224709218</v>
      </c>
      <c r="AY582" s="31">
        <v>0.39999994224709218</v>
      </c>
    </row>
    <row r="583" spans="31:51" x14ac:dyDescent="0.25">
      <c r="AE583">
        <v>3.109</v>
      </c>
      <c r="AF583">
        <v>3</v>
      </c>
      <c r="AG583">
        <v>1</v>
      </c>
      <c r="AH583">
        <v>2</v>
      </c>
      <c r="AI583">
        <v>2.000000000007276</v>
      </c>
      <c r="AJ583">
        <v>3.1092200000000001</v>
      </c>
      <c r="AK583">
        <v>3.1091199999999999</v>
      </c>
      <c r="AL583">
        <v>0</v>
      </c>
      <c r="AM583">
        <v>0</v>
      </c>
      <c r="AN583">
        <v>0</v>
      </c>
      <c r="AO583">
        <v>2.999999566853591</v>
      </c>
      <c r="AP583">
        <v>0</v>
      </c>
      <c r="AQ583">
        <v>0</v>
      </c>
      <c r="AR583" t="str">
        <v>1613.par</v>
      </c>
      <c r="AV583" t="str">
        <v>0,204,0</v>
      </c>
      <c r="AW583" s="31">
        <v>0</v>
      </c>
      <c r="AX583" s="31">
        <v>-2.999999566853591</v>
      </c>
      <c r="AY583" s="31">
        <v>2.999999566853591</v>
      </c>
    </row>
    <row r="584" spans="31:51" x14ac:dyDescent="0.25">
      <c r="AE584">
        <v>3.1059999999999999</v>
      </c>
      <c r="AF584">
        <v>3</v>
      </c>
      <c r="AG584">
        <v>1</v>
      </c>
      <c r="AH584">
        <v>2</v>
      </c>
      <c r="AI584">
        <v>2.000000000007276</v>
      </c>
      <c r="AJ584">
        <v>3.10622</v>
      </c>
      <c r="AK584">
        <v>3.1061199999999998</v>
      </c>
      <c r="AL584">
        <v>0</v>
      </c>
      <c r="AM584">
        <v>0</v>
      </c>
      <c r="AN584">
        <v>0</v>
      </c>
      <c r="AO584">
        <v>2.9999995668536275</v>
      </c>
      <c r="AP584">
        <v>0</v>
      </c>
      <c r="AQ584">
        <v>0</v>
      </c>
      <c r="AR584" t="str">
        <v>1613.par</v>
      </c>
      <c r="AV584" t="str">
        <v>0,204,0</v>
      </c>
      <c r="AW584" s="31">
        <v>0</v>
      </c>
      <c r="AX584" s="31">
        <v>-2.9999995668536275</v>
      </c>
      <c r="AY584" s="31">
        <v>2.9999995668536275</v>
      </c>
    </row>
    <row r="585" spans="31:51" x14ac:dyDescent="0.25">
      <c r="AE585">
        <v>3.1030000000000002</v>
      </c>
      <c r="AF585">
        <v>3</v>
      </c>
      <c r="AG585">
        <v>1</v>
      </c>
      <c r="AH585">
        <v>2</v>
      </c>
      <c r="AI585">
        <v>2.0000000000436557</v>
      </c>
      <c r="AJ585">
        <v>3.1032200000000003</v>
      </c>
      <c r="AK585">
        <v>3.1031200000000001</v>
      </c>
      <c r="AL585">
        <v>0</v>
      </c>
      <c r="AM585">
        <v>0</v>
      </c>
      <c r="AN585">
        <v>0</v>
      </c>
      <c r="AO585">
        <v>3.999999422471531</v>
      </c>
      <c r="AP585">
        <v>0</v>
      </c>
      <c r="AQ585">
        <v>0</v>
      </c>
      <c r="AR585" t="str">
        <v>1613.par</v>
      </c>
      <c r="AV585" t="str">
        <v>0,204,0</v>
      </c>
      <c r="AW585" s="31">
        <v>0</v>
      </c>
      <c r="AX585" s="31">
        <v>-3.999999422471531</v>
      </c>
      <c r="AY585" s="31">
        <v>3.999999422471531</v>
      </c>
    </row>
    <row r="586" spans="31:51" x14ac:dyDescent="0.25">
      <c r="AE586">
        <v>2.2349999999999999</v>
      </c>
      <c r="AF586">
        <v>2</v>
      </c>
      <c r="AG586">
        <v>2</v>
      </c>
      <c r="AH586">
        <v>2</v>
      </c>
      <c r="AI586">
        <v>2.000000000007276</v>
      </c>
      <c r="AJ586">
        <v>2.23522</v>
      </c>
      <c r="AK586">
        <v>2.2351199999999998</v>
      </c>
      <c r="AL586">
        <v>0</v>
      </c>
      <c r="AM586">
        <v>0</v>
      </c>
      <c r="AN586">
        <v>0</v>
      </c>
      <c r="AO586">
        <v>-81.139988284835155</v>
      </c>
      <c r="AP586">
        <v>0</v>
      </c>
      <c r="AQ586">
        <v>0</v>
      </c>
      <c r="AR586" t="str">
        <v>32193r1.par</v>
      </c>
      <c r="AV586" t="str">
        <v>255,255,91</v>
      </c>
      <c r="AW586" s="31">
        <v>0</v>
      </c>
      <c r="AX586" s="31">
        <v>81.139988284835155</v>
      </c>
      <c r="AY586" s="31">
        <v>-81.139988284835155</v>
      </c>
    </row>
    <row r="587" spans="31:51" x14ac:dyDescent="0.25">
      <c r="AE587">
        <v>2.2320000000000002</v>
      </c>
      <c r="AF587">
        <v>2</v>
      </c>
      <c r="AG587">
        <v>2</v>
      </c>
      <c r="AH587">
        <v>2</v>
      </c>
      <c r="AI587">
        <v>2.0000000000436557</v>
      </c>
      <c r="AJ587">
        <v>2.2322200000000003</v>
      </c>
      <c r="AK587">
        <v>2.2321200000000001</v>
      </c>
      <c r="AL587">
        <v>0</v>
      </c>
      <c r="AM587">
        <v>0</v>
      </c>
      <c r="AN587">
        <v>0</v>
      </c>
      <c r="AO587">
        <v>-75.519989096262663</v>
      </c>
      <c r="AP587">
        <v>0</v>
      </c>
      <c r="AQ587">
        <v>0</v>
      </c>
      <c r="AR587" t="str">
        <v>32193r1.par</v>
      </c>
      <c r="AV587" t="str">
        <v>255,255,91</v>
      </c>
      <c r="AW587" s="31">
        <v>0</v>
      </c>
      <c r="AX587" s="31">
        <v>75.519989096262663</v>
      </c>
      <c r="AY587" s="31">
        <v>-75.519989096262663</v>
      </c>
    </row>
    <row r="588" spans="31:51" x14ac:dyDescent="0.25">
      <c r="AE588">
        <v>2.2290000000000001</v>
      </c>
      <c r="AF588">
        <v>2</v>
      </c>
      <c r="AG588">
        <v>2</v>
      </c>
      <c r="AH588">
        <v>2</v>
      </c>
      <c r="AI588">
        <v>2.000000000007276</v>
      </c>
      <c r="AJ588">
        <v>2.2292200000000002</v>
      </c>
      <c r="AK588">
        <v>2.22912</v>
      </c>
      <c r="AL588">
        <v>0</v>
      </c>
      <c r="AM588">
        <v>0</v>
      </c>
      <c r="AN588">
        <v>0</v>
      </c>
      <c r="AO588">
        <v>-65.009990613718685</v>
      </c>
      <c r="AP588">
        <v>0</v>
      </c>
      <c r="AQ588">
        <v>0</v>
      </c>
      <c r="AR588" t="str">
        <v>32193r1.par</v>
      </c>
      <c r="AV588" t="str">
        <v>255,255,91</v>
      </c>
      <c r="AW588" s="31">
        <v>0</v>
      </c>
      <c r="AX588" s="31">
        <v>65.009990613718685</v>
      </c>
      <c r="AY588" s="31">
        <v>-65.009990613718685</v>
      </c>
    </row>
    <row r="589" spans="31:51" x14ac:dyDescent="0.25">
      <c r="AE589">
        <v>2.226</v>
      </c>
      <c r="AF589">
        <v>2</v>
      </c>
      <c r="AG589">
        <v>2</v>
      </c>
      <c r="AH589">
        <v>2</v>
      </c>
      <c r="AI589">
        <v>2.000000000007276</v>
      </c>
      <c r="AJ589">
        <v>2.2262200000000001</v>
      </c>
      <c r="AK589">
        <v>2.2261199999999999</v>
      </c>
      <c r="AL589">
        <v>0</v>
      </c>
      <c r="AM589">
        <v>0</v>
      </c>
      <c r="AN589">
        <v>0</v>
      </c>
      <c r="AO589">
        <v>-51.44999257154015</v>
      </c>
      <c r="AP589">
        <v>0</v>
      </c>
      <c r="AQ589">
        <v>0</v>
      </c>
      <c r="AR589" t="str">
        <v>32193r1.par</v>
      </c>
      <c r="AV589" t="str">
        <v>255,255,91</v>
      </c>
      <c r="AW589" s="31">
        <v>0</v>
      </c>
      <c r="AX589" s="31">
        <v>51.44999257154015</v>
      </c>
      <c r="AY589" s="31">
        <v>-51.44999257154015</v>
      </c>
    </row>
    <row r="590" spans="31:51" x14ac:dyDescent="0.25">
      <c r="AE590">
        <v>2.2229999999999999</v>
      </c>
      <c r="AF590">
        <v>2</v>
      </c>
      <c r="AG590">
        <v>2</v>
      </c>
      <c r="AH590">
        <v>2</v>
      </c>
      <c r="AI590">
        <v>2.000000000007276</v>
      </c>
      <c r="AJ590">
        <v>2.22322</v>
      </c>
      <c r="AK590">
        <v>2.2231199999999998</v>
      </c>
      <c r="AL590">
        <v>0</v>
      </c>
      <c r="AM590">
        <v>0</v>
      </c>
      <c r="AN590">
        <v>0</v>
      </c>
      <c r="AO590">
        <v>-37.819994539468404</v>
      </c>
      <c r="AP590">
        <v>0</v>
      </c>
      <c r="AQ590">
        <v>0</v>
      </c>
      <c r="AR590" t="str">
        <v>32193r1.par</v>
      </c>
      <c r="AV590" t="str">
        <v>255,255,91</v>
      </c>
      <c r="AW590" s="31">
        <v>0</v>
      </c>
      <c r="AX590" s="31">
        <v>37.819994539468404</v>
      </c>
      <c r="AY590" s="31">
        <v>-37.819994539468404</v>
      </c>
    </row>
    <row r="591" spans="31:51" x14ac:dyDescent="0.25">
      <c r="AE591">
        <v>2.2200000000000002</v>
      </c>
      <c r="AF591">
        <v>2</v>
      </c>
      <c r="AG591">
        <v>2</v>
      </c>
      <c r="AH591">
        <v>2</v>
      </c>
      <c r="AI591">
        <v>2.0000000000436557</v>
      </c>
      <c r="AJ591">
        <v>2.2202200000000003</v>
      </c>
      <c r="AK591">
        <v>2.2201200000000001</v>
      </c>
      <c r="AL591">
        <v>0</v>
      </c>
      <c r="AM591">
        <v>0</v>
      </c>
      <c r="AN591">
        <v>0</v>
      </c>
      <c r="AO591">
        <v>-24.199996505952807</v>
      </c>
      <c r="AP591">
        <v>0</v>
      </c>
      <c r="AQ591">
        <v>0</v>
      </c>
      <c r="AR591" t="str">
        <v>32193r1.par</v>
      </c>
      <c r="AV591" t="str">
        <v>255,255,91</v>
      </c>
      <c r="AW591" s="31">
        <v>0</v>
      </c>
      <c r="AX591" s="31">
        <v>24.199996505952807</v>
      </c>
      <c r="AY591" s="31">
        <v>-24.199996505952807</v>
      </c>
    </row>
    <row r="592" spans="31:51" x14ac:dyDescent="0.25">
      <c r="AE592">
        <v>2.2170000000000001</v>
      </c>
      <c r="AF592">
        <v>2</v>
      </c>
      <c r="AG592">
        <v>2</v>
      </c>
      <c r="AH592">
        <v>2</v>
      </c>
      <c r="AI592">
        <v>2.000000000007276</v>
      </c>
      <c r="AJ592">
        <v>2.2172200000000002</v>
      </c>
      <c r="AK592">
        <v>2.21712</v>
      </c>
      <c r="AL592">
        <v>0</v>
      </c>
      <c r="AM592">
        <v>0</v>
      </c>
      <c r="AN592">
        <v>0</v>
      </c>
      <c r="AO592">
        <v>-10.429998494094541</v>
      </c>
      <c r="AP592">
        <v>0</v>
      </c>
      <c r="AQ592">
        <v>0</v>
      </c>
      <c r="AR592" t="str">
        <v>32193r1.par</v>
      </c>
      <c r="AV592" t="str">
        <v>255,255,91</v>
      </c>
      <c r="AW592" s="31">
        <v>0</v>
      </c>
      <c r="AX592" s="31">
        <v>10.429998494094541</v>
      </c>
      <c r="AY592" s="31">
        <v>-10.429998494094541</v>
      </c>
    </row>
    <row r="593" spans="31:51" x14ac:dyDescent="0.25">
      <c r="AE593">
        <v>2.1379999999999999</v>
      </c>
      <c r="AF593">
        <v>2</v>
      </c>
      <c r="AG593">
        <v>1</v>
      </c>
      <c r="AH593">
        <v>2</v>
      </c>
      <c r="AI593">
        <v>2.000000000007276</v>
      </c>
      <c r="AJ593">
        <v>2.13822</v>
      </c>
      <c r="AK593">
        <v>2.1381199999999998</v>
      </c>
      <c r="AL593">
        <v>0</v>
      </c>
      <c r="AM593">
        <v>0</v>
      </c>
      <c r="AN593">
        <v>0</v>
      </c>
      <c r="AO593">
        <v>-87.999987294373824</v>
      </c>
      <c r="AP593">
        <v>0</v>
      </c>
      <c r="AQ593">
        <v>0</v>
      </c>
      <c r="AR593" t="str">
        <v>1613.par</v>
      </c>
      <c r="AV593" t="str">
        <v>204,204,0</v>
      </c>
      <c r="AW593" s="31">
        <v>0</v>
      </c>
      <c r="AX593" s="31">
        <v>87.999987294373824</v>
      </c>
      <c r="AY593" s="31">
        <v>-87.999987294373824</v>
      </c>
    </row>
    <row r="594" spans="31:51" x14ac:dyDescent="0.25">
      <c r="AE594">
        <v>2.1349999999999998</v>
      </c>
      <c r="AF594">
        <v>2</v>
      </c>
      <c r="AG594">
        <v>1</v>
      </c>
      <c r="AH594">
        <v>2</v>
      </c>
      <c r="AI594">
        <v>2.000000000007276</v>
      </c>
      <c r="AJ594">
        <v>2.1352199999999999</v>
      </c>
      <c r="AK594">
        <v>2.1351199999999997</v>
      </c>
      <c r="AL594">
        <v>0</v>
      </c>
      <c r="AM594">
        <v>0</v>
      </c>
      <c r="AN594">
        <v>0</v>
      </c>
      <c r="AO594">
        <v>-81.999988160666504</v>
      </c>
      <c r="AP594">
        <v>0</v>
      </c>
      <c r="AQ594">
        <v>0</v>
      </c>
      <c r="AR594" t="str">
        <v>1613.par</v>
      </c>
      <c r="AV594" t="str">
        <v>204,204,0</v>
      </c>
      <c r="AW594" s="31">
        <v>0</v>
      </c>
      <c r="AX594" s="31">
        <v>81.999988160666504</v>
      </c>
      <c r="AY594" s="31">
        <v>-81.999988160666504</v>
      </c>
    </row>
    <row r="595" spans="31:51" x14ac:dyDescent="0.25">
      <c r="AE595">
        <v>2.1320000000000001</v>
      </c>
      <c r="AF595">
        <v>2</v>
      </c>
      <c r="AG595">
        <v>1</v>
      </c>
      <c r="AH595">
        <v>2</v>
      </c>
      <c r="AI595">
        <v>2.000000000007276</v>
      </c>
      <c r="AJ595">
        <v>2.1322200000000002</v>
      </c>
      <c r="AK595">
        <v>2.13212</v>
      </c>
      <c r="AL595">
        <v>0</v>
      </c>
      <c r="AM595">
        <v>0</v>
      </c>
      <c r="AN595">
        <v>0</v>
      </c>
      <c r="AO595">
        <v>-76.099989012521036</v>
      </c>
      <c r="AP595">
        <v>0</v>
      </c>
      <c r="AQ595">
        <v>0</v>
      </c>
      <c r="AR595" t="str">
        <v>1613.par</v>
      </c>
      <c r="AV595" t="str">
        <v>204,204,0</v>
      </c>
      <c r="AW595" s="31">
        <v>0</v>
      </c>
      <c r="AX595" s="31">
        <v>76.099989012521036</v>
      </c>
      <c r="AY595" s="31">
        <v>-76.099989012521036</v>
      </c>
    </row>
    <row r="596" spans="31:51" x14ac:dyDescent="0.25">
      <c r="AE596">
        <v>2.129</v>
      </c>
      <c r="AF596">
        <v>2</v>
      </c>
      <c r="AG596">
        <v>1</v>
      </c>
      <c r="AH596">
        <v>2</v>
      </c>
      <c r="AI596">
        <v>2.000000000007276</v>
      </c>
      <c r="AJ596">
        <v>2.1292200000000001</v>
      </c>
      <c r="AK596">
        <v>2.1291199999999999</v>
      </c>
      <c r="AL596">
        <v>0</v>
      </c>
      <c r="AM596">
        <v>0</v>
      </c>
      <c r="AN596">
        <v>0</v>
      </c>
      <c r="AO596">
        <v>-66.299990427465758</v>
      </c>
      <c r="AP596">
        <v>0</v>
      </c>
      <c r="AQ596">
        <v>0</v>
      </c>
      <c r="AR596" t="str">
        <v>1613.par</v>
      </c>
      <c r="AV596" t="str">
        <v>204,204,0</v>
      </c>
      <c r="AW596" s="31">
        <v>0</v>
      </c>
      <c r="AX596" s="31">
        <v>66.299990427465758</v>
      </c>
      <c r="AY596" s="31">
        <v>-66.299990427465758</v>
      </c>
    </row>
    <row r="597" spans="31:51" x14ac:dyDescent="0.25">
      <c r="AE597">
        <v>2.1259999999999999</v>
      </c>
      <c r="AF597">
        <v>2</v>
      </c>
      <c r="AG597">
        <v>1</v>
      </c>
      <c r="AH597">
        <v>2</v>
      </c>
      <c r="AI597">
        <v>2.000000000007276</v>
      </c>
      <c r="AJ597">
        <v>2.12622</v>
      </c>
      <c r="AK597">
        <v>2.1261199999999998</v>
      </c>
      <c r="AL597">
        <v>0</v>
      </c>
      <c r="AM597">
        <v>0</v>
      </c>
      <c r="AN597">
        <v>0</v>
      </c>
      <c r="AO597">
        <v>-54.599992116736487</v>
      </c>
      <c r="AP597">
        <v>0</v>
      </c>
      <c r="AQ597">
        <v>0</v>
      </c>
      <c r="AR597" t="str">
        <v>1613.par</v>
      </c>
      <c r="AV597" t="str">
        <v>204,204,0</v>
      </c>
      <c r="AW597" s="31">
        <v>0</v>
      </c>
      <c r="AX597" s="31">
        <v>54.599992116736487</v>
      </c>
      <c r="AY597" s="31">
        <v>-54.599992116736487</v>
      </c>
    </row>
    <row r="598" spans="31:51" x14ac:dyDescent="0.25">
      <c r="AE598">
        <v>2.1230000000000002</v>
      </c>
      <c r="AF598">
        <v>2</v>
      </c>
      <c r="AG598">
        <v>1</v>
      </c>
      <c r="AH598">
        <v>2</v>
      </c>
      <c r="AI598">
        <v>2.0000000000436557</v>
      </c>
      <c r="AJ598">
        <v>2.1232200000000003</v>
      </c>
      <c r="AK598">
        <v>2.1231200000000001</v>
      </c>
      <c r="AL598">
        <v>0</v>
      </c>
      <c r="AM598">
        <v>0</v>
      </c>
      <c r="AN598">
        <v>0</v>
      </c>
      <c r="AO598">
        <v>-42.799993820445501</v>
      </c>
      <c r="AP598">
        <v>0</v>
      </c>
      <c r="AQ598">
        <v>0</v>
      </c>
      <c r="AR598" t="str">
        <v>1613.par</v>
      </c>
      <c r="AV598" t="str">
        <v>204,204,0</v>
      </c>
      <c r="AW598" s="31">
        <v>0</v>
      </c>
      <c r="AX598" s="31">
        <v>42.799993820445501</v>
      </c>
      <c r="AY598" s="31">
        <v>-42.799993820445501</v>
      </c>
    </row>
    <row r="599" spans="31:51" x14ac:dyDescent="0.25">
      <c r="AE599">
        <v>2.12</v>
      </c>
      <c r="AF599">
        <v>2</v>
      </c>
      <c r="AG599">
        <v>1</v>
      </c>
      <c r="AH599">
        <v>2</v>
      </c>
      <c r="AI599">
        <v>2.000000000007276</v>
      </c>
      <c r="AJ599">
        <v>2.1202200000000002</v>
      </c>
      <c r="AK599">
        <v>2.12012</v>
      </c>
      <c r="AL599">
        <v>0</v>
      </c>
      <c r="AM599">
        <v>0</v>
      </c>
      <c r="AN599">
        <v>0</v>
      </c>
      <c r="AO599">
        <v>-31.099995509716226</v>
      </c>
      <c r="AP599">
        <v>0</v>
      </c>
      <c r="AQ599">
        <v>0</v>
      </c>
      <c r="AR599" t="str">
        <v>1613.par</v>
      </c>
      <c r="AV599" t="str">
        <v>204,204,0</v>
      </c>
      <c r="AW599" s="31">
        <v>0</v>
      </c>
      <c r="AX599" s="31">
        <v>31.099995509716226</v>
      </c>
      <c r="AY599" s="31">
        <v>-31.099995509716226</v>
      </c>
    </row>
    <row r="600" spans="31:51" x14ac:dyDescent="0.25">
      <c r="AE600">
        <v>2.117</v>
      </c>
      <c r="AF600">
        <v>2</v>
      </c>
      <c r="AG600">
        <v>1</v>
      </c>
      <c r="AH600">
        <v>2</v>
      </c>
      <c r="AI600">
        <v>2.000000000007276</v>
      </c>
      <c r="AJ600">
        <v>2.1172200000000001</v>
      </c>
      <c r="AK600">
        <v>2.1171199999999999</v>
      </c>
      <c r="AL600">
        <v>0</v>
      </c>
      <c r="AM600">
        <v>0</v>
      </c>
      <c r="AN600">
        <v>0</v>
      </c>
      <c r="AO600">
        <v>-18.999997256739832</v>
      </c>
      <c r="AP600">
        <v>0</v>
      </c>
      <c r="AQ600">
        <v>0</v>
      </c>
      <c r="AR600" t="str">
        <v>1613.par</v>
      </c>
      <c r="AV600" t="str">
        <v>204,204,0</v>
      </c>
      <c r="AW600" s="31">
        <v>0</v>
      </c>
      <c r="AX600" s="31">
        <v>18.999997256739832</v>
      </c>
      <c r="AY600" s="31">
        <v>-18.999997256739832</v>
      </c>
    </row>
    <row r="601" spans="31:51" x14ac:dyDescent="0.25">
      <c r="AE601">
        <v>2.1139999999999999</v>
      </c>
      <c r="AF601">
        <v>2</v>
      </c>
      <c r="AG601">
        <v>1</v>
      </c>
      <c r="AH601">
        <v>2</v>
      </c>
      <c r="AI601">
        <v>2.000000000007276</v>
      </c>
      <c r="AJ601">
        <v>2.11422</v>
      </c>
      <c r="AK601">
        <v>2.1141199999999998</v>
      </c>
      <c r="AL601">
        <v>0</v>
      </c>
      <c r="AM601">
        <v>0</v>
      </c>
      <c r="AN601">
        <v>0</v>
      </c>
      <c r="AO601">
        <v>-7.3999989315723473</v>
      </c>
      <c r="AP601">
        <v>0</v>
      </c>
      <c r="AQ601">
        <v>0</v>
      </c>
      <c r="AR601" t="str">
        <v>1613.par</v>
      </c>
      <c r="AV601" t="str">
        <v>204,204,0</v>
      </c>
      <c r="AW601" s="31">
        <v>0</v>
      </c>
      <c r="AX601" s="31">
        <v>7.3999989315723473</v>
      </c>
      <c r="AY601" s="31">
        <v>-7.3999989315723473</v>
      </c>
    </row>
    <row r="602" spans="31:51" x14ac:dyDescent="0.25">
      <c r="AE602">
        <v>1.2370000000000001</v>
      </c>
      <c r="AF602">
        <v>1</v>
      </c>
      <c r="AG602">
        <v>2</v>
      </c>
      <c r="AH602">
        <v>2</v>
      </c>
      <c r="AI602">
        <v>2.0000000000254659</v>
      </c>
      <c r="AJ602">
        <v>1.2372200000000002</v>
      </c>
      <c r="AK602">
        <v>1.2371200000000002</v>
      </c>
      <c r="AL602">
        <v>0</v>
      </c>
      <c r="AM602">
        <v>0</v>
      </c>
      <c r="AN602">
        <v>0</v>
      </c>
      <c r="AO602">
        <v>-84.909987740514595</v>
      </c>
      <c r="AP602">
        <v>0</v>
      </c>
      <c r="AQ602">
        <v>0</v>
      </c>
      <c r="AR602" t="str">
        <v>32193r1.par</v>
      </c>
      <c r="AV602" t="str">
        <v>255,188,121</v>
      </c>
      <c r="AW602" s="31">
        <v>0</v>
      </c>
      <c r="AX602" s="31">
        <v>84.909987740514595</v>
      </c>
      <c r="AY602" s="31">
        <v>-84.909987740514595</v>
      </c>
    </row>
    <row r="603" spans="31:51" x14ac:dyDescent="0.25">
      <c r="AE603">
        <v>1.234</v>
      </c>
      <c r="AF603">
        <v>1</v>
      </c>
      <c r="AG603">
        <v>2</v>
      </c>
      <c r="AH603">
        <v>2</v>
      </c>
      <c r="AI603">
        <v>2.000000000007276</v>
      </c>
      <c r="AJ603">
        <v>1.2342200000000001</v>
      </c>
      <c r="AK603">
        <v>1.2341200000000001</v>
      </c>
      <c r="AL603">
        <v>0</v>
      </c>
      <c r="AM603">
        <v>0</v>
      </c>
      <c r="AN603">
        <v>0</v>
      </c>
      <c r="AO603">
        <v>-79.239988559161176</v>
      </c>
      <c r="AP603">
        <v>0</v>
      </c>
      <c r="AQ603">
        <v>0</v>
      </c>
      <c r="AR603" t="str">
        <v>32193r1.par</v>
      </c>
      <c r="AV603" t="str">
        <v>255,188,121</v>
      </c>
      <c r="AW603" s="31">
        <v>0</v>
      </c>
      <c r="AX603" s="31">
        <v>79.239988559161176</v>
      </c>
      <c r="AY603" s="31">
        <v>-79.239988559161176</v>
      </c>
    </row>
    <row r="604" spans="31:51" x14ac:dyDescent="0.25">
      <c r="AE604">
        <v>1.2310000000000001</v>
      </c>
      <c r="AF604">
        <v>1</v>
      </c>
      <c r="AG604">
        <v>2</v>
      </c>
      <c r="AH604">
        <v>2</v>
      </c>
      <c r="AI604">
        <v>2.0000000000254659</v>
      </c>
      <c r="AJ604">
        <v>1.2312200000000002</v>
      </c>
      <c r="AK604">
        <v>1.2311200000000002</v>
      </c>
      <c r="AL604">
        <v>0</v>
      </c>
      <c r="AM604">
        <v>0</v>
      </c>
      <c r="AN604">
        <v>0</v>
      </c>
      <c r="AO604">
        <v>-73.979989318611075</v>
      </c>
      <c r="AP604">
        <v>0</v>
      </c>
      <c r="AQ604">
        <v>0</v>
      </c>
      <c r="AR604" t="str">
        <v>32193r1.par</v>
      </c>
      <c r="AV604" t="str">
        <v>255,188,121</v>
      </c>
      <c r="AW604" s="31">
        <v>0</v>
      </c>
      <c r="AX604" s="31">
        <v>73.979989318611075</v>
      </c>
      <c r="AY604" s="31">
        <v>-73.979989318611075</v>
      </c>
    </row>
    <row r="605" spans="31:51" x14ac:dyDescent="0.25">
      <c r="AE605">
        <v>1.228</v>
      </c>
      <c r="AF605">
        <v>1</v>
      </c>
      <c r="AG605">
        <v>2</v>
      </c>
      <c r="AH605">
        <v>2</v>
      </c>
      <c r="AI605">
        <v>2.000000000007276</v>
      </c>
      <c r="AJ605">
        <v>1.2282200000000001</v>
      </c>
      <c r="AK605">
        <v>1.2281200000000001</v>
      </c>
      <c r="AL605">
        <v>0</v>
      </c>
      <c r="AM605">
        <v>0</v>
      </c>
      <c r="AN605">
        <v>0</v>
      </c>
      <c r="AO605">
        <v>-60.52999126055056</v>
      </c>
      <c r="AP605">
        <v>0</v>
      </c>
      <c r="AQ605">
        <v>0</v>
      </c>
      <c r="AR605" t="str">
        <v>32193r1.par</v>
      </c>
      <c r="AV605" t="str">
        <v>255,188,121</v>
      </c>
      <c r="AW605" s="31">
        <v>0</v>
      </c>
      <c r="AX605" s="31">
        <v>60.52999126055056</v>
      </c>
      <c r="AY605" s="31">
        <v>-60.52999126055056</v>
      </c>
    </row>
    <row r="606" spans="31:51" x14ac:dyDescent="0.25">
      <c r="AE606">
        <v>1.2250000000000001</v>
      </c>
      <c r="AF606">
        <v>1</v>
      </c>
      <c r="AG606">
        <v>2</v>
      </c>
      <c r="AH606">
        <v>2</v>
      </c>
      <c r="AI606">
        <v>2.0000000000254659</v>
      </c>
      <c r="AJ606">
        <v>1.2252200000000002</v>
      </c>
      <c r="AK606">
        <v>1.2251200000000002</v>
      </c>
      <c r="AL606">
        <v>0</v>
      </c>
      <c r="AM606">
        <v>0</v>
      </c>
      <c r="AN606">
        <v>0</v>
      </c>
      <c r="AO606">
        <v>-46.899993228478813</v>
      </c>
      <c r="AP606">
        <v>0</v>
      </c>
      <c r="AQ606">
        <v>0</v>
      </c>
      <c r="AR606" t="str">
        <v>32193r1.par</v>
      </c>
      <c r="AV606" t="str">
        <v>255,188,121</v>
      </c>
      <c r="AW606" s="31">
        <v>0</v>
      </c>
      <c r="AX606" s="31">
        <v>46.899993228478813</v>
      </c>
      <c r="AY606" s="31">
        <v>-46.899993228478813</v>
      </c>
    </row>
    <row r="607" spans="31:51" x14ac:dyDescent="0.25">
      <c r="AE607">
        <v>1.222</v>
      </c>
      <c r="AF607">
        <v>1</v>
      </c>
      <c r="AG607">
        <v>2</v>
      </c>
      <c r="AH607">
        <v>2</v>
      </c>
      <c r="AI607">
        <v>2.000000000007276</v>
      </c>
      <c r="AJ607">
        <v>1.2222200000000001</v>
      </c>
      <c r="AK607">
        <v>1.2221200000000001</v>
      </c>
      <c r="AL607">
        <v>0</v>
      </c>
      <c r="AM607">
        <v>0</v>
      </c>
      <c r="AN607">
        <v>0</v>
      </c>
      <c r="AO607">
        <v>-33.279995194963199</v>
      </c>
      <c r="AP607">
        <v>0</v>
      </c>
      <c r="AQ607">
        <v>0</v>
      </c>
      <c r="AR607" t="str">
        <v>32193r1.par</v>
      </c>
      <c r="AV607" t="str">
        <v>255,188,121</v>
      </c>
      <c r="AW607" s="31">
        <v>0</v>
      </c>
      <c r="AX607" s="31">
        <v>33.279995194963199</v>
      </c>
      <c r="AY607" s="31">
        <v>-33.279995194963199</v>
      </c>
    </row>
    <row r="608" spans="31:51" x14ac:dyDescent="0.25">
      <c r="AE608">
        <v>1.2190000000000001</v>
      </c>
      <c r="AF608">
        <v>1</v>
      </c>
      <c r="AG608">
        <v>2</v>
      </c>
      <c r="AH608">
        <v>2</v>
      </c>
      <c r="AI608">
        <v>2.0000000000254659</v>
      </c>
      <c r="AJ608">
        <v>1.2192200000000002</v>
      </c>
      <c r="AK608">
        <v>1.2191200000000002</v>
      </c>
      <c r="AL608">
        <v>0</v>
      </c>
      <c r="AM608">
        <v>0</v>
      </c>
      <c r="AN608">
        <v>0</v>
      </c>
      <c r="AO608">
        <v>-19.649997162891438</v>
      </c>
      <c r="AP608">
        <v>0</v>
      </c>
      <c r="AQ608">
        <v>0</v>
      </c>
      <c r="AR608" t="str">
        <v>32193r1.par</v>
      </c>
      <c r="AV608" t="str">
        <v>255,188,121</v>
      </c>
      <c r="AW608" s="31">
        <v>0</v>
      </c>
      <c r="AX608" s="31">
        <v>19.649997162891438</v>
      </c>
      <c r="AY608" s="31">
        <v>-19.649997162891438</v>
      </c>
    </row>
    <row r="609" spans="31:51" x14ac:dyDescent="0.25">
      <c r="AE609">
        <v>1.216</v>
      </c>
      <c r="AF609">
        <v>1</v>
      </c>
      <c r="AG609">
        <v>2</v>
      </c>
      <c r="AH609">
        <v>2</v>
      </c>
      <c r="AI609">
        <v>2.000000000007276</v>
      </c>
      <c r="AJ609">
        <v>1.2162200000000001</v>
      </c>
      <c r="AK609">
        <v>1.2161200000000001</v>
      </c>
      <c r="AL609">
        <v>0</v>
      </c>
      <c r="AM609">
        <v>0</v>
      </c>
      <c r="AN609">
        <v>0</v>
      </c>
      <c r="AO609">
        <v>-5.809999161139908</v>
      </c>
      <c r="AP609">
        <v>0</v>
      </c>
      <c r="AQ609">
        <v>0</v>
      </c>
      <c r="AR609" t="str">
        <v>32193r1.par</v>
      </c>
      <c r="AV609" t="str">
        <v>255,188,121</v>
      </c>
      <c r="AW609" s="31">
        <v>0</v>
      </c>
      <c r="AX609" s="31">
        <v>5.809999161139908</v>
      </c>
      <c r="AY609" s="31">
        <v>-5.809999161139908</v>
      </c>
    </row>
    <row r="610" spans="31:51" x14ac:dyDescent="0.25">
      <c r="AE610">
        <v>1.1399999999999999</v>
      </c>
      <c r="AF610">
        <v>1</v>
      </c>
      <c r="AG610">
        <v>1</v>
      </c>
      <c r="AH610">
        <v>2</v>
      </c>
      <c r="AI610">
        <v>2.000000000007276</v>
      </c>
      <c r="AJ610">
        <v>1.14022</v>
      </c>
      <c r="AK610">
        <v>1.14012</v>
      </c>
      <c r="AL610">
        <v>0</v>
      </c>
      <c r="AM610">
        <v>0</v>
      </c>
      <c r="AN610">
        <v>0</v>
      </c>
      <c r="AO610">
        <v>-87.999987296345381</v>
      </c>
      <c r="AP610">
        <v>0</v>
      </c>
      <c r="AQ610">
        <v>0</v>
      </c>
      <c r="AR610" t="str">
        <v>1613.par</v>
      </c>
      <c r="AV610" t="str">
        <v>255,127,0</v>
      </c>
      <c r="AW610" s="31">
        <v>0</v>
      </c>
      <c r="AX610" s="31">
        <v>87.999987296345381</v>
      </c>
      <c r="AY610" s="31">
        <v>-87.999987296345381</v>
      </c>
    </row>
    <row r="611" spans="31:51" x14ac:dyDescent="0.25">
      <c r="AE611">
        <v>1.137</v>
      </c>
      <c r="AF611">
        <v>1</v>
      </c>
      <c r="AG611">
        <v>1</v>
      </c>
      <c r="AH611">
        <v>2</v>
      </c>
      <c r="AI611">
        <v>2.000000000007276</v>
      </c>
      <c r="AJ611">
        <v>1.1372200000000001</v>
      </c>
      <c r="AK611">
        <v>1.1371200000000001</v>
      </c>
      <c r="AL611">
        <v>0</v>
      </c>
      <c r="AM611">
        <v>0</v>
      </c>
      <c r="AN611">
        <v>0</v>
      </c>
      <c r="AO611">
        <v>-85.999987591262339</v>
      </c>
      <c r="AP611">
        <v>0</v>
      </c>
      <c r="AQ611">
        <v>0</v>
      </c>
      <c r="AR611" t="str">
        <v>1613.par</v>
      </c>
      <c r="AV611" t="str">
        <v>255,127,0</v>
      </c>
      <c r="AW611" s="31">
        <v>0</v>
      </c>
      <c r="AX611" s="31">
        <v>85.999987591262339</v>
      </c>
      <c r="AY611" s="31">
        <v>-85.999987591262339</v>
      </c>
    </row>
    <row r="612" spans="31:51" x14ac:dyDescent="0.25">
      <c r="AE612">
        <v>1.1339999999999999</v>
      </c>
      <c r="AF612">
        <v>1</v>
      </c>
      <c r="AG612">
        <v>1</v>
      </c>
      <c r="AH612">
        <v>2</v>
      </c>
      <c r="AI612">
        <v>2.000000000007276</v>
      </c>
      <c r="AJ612">
        <v>1.13422</v>
      </c>
      <c r="AK612">
        <v>1.13412</v>
      </c>
      <c r="AL612">
        <v>0</v>
      </c>
      <c r="AM612">
        <v>0</v>
      </c>
      <c r="AN612">
        <v>0</v>
      </c>
      <c r="AO612">
        <v>-80.099988488520111</v>
      </c>
      <c r="AP612">
        <v>0</v>
      </c>
      <c r="AQ612">
        <v>0</v>
      </c>
      <c r="AR612" t="str">
        <v>1613.par</v>
      </c>
      <c r="AV612" t="str">
        <v>255,127,0</v>
      </c>
      <c r="AW612" s="31">
        <v>0</v>
      </c>
      <c r="AX612" s="31">
        <v>80.099988488520111</v>
      </c>
      <c r="AY612" s="31">
        <v>-80.099988488520111</v>
      </c>
    </row>
    <row r="613" spans="31:51" x14ac:dyDescent="0.25">
      <c r="AE613">
        <v>1.131</v>
      </c>
      <c r="AF613">
        <v>1</v>
      </c>
      <c r="AG613">
        <v>1</v>
      </c>
      <c r="AH613">
        <v>2</v>
      </c>
      <c r="AI613">
        <v>2.000000000007276</v>
      </c>
      <c r="AJ613">
        <v>1.1312200000000001</v>
      </c>
      <c r="AK613">
        <v>1.1311200000000001</v>
      </c>
      <c r="AL613">
        <v>0</v>
      </c>
      <c r="AM613">
        <v>0</v>
      </c>
      <c r="AN613">
        <v>0</v>
      </c>
      <c r="AO613">
        <v>-74.099989446480123</v>
      </c>
      <c r="AP613">
        <v>0</v>
      </c>
      <c r="AQ613">
        <v>0</v>
      </c>
      <c r="AR613" t="str">
        <v>1613.par</v>
      </c>
      <c r="AV613" t="str">
        <v>255,127,0</v>
      </c>
      <c r="AW613" s="31">
        <v>0</v>
      </c>
      <c r="AX613" s="31">
        <v>74.099989446480123</v>
      </c>
      <c r="AY613" s="31">
        <v>-74.099989446480123</v>
      </c>
    </row>
    <row r="614" spans="31:51" x14ac:dyDescent="0.25">
      <c r="AE614">
        <v>1.1279999999999999</v>
      </c>
      <c r="AF614">
        <v>1</v>
      </c>
      <c r="AG614">
        <v>1</v>
      </c>
      <c r="AH614">
        <v>2</v>
      </c>
      <c r="AI614">
        <v>2.000000000007276</v>
      </c>
      <c r="AJ614">
        <v>1.12822</v>
      </c>
      <c r="AK614">
        <v>1.12812</v>
      </c>
      <c r="AL614">
        <v>0</v>
      </c>
      <c r="AM614">
        <v>0</v>
      </c>
      <c r="AN614">
        <v>0</v>
      </c>
      <c r="AO614">
        <v>-62.499991427382007</v>
      </c>
      <c r="AP614">
        <v>0</v>
      </c>
      <c r="AQ614">
        <v>0</v>
      </c>
      <c r="AR614" t="str">
        <v>1613.par</v>
      </c>
      <c r="AV614" t="str">
        <v>255,127,0</v>
      </c>
      <c r="AW614" s="31">
        <v>0</v>
      </c>
      <c r="AX614" s="31">
        <v>62.499991427382007</v>
      </c>
      <c r="AY614" s="31">
        <v>-62.499991427382007</v>
      </c>
    </row>
    <row r="615" spans="31:51" x14ac:dyDescent="0.25">
      <c r="AE615">
        <v>1.125</v>
      </c>
      <c r="AF615">
        <v>1</v>
      </c>
      <c r="AG615">
        <v>1</v>
      </c>
      <c r="AH615">
        <v>2</v>
      </c>
      <c r="AI615">
        <v>2.000000000007276</v>
      </c>
      <c r="AJ615">
        <v>1.1252200000000001</v>
      </c>
      <c r="AK615">
        <v>1.1251200000000001</v>
      </c>
      <c r="AL615">
        <v>0</v>
      </c>
      <c r="AM615">
        <v>0</v>
      </c>
      <c r="AN615">
        <v>0</v>
      </c>
      <c r="AO615">
        <v>-50.699993635276748</v>
      </c>
      <c r="AP615">
        <v>0</v>
      </c>
      <c r="AQ615">
        <v>0</v>
      </c>
      <c r="AR615" t="str">
        <v>1613.par</v>
      </c>
      <c r="AV615" t="str">
        <v>255,127,0</v>
      </c>
      <c r="AW615" s="31">
        <v>0</v>
      </c>
      <c r="AX615" s="31">
        <v>50.699993635276748</v>
      </c>
      <c r="AY615" s="31">
        <v>-50.699993635276748</v>
      </c>
    </row>
    <row r="616" spans="31:51" x14ac:dyDescent="0.25">
      <c r="AE616">
        <v>1.1220000000000001</v>
      </c>
      <c r="AF616">
        <v>1</v>
      </c>
      <c r="AG616">
        <v>1</v>
      </c>
      <c r="AH616">
        <v>2</v>
      </c>
      <c r="AI616">
        <v>2.0000000000254659</v>
      </c>
      <c r="AJ616">
        <v>1.1222200000000002</v>
      </c>
      <c r="AK616">
        <v>1.1221200000000002</v>
      </c>
      <c r="AL616">
        <v>0</v>
      </c>
      <c r="AM616">
        <v>0</v>
      </c>
      <c r="AN616">
        <v>0</v>
      </c>
      <c r="AO616">
        <v>-38.799996044241624</v>
      </c>
      <c r="AP616">
        <v>0</v>
      </c>
      <c r="AQ616">
        <v>0</v>
      </c>
      <c r="AR616" t="str">
        <v>1613.par</v>
      </c>
      <c r="AV616" t="str">
        <v>255,127,0</v>
      </c>
      <c r="AW616" s="31">
        <v>0</v>
      </c>
      <c r="AX616" s="31">
        <v>38.799996044241624</v>
      </c>
      <c r="AY616" s="31">
        <v>-38.799996044241624</v>
      </c>
    </row>
    <row r="617" spans="31:51" x14ac:dyDescent="0.25">
      <c r="AE617">
        <v>1.119</v>
      </c>
      <c r="AF617">
        <v>1</v>
      </c>
      <c r="AG617">
        <v>1</v>
      </c>
      <c r="AH617">
        <v>2</v>
      </c>
      <c r="AI617">
        <v>2.000000000007276</v>
      </c>
      <c r="AJ617">
        <v>1.1192200000000001</v>
      </c>
      <c r="AK617">
        <v>1.1191200000000001</v>
      </c>
      <c r="AL617">
        <v>0</v>
      </c>
      <c r="AM617">
        <v>0</v>
      </c>
      <c r="AN617">
        <v>0</v>
      </c>
      <c r="AO617">
        <v>-26.999998577869427</v>
      </c>
      <c r="AP617">
        <v>0</v>
      </c>
      <c r="AQ617">
        <v>0</v>
      </c>
      <c r="AR617" t="str">
        <v>1613.par</v>
      </c>
      <c r="AV617" t="str">
        <v>255,127,0</v>
      </c>
      <c r="AW617" s="31">
        <v>0</v>
      </c>
      <c r="AX617" s="31">
        <v>26.999998577869427</v>
      </c>
      <c r="AY617" s="31">
        <v>-26.999998577869427</v>
      </c>
    </row>
    <row r="618" spans="31:51" x14ac:dyDescent="0.25">
      <c r="AE618">
        <v>1.1160000000000001</v>
      </c>
      <c r="AF618">
        <v>1</v>
      </c>
      <c r="AG618">
        <v>1</v>
      </c>
      <c r="AH618">
        <v>2</v>
      </c>
      <c r="AI618">
        <v>2.0000000000254659</v>
      </c>
      <c r="AJ618">
        <v>1.1162200000000002</v>
      </c>
      <c r="AK618">
        <v>1.1161200000000002</v>
      </c>
      <c r="AL618">
        <v>0</v>
      </c>
      <c r="AM618">
        <v>0</v>
      </c>
      <c r="AN618">
        <v>0</v>
      </c>
      <c r="AO618">
        <v>-15.000001306799158</v>
      </c>
      <c r="AP618">
        <v>0</v>
      </c>
      <c r="AQ618">
        <v>0</v>
      </c>
      <c r="AR618" t="str">
        <v>1613.par</v>
      </c>
      <c r="AV618" t="str">
        <v>255,127,0</v>
      </c>
      <c r="AW618" s="31">
        <v>0</v>
      </c>
      <c r="AX618" s="31">
        <v>15.000001306799158</v>
      </c>
      <c r="AY618" s="31">
        <v>-15.000001306799158</v>
      </c>
    </row>
    <row r="619" spans="31:51" x14ac:dyDescent="0.25">
      <c r="AE619">
        <v>1.113</v>
      </c>
      <c r="AF619">
        <v>1</v>
      </c>
      <c r="AG619">
        <v>1</v>
      </c>
      <c r="AH619">
        <v>2</v>
      </c>
      <c r="AI619">
        <v>2.000000000007276</v>
      </c>
      <c r="AJ619">
        <v>1.1132200000000001</v>
      </c>
      <c r="AK619">
        <v>1.1131200000000001</v>
      </c>
      <c r="AL619">
        <v>0</v>
      </c>
      <c r="AM619">
        <v>0</v>
      </c>
      <c r="AN619">
        <v>0</v>
      </c>
      <c r="AO619">
        <v>-3.6000040220107441</v>
      </c>
      <c r="AP619">
        <v>0</v>
      </c>
      <c r="AQ619">
        <v>0</v>
      </c>
      <c r="AR619" t="str">
        <v>1613.par</v>
      </c>
      <c r="AV619" t="str">
        <v>255,127,0</v>
      </c>
      <c r="AW619" s="31">
        <v>0</v>
      </c>
      <c r="AX619" s="31">
        <v>3.6000040220107441</v>
      </c>
      <c r="AY619" s="31">
        <v>-3.6000040220107441</v>
      </c>
    </row>
    <row r="620" spans="31:51" x14ac:dyDescent="0.25">
      <c r="AE620">
        <v>1.1100000000000001</v>
      </c>
      <c r="AF620">
        <v>1</v>
      </c>
      <c r="AG620">
        <v>1</v>
      </c>
      <c r="AH620">
        <v>2</v>
      </c>
      <c r="AI620">
        <v>2.0000000000254659</v>
      </c>
      <c r="AJ620">
        <v>1.1102200000000002</v>
      </c>
      <c r="AK620">
        <v>1.1101200000000002</v>
      </c>
      <c r="AL620">
        <v>0</v>
      </c>
      <c r="AM620">
        <v>0</v>
      </c>
      <c r="AN620">
        <v>0</v>
      </c>
      <c r="AO620">
        <v>2.9999936970089967</v>
      </c>
      <c r="AP620">
        <v>0</v>
      </c>
      <c r="AQ620">
        <v>0</v>
      </c>
      <c r="AR620" t="str">
        <v>1613.par</v>
      </c>
      <c r="AV620" t="str">
        <v>255,127,0</v>
      </c>
      <c r="AW620" s="31">
        <v>0</v>
      </c>
      <c r="AX620" s="31">
        <v>-2.9999936970089967</v>
      </c>
      <c r="AY620" s="31">
        <v>2.9999936970089967</v>
      </c>
    </row>
    <row r="621" spans="31:51" x14ac:dyDescent="0.25">
      <c r="AE621">
        <v>1.107</v>
      </c>
      <c r="AF621">
        <v>1</v>
      </c>
      <c r="AG621">
        <v>1</v>
      </c>
      <c r="AH621">
        <v>2</v>
      </c>
      <c r="AI621">
        <v>2.000000000007276</v>
      </c>
      <c r="AJ621">
        <v>1.1072200000000001</v>
      </c>
      <c r="AK621">
        <v>1.1071200000000001</v>
      </c>
      <c r="AL621">
        <v>0</v>
      </c>
      <c r="AM621">
        <v>0</v>
      </c>
      <c r="AN621">
        <v>0</v>
      </c>
      <c r="AO621">
        <v>2.9999913122339605</v>
      </c>
      <c r="AP621">
        <v>0</v>
      </c>
      <c r="AQ621">
        <v>0</v>
      </c>
      <c r="AR621" t="str">
        <v>1613.par</v>
      </c>
      <c r="AV621" t="str">
        <v>255,127,0</v>
      </c>
      <c r="AW621" s="31">
        <v>0</v>
      </c>
      <c r="AX621" s="31">
        <v>-2.9999913122339605</v>
      </c>
      <c r="AY621" s="31">
        <v>2.9999913122339605</v>
      </c>
    </row>
    <row r="622" spans="31:51" x14ac:dyDescent="0.25">
      <c r="AE622">
        <v>1.1040000000000001</v>
      </c>
      <c r="AF622">
        <v>1</v>
      </c>
      <c r="AG622">
        <v>1</v>
      </c>
      <c r="AH622">
        <v>2</v>
      </c>
      <c r="AI622">
        <v>2.0000000000254659</v>
      </c>
      <c r="AJ622">
        <v>1.1042200000000002</v>
      </c>
      <c r="AK622">
        <v>1.1041200000000002</v>
      </c>
      <c r="AL622">
        <v>0</v>
      </c>
      <c r="AM622">
        <v>0</v>
      </c>
      <c r="AN622">
        <v>0</v>
      </c>
      <c r="AO622">
        <v>2.9999857925960174</v>
      </c>
      <c r="AP622">
        <v>0</v>
      </c>
      <c r="AQ622">
        <v>0</v>
      </c>
      <c r="AR622" t="str">
        <v>1613.par</v>
      </c>
      <c r="AV622" t="str">
        <v>255,127,0</v>
      </c>
      <c r="AW622" s="31">
        <v>0</v>
      </c>
      <c r="AX622" s="31">
        <v>-2.9999857925960174</v>
      </c>
      <c r="AY622" s="31">
        <v>2.9999857925960174</v>
      </c>
    </row>
    <row r="623" spans="31:51" x14ac:dyDescent="0.25">
      <c r="AE623">
        <v>1.101</v>
      </c>
      <c r="AF623">
        <v>1</v>
      </c>
      <c r="AG623">
        <v>1</v>
      </c>
      <c r="AH623">
        <v>2</v>
      </c>
      <c r="AI623">
        <v>2.000000000007276</v>
      </c>
      <c r="AJ623">
        <v>1.1012200000000001</v>
      </c>
      <c r="AK623">
        <v>1.1011200000000001</v>
      </c>
      <c r="AL623">
        <v>0</v>
      </c>
      <c r="AM623">
        <v>0</v>
      </c>
      <c r="AN623">
        <v>0</v>
      </c>
      <c r="AO623">
        <v>8.9999588850334611</v>
      </c>
      <c r="AP623">
        <v>0</v>
      </c>
      <c r="AQ623">
        <v>0</v>
      </c>
      <c r="AR623" t="str">
        <v>1613.par</v>
      </c>
      <c r="AV623" t="str">
        <v>255,127,0</v>
      </c>
      <c r="AW623" s="31">
        <v>0</v>
      </c>
      <c r="AX623" s="31">
        <v>-8.9999588850334611</v>
      </c>
      <c r="AY623" s="31">
        <v>8.9999588850334611</v>
      </c>
    </row>
    <row r="624" spans="31:51" x14ac:dyDescent="0.25">
      <c r="AE624">
        <v>6.2359999999999998</v>
      </c>
      <c r="AF624">
        <v>6</v>
      </c>
      <c r="AG624">
        <v>2</v>
      </c>
      <c r="AH624">
        <v>1</v>
      </c>
      <c r="AI624">
        <v>3.0000000000291038</v>
      </c>
      <c r="AJ624">
        <v>6.2361300000000002</v>
      </c>
      <c r="AK624" t="str">
        <v>Base</v>
      </c>
      <c r="AL624">
        <v>-8.25</v>
      </c>
      <c r="AM624">
        <v>-7.0507586261945132</v>
      </c>
      <c r="AN624">
        <v>-4.0078416729452826</v>
      </c>
      <c r="AO624">
        <v>83.029988011952966</v>
      </c>
      <c r="AP624">
        <v>0</v>
      </c>
      <c r="AQ624">
        <v>0</v>
      </c>
      <c r="AR624" t="str">
        <v>32193r1.par</v>
      </c>
      <c r="AV624" t="str">
        <v>188,121,255</v>
      </c>
      <c r="AW624" s="31">
        <v>0</v>
      </c>
      <c r="AX624" s="31">
        <v>83.029988011952966</v>
      </c>
      <c r="AY624" s="31">
        <v>0</v>
      </c>
    </row>
    <row r="625" spans="31:51" x14ac:dyDescent="0.25">
      <c r="AE625">
        <v>6.2329999999999997</v>
      </c>
      <c r="AF625">
        <v>6</v>
      </c>
      <c r="AG625">
        <v>2</v>
      </c>
      <c r="AH625">
        <v>1</v>
      </c>
      <c r="AI625">
        <v>3.0000000000291038</v>
      </c>
      <c r="AJ625">
        <v>6.2331300000000001</v>
      </c>
      <c r="AK625" t="str">
        <v>Base</v>
      </c>
      <c r="AL625">
        <v>-8.25</v>
      </c>
      <c r="AM625">
        <v>-6.9238622261586853</v>
      </c>
      <c r="AN625">
        <v>-3.2685441897427787</v>
      </c>
      <c r="AO625">
        <v>77.369988829155716</v>
      </c>
      <c r="AP625">
        <v>0</v>
      </c>
      <c r="AQ625">
        <v>0</v>
      </c>
      <c r="AR625" t="str">
        <v>32193r1.par</v>
      </c>
      <c r="AV625" t="str">
        <v>188,121,255</v>
      </c>
      <c r="AW625" s="31">
        <v>0</v>
      </c>
      <c r="AX625" s="31">
        <v>77.369988829155716</v>
      </c>
      <c r="AY625" s="31">
        <v>0</v>
      </c>
    </row>
    <row r="626" spans="31:51" x14ac:dyDescent="0.25">
      <c r="AE626">
        <v>6.23</v>
      </c>
      <c r="AF626">
        <v>6</v>
      </c>
      <c r="AG626">
        <v>2</v>
      </c>
      <c r="AH626">
        <v>1</v>
      </c>
      <c r="AI626">
        <v>3.0000000001018634</v>
      </c>
      <c r="AJ626">
        <v>6.2301300000000008</v>
      </c>
      <c r="AK626" t="str">
        <v>Base</v>
      </c>
      <c r="AL626">
        <v>-8.25</v>
      </c>
      <c r="AM626">
        <v>-6.7255900726601299</v>
      </c>
      <c r="AN626">
        <v>-2.5557107621883555</v>
      </c>
      <c r="AO626">
        <v>69.48998996688681</v>
      </c>
      <c r="AP626">
        <v>0</v>
      </c>
      <c r="AQ626">
        <v>0</v>
      </c>
      <c r="AR626" t="str">
        <v>32193r1.par</v>
      </c>
      <c r="AV626" t="str">
        <v>188,121,255</v>
      </c>
      <c r="AW626" s="31">
        <v>0</v>
      </c>
      <c r="AX626" s="31">
        <v>69.48998996688681</v>
      </c>
      <c r="AY626" s="31">
        <v>0</v>
      </c>
    </row>
    <row r="627" spans="31:51" x14ac:dyDescent="0.25">
      <c r="AE627">
        <v>6.2270000000000003</v>
      </c>
      <c r="AF627">
        <v>6</v>
      </c>
      <c r="AG627">
        <v>2</v>
      </c>
      <c r="AH627">
        <v>1</v>
      </c>
      <c r="AI627">
        <v>3.0000000001018634</v>
      </c>
      <c r="AJ627">
        <v>6.2271300000000007</v>
      </c>
      <c r="AK627" t="str">
        <v>Base</v>
      </c>
      <c r="AL627">
        <v>-8.25</v>
      </c>
      <c r="AM627">
        <v>-6.3819414385070949</v>
      </c>
      <c r="AN627">
        <v>-1.8854967977673653</v>
      </c>
      <c r="AO627">
        <v>55.98999191604539</v>
      </c>
      <c r="AP627">
        <v>0</v>
      </c>
      <c r="AQ627">
        <v>0</v>
      </c>
      <c r="AR627" t="str">
        <v>32193r1.par</v>
      </c>
      <c r="AV627" t="str">
        <v>188,121,255</v>
      </c>
      <c r="AW627" s="31">
        <v>0</v>
      </c>
      <c r="AX627" s="31">
        <v>55.98999191604539</v>
      </c>
      <c r="AY627" s="31">
        <v>0</v>
      </c>
    </row>
    <row r="628" spans="31:51" x14ac:dyDescent="0.25">
      <c r="AE628">
        <v>6.2240000000000002</v>
      </c>
      <c r="AF628">
        <v>6</v>
      </c>
      <c r="AG628">
        <v>2</v>
      </c>
      <c r="AH628">
        <v>1</v>
      </c>
      <c r="AI628">
        <v>3.0000000000291038</v>
      </c>
      <c r="AJ628">
        <v>6.2241300000000006</v>
      </c>
      <c r="AK628" t="str">
        <v>Base</v>
      </c>
      <c r="AL628">
        <v>-8.25</v>
      </c>
      <c r="AM628">
        <v>-5.8857941714501338</v>
      </c>
      <c r="AN628">
        <v>-1.3104004720803648</v>
      </c>
      <c r="AO628">
        <v>42.359993883973615</v>
      </c>
      <c r="AP628">
        <v>0</v>
      </c>
      <c r="AQ628">
        <v>0</v>
      </c>
      <c r="AR628" t="str">
        <v>32193r1.par</v>
      </c>
      <c r="AV628" t="str">
        <v>188,121,255</v>
      </c>
      <c r="AW628" s="31">
        <v>0</v>
      </c>
      <c r="AX628" s="31">
        <v>42.359993883973615</v>
      </c>
      <c r="AY628" s="31">
        <v>0</v>
      </c>
    </row>
    <row r="629" spans="31:51" x14ac:dyDescent="0.25">
      <c r="AE629">
        <v>6.2210000000000001</v>
      </c>
      <c r="AF629">
        <v>6</v>
      </c>
      <c r="AG629">
        <v>2</v>
      </c>
      <c r="AH629">
        <v>1</v>
      </c>
      <c r="AI629">
        <v>3.0000000000291038</v>
      </c>
      <c r="AJ629">
        <v>6.2211300000000005</v>
      </c>
      <c r="AK629" t="str">
        <v>Base</v>
      </c>
      <c r="AL629">
        <v>-8.25</v>
      </c>
      <c r="AM629">
        <v>-5.2680978147010773</v>
      </c>
      <c r="AN629">
        <v>-0.86845643267075523</v>
      </c>
      <c r="AO629">
        <v>28.739995850458012</v>
      </c>
      <c r="AP629">
        <v>0</v>
      </c>
      <c r="AQ629">
        <v>0</v>
      </c>
      <c r="AR629" t="str">
        <v>32193r1.par</v>
      </c>
      <c r="AV629" t="str">
        <v>188,121,255</v>
      </c>
      <c r="AW629" s="31">
        <v>0</v>
      </c>
      <c r="AX629" s="31">
        <v>28.739995850458012</v>
      </c>
      <c r="AY629" s="31">
        <v>0</v>
      </c>
    </row>
    <row r="630" spans="31:51" x14ac:dyDescent="0.25">
      <c r="AE630">
        <v>6.218</v>
      </c>
      <c r="AF630">
        <v>6</v>
      </c>
      <c r="AG630">
        <v>2</v>
      </c>
      <c r="AH630">
        <v>1</v>
      </c>
      <c r="AI630">
        <v>3.0000000000291038</v>
      </c>
      <c r="AJ630">
        <v>6.2181300000000004</v>
      </c>
      <c r="AK630" t="str">
        <v>Base</v>
      </c>
      <c r="AL630">
        <v>-8.25</v>
      </c>
      <c r="AM630">
        <v>-4.5604424072880363</v>
      </c>
      <c r="AN630">
        <v>-0.58193551075497707</v>
      </c>
      <c r="AO630">
        <v>15.039997828492989</v>
      </c>
      <c r="AP630">
        <v>0</v>
      </c>
      <c r="AQ630">
        <v>0</v>
      </c>
      <c r="AR630" t="str">
        <v>32193r1.par</v>
      </c>
      <c r="AV630" t="str">
        <v>188,121,255</v>
      </c>
      <c r="AW630" s="31">
        <v>0</v>
      </c>
      <c r="AX630" s="31">
        <v>15.039997828492989</v>
      </c>
      <c r="AY630" s="31">
        <v>0</v>
      </c>
    </row>
    <row r="631" spans="31:51" x14ac:dyDescent="0.25">
      <c r="AE631">
        <v>6.2149999999999999</v>
      </c>
      <c r="AF631">
        <v>6</v>
      </c>
      <c r="AG631">
        <v>2</v>
      </c>
      <c r="AH631">
        <v>1</v>
      </c>
      <c r="AI631">
        <v>3.0000000000291038</v>
      </c>
      <c r="AJ631">
        <v>6.2151300000000003</v>
      </c>
      <c r="AK631" t="str">
        <v>Base</v>
      </c>
      <c r="AL631">
        <v>-8.25</v>
      </c>
      <c r="AM631">
        <v>-3.8078821406039243</v>
      </c>
      <c r="AN631">
        <v>-0.4735536810095321</v>
      </c>
      <c r="AO631">
        <v>1.3999997978650478</v>
      </c>
      <c r="AP631">
        <v>0</v>
      </c>
      <c r="AQ631">
        <v>0</v>
      </c>
      <c r="AR631" t="str">
        <v>32193r1.par</v>
      </c>
      <c r="AV631" t="str">
        <v>188,121,255</v>
      </c>
      <c r="AW631" s="31">
        <v>0</v>
      </c>
      <c r="AX631" s="31">
        <v>1.3999997978650478</v>
      </c>
      <c r="AY631" s="31">
        <v>0</v>
      </c>
    </row>
    <row r="632" spans="31:51" x14ac:dyDescent="0.25">
      <c r="AE632">
        <v>6.1390000000000002</v>
      </c>
      <c r="AF632">
        <v>6</v>
      </c>
      <c r="AG632">
        <v>1</v>
      </c>
      <c r="AH632">
        <v>1</v>
      </c>
      <c r="AI632">
        <v>3.0000000000291038</v>
      </c>
      <c r="AJ632">
        <v>6.1391300000000006</v>
      </c>
      <c r="AK632" t="str">
        <v>Base</v>
      </c>
      <c r="AL632">
        <v>-7.5</v>
      </c>
      <c r="AM632">
        <v>-7.134921518923302</v>
      </c>
      <c r="AN632">
        <v>-4.7546283991935594</v>
      </c>
      <c r="AO632">
        <v>87.999987294373938</v>
      </c>
      <c r="AP632">
        <v>-32.399995322019443</v>
      </c>
      <c r="AQ632">
        <v>0</v>
      </c>
      <c r="AR632" t="str">
        <v>1613.par</v>
      </c>
      <c r="AV632" t="str">
        <v>127,0,255</v>
      </c>
      <c r="AW632" s="31">
        <v>0</v>
      </c>
      <c r="AX632" s="31">
        <v>87.999987294373938</v>
      </c>
      <c r="AY632" s="31">
        <v>0</v>
      </c>
    </row>
    <row r="633" spans="31:51" x14ac:dyDescent="0.25">
      <c r="AE633">
        <v>6.1360000000000001</v>
      </c>
      <c r="AF633">
        <v>6</v>
      </c>
      <c r="AG633">
        <v>1</v>
      </c>
      <c r="AH633">
        <v>1</v>
      </c>
      <c r="AI633">
        <v>3.0000000000291038</v>
      </c>
      <c r="AJ633">
        <v>6.1361300000000005</v>
      </c>
      <c r="AK633" t="str">
        <v>Base</v>
      </c>
      <c r="AL633">
        <v>-7.5</v>
      </c>
      <c r="AM633">
        <v>-7.0703213240891136</v>
      </c>
      <c r="AN633">
        <v>-3.9995860523519942</v>
      </c>
      <c r="AO633">
        <v>83.999987871902363</v>
      </c>
      <c r="AP633">
        <v>-30.099995654098326</v>
      </c>
      <c r="AQ633">
        <v>0</v>
      </c>
      <c r="AR633" t="str">
        <v>1613.par</v>
      </c>
      <c r="AV633" t="str">
        <v>127,0,255</v>
      </c>
      <c r="AW633" s="31">
        <v>0</v>
      </c>
      <c r="AX633" s="31">
        <v>83.999987871902363</v>
      </c>
      <c r="AY633" s="31">
        <v>0</v>
      </c>
    </row>
    <row r="634" spans="31:51" x14ac:dyDescent="0.25">
      <c r="AE634">
        <v>6.133</v>
      </c>
      <c r="AF634">
        <v>6</v>
      </c>
      <c r="AG634">
        <v>1</v>
      </c>
      <c r="AH634">
        <v>1</v>
      </c>
      <c r="AI634">
        <v>3.0000000000291038</v>
      </c>
      <c r="AJ634">
        <v>6.1331300000000004</v>
      </c>
      <c r="AK634" t="str">
        <v>Base</v>
      </c>
      <c r="AL634">
        <v>-7.5</v>
      </c>
      <c r="AM634">
        <v>-6.9348209154198805</v>
      </c>
      <c r="AN634">
        <v>-3.2603081972969101</v>
      </c>
      <c r="AO634">
        <v>78.099988723756766</v>
      </c>
      <c r="AP634">
        <v>-27.199996072806467</v>
      </c>
      <c r="AQ634">
        <v>0</v>
      </c>
      <c r="AR634" t="str">
        <v>1613.par</v>
      </c>
      <c r="AV634" t="str">
        <v>127,0,255</v>
      </c>
      <c r="AW634" s="31">
        <v>0</v>
      </c>
      <c r="AX634" s="31">
        <v>78.099988723756766</v>
      </c>
      <c r="AY634" s="31">
        <v>0</v>
      </c>
    </row>
    <row r="635" spans="31:51" x14ac:dyDescent="0.25">
      <c r="AE635">
        <v>6.13</v>
      </c>
      <c r="AF635">
        <v>6</v>
      </c>
      <c r="AG635">
        <v>1</v>
      </c>
      <c r="AH635">
        <v>1</v>
      </c>
      <c r="AI635">
        <v>3.0000000000291038</v>
      </c>
      <c r="AJ635">
        <v>6.1301300000000003</v>
      </c>
      <c r="AK635" t="str">
        <v>Base</v>
      </c>
      <c r="AL635">
        <v>-7.5</v>
      </c>
      <c r="AM635">
        <v>-6.7300202977412189</v>
      </c>
      <c r="AN635">
        <v>-2.5485900779512414</v>
      </c>
      <c r="AO635">
        <v>70.19998986437551</v>
      </c>
      <c r="AP635">
        <v>-24.799996419323509</v>
      </c>
      <c r="AQ635">
        <v>0</v>
      </c>
      <c r="AR635" t="str">
        <v>1613.par</v>
      </c>
      <c r="AV635" t="str">
        <v>127,0,255</v>
      </c>
      <c r="AW635" s="31">
        <v>0</v>
      </c>
      <c r="AX635" s="31">
        <v>70.19998986437551</v>
      </c>
      <c r="AY635" s="31">
        <v>0</v>
      </c>
    </row>
    <row r="636" spans="31:51" x14ac:dyDescent="0.25">
      <c r="AE636">
        <v>6.1269999999999998</v>
      </c>
      <c r="AF636">
        <v>6</v>
      </c>
      <c r="AG636">
        <v>1</v>
      </c>
      <c r="AH636">
        <v>1</v>
      </c>
      <c r="AI636">
        <v>3.0000000000291038</v>
      </c>
      <c r="AJ636">
        <v>6.1271300000000002</v>
      </c>
      <c r="AK636" t="str">
        <v>Base</v>
      </c>
      <c r="AL636">
        <v>-7.5</v>
      </c>
      <c r="AM636">
        <v>-6.3792192397252263</v>
      </c>
      <c r="AN636">
        <v>-1.8822914702135505</v>
      </c>
      <c r="AO636">
        <v>58.499991553646176</v>
      </c>
      <c r="AP636">
        <v>-21.599996881346296</v>
      </c>
      <c r="AQ636">
        <v>0</v>
      </c>
      <c r="AR636" t="str">
        <v>1613.par</v>
      </c>
      <c r="AV636" t="str">
        <v>127,0,255</v>
      </c>
      <c r="AW636" s="31">
        <v>0</v>
      </c>
      <c r="AX636" s="31">
        <v>58.499991553646176</v>
      </c>
      <c r="AY636" s="31">
        <v>0</v>
      </c>
    </row>
    <row r="637" spans="31:51" x14ac:dyDescent="0.25">
      <c r="AE637">
        <v>6.1239999999999997</v>
      </c>
      <c r="AF637">
        <v>6</v>
      </c>
      <c r="AG637">
        <v>1</v>
      </c>
      <c r="AH637">
        <v>1</v>
      </c>
      <c r="AI637">
        <v>3.0000000000291038</v>
      </c>
      <c r="AJ637">
        <v>6.1241300000000001</v>
      </c>
      <c r="AK637" t="str">
        <v>Base</v>
      </c>
      <c r="AL637">
        <v>-7.5</v>
      </c>
      <c r="AM637">
        <v>-5.8779177277998684</v>
      </c>
      <c r="AN637">
        <v>-1.313793296014377</v>
      </c>
      <c r="AO637">
        <v>46.699993257355175</v>
      </c>
      <c r="AP637">
        <v>-18.099997386683679</v>
      </c>
      <c r="AQ637">
        <v>0</v>
      </c>
      <c r="AR637" t="str">
        <v>1613.par</v>
      </c>
      <c r="AV637" t="str">
        <v>127,0,255</v>
      </c>
      <c r="AW637" s="31">
        <v>0</v>
      </c>
      <c r="AX637" s="31">
        <v>46.699993257355175</v>
      </c>
      <c r="AY637" s="31">
        <v>0</v>
      </c>
    </row>
    <row r="638" spans="31:51" x14ac:dyDescent="0.25">
      <c r="AE638">
        <v>6.1210000000000004</v>
      </c>
      <c r="AF638">
        <v>6</v>
      </c>
      <c r="AG638">
        <v>1</v>
      </c>
      <c r="AH638">
        <v>1</v>
      </c>
      <c r="AI638">
        <v>3.0000000001018634</v>
      </c>
      <c r="AJ638">
        <v>6.1211300000000008</v>
      </c>
      <c r="AK638" t="str">
        <v>Base</v>
      </c>
      <c r="AL638">
        <v>-7.5</v>
      </c>
      <c r="AM638">
        <v>-5.260115864509447</v>
      </c>
      <c r="AN638">
        <v>-0.87672780979899456</v>
      </c>
      <c r="AO638">
        <v>34.899994961064216</v>
      </c>
      <c r="AP638">
        <v>-16.499997617695072</v>
      </c>
      <c r="AQ638">
        <v>0</v>
      </c>
      <c r="AR638" t="str">
        <v>1613.par</v>
      </c>
      <c r="AV638" t="str">
        <v>127,0,255</v>
      </c>
      <c r="AW638" s="31">
        <v>0</v>
      </c>
      <c r="AX638" s="31">
        <v>34.899994961064216</v>
      </c>
      <c r="AY638" s="31">
        <v>0</v>
      </c>
    </row>
    <row r="639" spans="31:51" x14ac:dyDescent="0.25">
      <c r="AE639">
        <v>6.1180000000000003</v>
      </c>
      <c r="AF639">
        <v>6</v>
      </c>
      <c r="AG639">
        <v>1</v>
      </c>
      <c r="AH639">
        <v>1</v>
      </c>
      <c r="AI639">
        <v>3.0000000001018634</v>
      </c>
      <c r="AJ639">
        <v>6.1181300000000007</v>
      </c>
      <c r="AK639" t="str">
        <v>Base</v>
      </c>
      <c r="AL639">
        <v>-7.5</v>
      </c>
      <c r="AM639">
        <v>-4.5544137361118278</v>
      </c>
      <c r="AN639">
        <v>-0.5936102880384031</v>
      </c>
      <c r="AO639">
        <v>22.999996679211435</v>
      </c>
      <c r="AP639">
        <v>-15.699997733200806</v>
      </c>
      <c r="AQ639">
        <v>0</v>
      </c>
      <c r="AR639" t="str">
        <v>1613.par</v>
      </c>
      <c r="AV639" t="str">
        <v>127,0,255</v>
      </c>
      <c r="AW639" s="31">
        <v>0</v>
      </c>
      <c r="AX639" s="31">
        <v>22.999996679211435</v>
      </c>
      <c r="AY639" s="31">
        <v>0</v>
      </c>
    </row>
    <row r="640" spans="31:51" x14ac:dyDescent="0.25">
      <c r="AE640">
        <v>6.1150000000000002</v>
      </c>
      <c r="AF640">
        <v>6</v>
      </c>
      <c r="AG640">
        <v>1</v>
      </c>
      <c r="AH640">
        <v>1</v>
      </c>
      <c r="AI640">
        <v>3.0000000000291038</v>
      </c>
      <c r="AJ640">
        <v>6.1151300000000006</v>
      </c>
      <c r="AK640" t="str">
        <v>Base</v>
      </c>
      <c r="AL640">
        <v>-7.5</v>
      </c>
      <c r="AM640">
        <v>-3.8047114750098086</v>
      </c>
      <c r="AN640">
        <v>-0.48711232729393628</v>
      </c>
      <c r="AO640">
        <v>11.19999838292026</v>
      </c>
      <c r="AP640">
        <v>-15.199997805391808</v>
      </c>
      <c r="AQ640">
        <v>0</v>
      </c>
      <c r="AR640" t="str">
        <v>1613.par</v>
      </c>
      <c r="AV640" t="str">
        <v>127,0,255</v>
      </c>
      <c r="AW640" s="31">
        <v>0</v>
      </c>
      <c r="AX640" s="31">
        <v>11.19999838292026</v>
      </c>
      <c r="AY640" s="31">
        <v>0</v>
      </c>
    </row>
    <row r="641" spans="31:51" x14ac:dyDescent="0.25">
      <c r="AE641">
        <v>6.1120000000000001</v>
      </c>
      <c r="AF641">
        <v>6</v>
      </c>
      <c r="AG641">
        <v>1</v>
      </c>
      <c r="AH641">
        <v>1</v>
      </c>
      <c r="AI641">
        <v>3.0000000000291038</v>
      </c>
      <c r="AJ641">
        <v>6.1121300000000005</v>
      </c>
      <c r="AK641" t="str">
        <v>Base</v>
      </c>
      <c r="AL641">
        <v>-7.5</v>
      </c>
      <c r="AM641">
        <v>-3.0632092386390632</v>
      </c>
      <c r="AN641">
        <v>-0.55611704928680106</v>
      </c>
      <c r="AO641">
        <v>-0.39999994224709201</v>
      </c>
      <c r="AP641">
        <v>-14.999997834268255</v>
      </c>
      <c r="AQ641">
        <v>0</v>
      </c>
      <c r="AR641" t="str">
        <v>1613.par</v>
      </c>
      <c r="AV641" t="str">
        <v>127,0,255</v>
      </c>
      <c r="AW641" s="31">
        <v>0</v>
      </c>
      <c r="AX641" s="31">
        <v>-0.39999994224709201</v>
      </c>
      <c r="AY641" s="31">
        <v>0</v>
      </c>
    </row>
    <row r="642" spans="31:51" x14ac:dyDescent="0.25">
      <c r="AE642">
        <v>5.2350000000000003</v>
      </c>
      <c r="AF642">
        <v>5</v>
      </c>
      <c r="AG642">
        <v>2</v>
      </c>
      <c r="AH642">
        <v>1</v>
      </c>
      <c r="AI642">
        <v>3.0000000001018634</v>
      </c>
      <c r="AJ642">
        <v>5.2351300000000007</v>
      </c>
      <c r="AK642" t="str">
        <v>Base</v>
      </c>
      <c r="AL642">
        <v>-6.75</v>
      </c>
      <c r="AM642">
        <v>-7.0165105337643805</v>
      </c>
      <c r="AN642">
        <v>-3.7660031232833671</v>
      </c>
      <c r="AO642">
        <v>81.139988284835155</v>
      </c>
      <c r="AP642">
        <v>0</v>
      </c>
      <c r="AQ642">
        <v>0</v>
      </c>
      <c r="AR642" t="str">
        <v>32193r1.par</v>
      </c>
      <c r="AV642" t="str">
        <v>121,188,255</v>
      </c>
      <c r="AW642" s="31">
        <v>0</v>
      </c>
      <c r="AX642" s="31">
        <v>81.139988284835155</v>
      </c>
      <c r="AY642" s="31">
        <v>0</v>
      </c>
    </row>
    <row r="643" spans="31:51" x14ac:dyDescent="0.25">
      <c r="AE643">
        <v>5.2320000000000002</v>
      </c>
      <c r="AF643">
        <v>5</v>
      </c>
      <c r="AG643">
        <v>2</v>
      </c>
      <c r="AH643">
        <v>1</v>
      </c>
      <c r="AI643">
        <v>3.0000000000291038</v>
      </c>
      <c r="AJ643">
        <v>5.2321300000000006</v>
      </c>
      <c r="AK643" t="str">
        <v>Base</v>
      </c>
      <c r="AL643">
        <v>-6.75</v>
      </c>
      <c r="AM643">
        <v>-6.8662009777270283</v>
      </c>
      <c r="AN643">
        <v>-3.0373668326427166</v>
      </c>
      <c r="AO643">
        <v>75.519989096262663</v>
      </c>
      <c r="AP643">
        <v>0</v>
      </c>
      <c r="AQ643">
        <v>0</v>
      </c>
      <c r="AR643" t="str">
        <v>32193r1.par</v>
      </c>
      <c r="AV643" t="str">
        <v>121,188,255</v>
      </c>
      <c r="AW643" s="31">
        <v>0</v>
      </c>
      <c r="AX643" s="31">
        <v>75.519989096262663</v>
      </c>
      <c r="AY643" s="31">
        <v>0</v>
      </c>
    </row>
    <row r="644" spans="31:51" x14ac:dyDescent="0.25">
      <c r="AE644">
        <v>5.2290000000000001</v>
      </c>
      <c r="AF644">
        <v>5</v>
      </c>
      <c r="AG644">
        <v>2</v>
      </c>
      <c r="AH644">
        <v>1</v>
      </c>
      <c r="AI644">
        <v>3.0000000000291038</v>
      </c>
      <c r="AJ644">
        <v>5.2291300000000005</v>
      </c>
      <c r="AK644" t="str">
        <v>Base</v>
      </c>
      <c r="AL644">
        <v>-6.75</v>
      </c>
      <c r="AM644">
        <v>-6.6290549725447212</v>
      </c>
      <c r="AN644">
        <v>-2.3317153372872745</v>
      </c>
      <c r="AO644">
        <v>65.009990613718642</v>
      </c>
      <c r="AP644">
        <v>0</v>
      </c>
      <c r="AQ644">
        <v>0</v>
      </c>
      <c r="AR644" t="str">
        <v>32193r1.par</v>
      </c>
      <c r="AV644" t="str">
        <v>121,188,255</v>
      </c>
      <c r="AW644" s="31">
        <v>0</v>
      </c>
      <c r="AX644" s="31">
        <v>65.009990613718642</v>
      </c>
      <c r="AY644" s="31">
        <v>0</v>
      </c>
    </row>
    <row r="645" spans="31:51" x14ac:dyDescent="0.25">
      <c r="AE645">
        <v>5.226</v>
      </c>
      <c r="AF645">
        <v>5</v>
      </c>
      <c r="AG645">
        <v>2</v>
      </c>
      <c r="AH645">
        <v>1</v>
      </c>
      <c r="AI645">
        <v>3.0000000000291038</v>
      </c>
      <c r="AJ645">
        <v>5.2261300000000004</v>
      </c>
      <c r="AK645" t="str">
        <v>Base</v>
      </c>
      <c r="AL645">
        <v>-6.75</v>
      </c>
      <c r="AM645">
        <v>-6.2307698386228489</v>
      </c>
      <c r="AN645">
        <v>-1.6888558520706467</v>
      </c>
      <c r="AO645">
        <v>51.449992571540129</v>
      </c>
      <c r="AP645">
        <v>0</v>
      </c>
      <c r="AQ645">
        <v>0</v>
      </c>
      <c r="AR645" t="str">
        <v>32193r1.par</v>
      </c>
      <c r="AV645" t="str">
        <v>121,188,255</v>
      </c>
      <c r="AW645" s="31">
        <v>0</v>
      </c>
      <c r="AX645" s="31">
        <v>51.449992571540129</v>
      </c>
      <c r="AY645" s="31">
        <v>0</v>
      </c>
    </row>
    <row r="646" spans="31:51" x14ac:dyDescent="0.25">
      <c r="AE646">
        <v>5.2229999999999999</v>
      </c>
      <c r="AF646">
        <v>5</v>
      </c>
      <c r="AG646">
        <v>2</v>
      </c>
      <c r="AH646">
        <v>1</v>
      </c>
      <c r="AI646">
        <v>3.0000000000291038</v>
      </c>
      <c r="AJ646">
        <v>5.2231300000000003</v>
      </c>
      <c r="AK646" t="str">
        <v>Base</v>
      </c>
      <c r="AL646">
        <v>-6.75</v>
      </c>
      <c r="AM646">
        <v>-5.6920170795061908</v>
      </c>
      <c r="AN646">
        <v>-1.1538172700815539</v>
      </c>
      <c r="AO646">
        <v>37.819994539468382</v>
      </c>
      <c r="AP646">
        <v>0</v>
      </c>
      <c r="AQ646">
        <v>0</v>
      </c>
      <c r="AR646" t="str">
        <v>32193r1.par</v>
      </c>
      <c r="AV646" t="str">
        <v>121,188,255</v>
      </c>
      <c r="AW646" s="31">
        <v>0</v>
      </c>
      <c r="AX646" s="31">
        <v>37.819994539468382</v>
      </c>
      <c r="AY646" s="31">
        <v>0</v>
      </c>
    </row>
    <row r="647" spans="31:51" x14ac:dyDescent="0.25">
      <c r="AE647">
        <v>5.22</v>
      </c>
      <c r="AF647">
        <v>5</v>
      </c>
      <c r="AG647">
        <v>2</v>
      </c>
      <c r="AH647">
        <v>1</v>
      </c>
      <c r="AI647">
        <v>3.0000000000291038</v>
      </c>
      <c r="AJ647">
        <v>5.2201300000000002</v>
      </c>
      <c r="AK647" t="str">
        <v>Base</v>
      </c>
      <c r="AL647">
        <v>-6.75</v>
      </c>
      <c r="AM647">
        <v>-5.0413149669126431</v>
      </c>
      <c r="AN647">
        <v>-0.762056893676335</v>
      </c>
      <c r="AO647">
        <v>24.199996505952821</v>
      </c>
      <c r="AP647">
        <v>0</v>
      </c>
      <c r="AQ647">
        <v>0</v>
      </c>
      <c r="AR647" t="str">
        <v>32193r1.par</v>
      </c>
      <c r="AV647" t="str">
        <v>121,188,255</v>
      </c>
      <c r="AW647" s="31">
        <v>0</v>
      </c>
      <c r="AX647" s="31">
        <v>24.199996505952821</v>
      </c>
      <c r="AY647" s="31">
        <v>0</v>
      </c>
    </row>
    <row r="648" spans="31:51" x14ac:dyDescent="0.25">
      <c r="AE648">
        <v>5.2169999999999996</v>
      </c>
      <c r="AF648">
        <v>5</v>
      </c>
      <c r="AG648">
        <v>2</v>
      </c>
      <c r="AH648">
        <v>1</v>
      </c>
      <c r="AI648">
        <v>3.0000000000291038</v>
      </c>
      <c r="AJ648">
        <v>5.21713</v>
      </c>
      <c r="AK648" t="str">
        <v>Base</v>
      </c>
      <c r="AL648">
        <v>-6.75</v>
      </c>
      <c r="AM648">
        <v>-4.3088536342635768</v>
      </c>
      <c r="AN648">
        <v>-0.53323409131356858</v>
      </c>
      <c r="AO648">
        <v>10.429998494094555</v>
      </c>
      <c r="AP648">
        <v>0</v>
      </c>
      <c r="AQ648">
        <v>0</v>
      </c>
      <c r="AR648" t="str">
        <v>32193r1.par</v>
      </c>
      <c r="AV648" t="str">
        <v>121,188,255</v>
      </c>
      <c r="AW648" s="31">
        <v>0</v>
      </c>
      <c r="AX648" s="31">
        <v>10.429998494094555</v>
      </c>
      <c r="AY648" s="31">
        <v>0</v>
      </c>
    </row>
    <row r="649" spans="31:51" x14ac:dyDescent="0.25">
      <c r="AE649">
        <v>5.1379999999999999</v>
      </c>
      <c r="AF649">
        <v>5</v>
      </c>
      <c r="AG649">
        <v>1</v>
      </c>
      <c r="AH649">
        <v>1</v>
      </c>
      <c r="AI649">
        <v>3.0000000000291038</v>
      </c>
      <c r="AJ649">
        <v>5.1381300000000003</v>
      </c>
      <c r="AK649" t="str">
        <v>Base</v>
      </c>
      <c r="AL649">
        <v>-6</v>
      </c>
      <c r="AM649">
        <v>-7.1349215189233011</v>
      </c>
      <c r="AN649">
        <v>-4.5086668009641508</v>
      </c>
      <c r="AO649">
        <v>87.999987294373852</v>
      </c>
      <c r="AP649">
        <v>-32.399995322019457</v>
      </c>
      <c r="AQ649">
        <v>0</v>
      </c>
      <c r="AR649" t="str">
        <v>1613.par</v>
      </c>
      <c r="AV649" t="str">
        <v>0,102,204</v>
      </c>
      <c r="AW649" s="31">
        <v>0</v>
      </c>
      <c r="AX649" s="31">
        <v>87.999987294373852</v>
      </c>
      <c r="AY649" s="31">
        <v>0</v>
      </c>
    </row>
    <row r="650" spans="31:51" x14ac:dyDescent="0.25">
      <c r="AE650">
        <v>5.1349999999999998</v>
      </c>
      <c r="AF650">
        <v>5</v>
      </c>
      <c r="AG650">
        <v>1</v>
      </c>
      <c r="AH650">
        <v>1</v>
      </c>
      <c r="AI650">
        <v>3.0000000000291038</v>
      </c>
      <c r="AJ650">
        <v>5.1351300000000002</v>
      </c>
      <c r="AK650" t="str">
        <v>Base</v>
      </c>
      <c r="AL650">
        <v>-6</v>
      </c>
      <c r="AM650">
        <v>-7.0330212115919766</v>
      </c>
      <c r="AN650">
        <v>-3.7575589103244922</v>
      </c>
      <c r="AO650">
        <v>81.999988160666575</v>
      </c>
      <c r="AP650">
        <v>-29.099995798480418</v>
      </c>
      <c r="AQ650">
        <v>0</v>
      </c>
      <c r="AR650" t="str">
        <v>1613.par</v>
      </c>
      <c r="AV650" t="str">
        <v>0,102,204</v>
      </c>
      <c r="AW650" s="31">
        <v>0</v>
      </c>
      <c r="AX650" s="31">
        <v>81.999988160666575</v>
      </c>
      <c r="AY650" s="31">
        <v>0</v>
      </c>
    </row>
    <row r="651" spans="31:51" x14ac:dyDescent="0.25">
      <c r="AE651">
        <v>5.1319999999999997</v>
      </c>
      <c r="AF651">
        <v>5</v>
      </c>
      <c r="AG651">
        <v>1</v>
      </c>
      <c r="AH651">
        <v>1</v>
      </c>
      <c r="AI651">
        <v>3.0000000000291038</v>
      </c>
      <c r="AJ651">
        <v>5.1321300000000001</v>
      </c>
      <c r="AK651" t="str">
        <v>Base</v>
      </c>
      <c r="AL651">
        <v>-6</v>
      </c>
      <c r="AM651">
        <v>-6.8749207347609378</v>
      </c>
      <c r="AN651">
        <v>-3.0294009498553516</v>
      </c>
      <c r="AO651">
        <v>76.099989012520979</v>
      </c>
      <c r="AP651">
        <v>-26.399996188312151</v>
      </c>
      <c r="AQ651">
        <v>0</v>
      </c>
      <c r="AR651" t="str">
        <v>1613.par</v>
      </c>
      <c r="AV651" t="str">
        <v>0,102,204</v>
      </c>
      <c r="AW651" s="31">
        <v>0</v>
      </c>
      <c r="AX651" s="31">
        <v>76.099989012520979</v>
      </c>
      <c r="AY651" s="31">
        <v>0</v>
      </c>
    </row>
    <row r="652" spans="31:51" x14ac:dyDescent="0.25">
      <c r="AE652">
        <v>5.1289999999999996</v>
      </c>
      <c r="AF652">
        <v>5</v>
      </c>
      <c r="AG652">
        <v>1</v>
      </c>
      <c r="AH652">
        <v>1</v>
      </c>
      <c r="AI652">
        <v>3.0000000000291038</v>
      </c>
      <c r="AJ652">
        <v>5.12913</v>
      </c>
      <c r="AK652" t="str">
        <v>Base</v>
      </c>
      <c r="AL652">
        <v>-6</v>
      </c>
      <c r="AM652">
        <v>-6.631019999156317</v>
      </c>
      <c r="AN652">
        <v>-2.3255157706964695</v>
      </c>
      <c r="AO652">
        <v>66.299990427465744</v>
      </c>
      <c r="AP652">
        <v>-23.799996563705665</v>
      </c>
      <c r="AQ652">
        <v>0</v>
      </c>
      <c r="AR652" t="str">
        <v>1613.par</v>
      </c>
      <c r="AV652" t="str">
        <v>0,102,204</v>
      </c>
      <c r="AW652" s="31">
        <v>0</v>
      </c>
      <c r="AX652" s="31">
        <v>66.299990427465744</v>
      </c>
      <c r="AY652" s="31">
        <v>0</v>
      </c>
    </row>
    <row r="653" spans="31:51" x14ac:dyDescent="0.25">
      <c r="AE653">
        <v>5.1260000000000003</v>
      </c>
      <c r="AF653">
        <v>5</v>
      </c>
      <c r="AG653">
        <v>1</v>
      </c>
      <c r="AH653">
        <v>1</v>
      </c>
      <c r="AI653">
        <v>3.0000000001018634</v>
      </c>
      <c r="AJ653">
        <v>5.1261300000000007</v>
      </c>
      <c r="AK653" t="str">
        <v>Base</v>
      </c>
      <c r="AL653">
        <v>-6</v>
      </c>
      <c r="AM653">
        <v>-6.2261187779742322</v>
      </c>
      <c r="AN653">
        <v>-1.6875573177686845</v>
      </c>
      <c r="AO653">
        <v>54.599992116736459</v>
      </c>
      <c r="AP653">
        <v>-20.499997040166601</v>
      </c>
      <c r="AQ653">
        <v>0</v>
      </c>
      <c r="AR653" t="str">
        <v>1613.par</v>
      </c>
      <c r="AV653" t="str">
        <v>0,102,204</v>
      </c>
      <c r="AW653" s="31">
        <v>0</v>
      </c>
      <c r="AX653" s="31">
        <v>54.599992116736459</v>
      </c>
      <c r="AY653" s="31">
        <v>0</v>
      </c>
    </row>
    <row r="654" spans="31:51" x14ac:dyDescent="0.25">
      <c r="AE654">
        <v>5.1230000000000002</v>
      </c>
      <c r="AF654">
        <v>5</v>
      </c>
      <c r="AG654">
        <v>1</v>
      </c>
      <c r="AH654">
        <v>1</v>
      </c>
      <c r="AI654">
        <v>3.0000000000291038</v>
      </c>
      <c r="AJ654">
        <v>5.1231300000000006</v>
      </c>
      <c r="AK654" t="str">
        <v>Base</v>
      </c>
      <c r="AL654">
        <v>-6</v>
      </c>
      <c r="AM654">
        <v>-5.6833171408844967</v>
      </c>
      <c r="AN654">
        <v>-1.1594773903954723</v>
      </c>
      <c r="AO654">
        <v>42.799993820445458</v>
      </c>
      <c r="AP654">
        <v>-17.099997531065835</v>
      </c>
      <c r="AQ654">
        <v>0</v>
      </c>
      <c r="AR654" t="str">
        <v>1613.par</v>
      </c>
      <c r="AV654" t="str">
        <v>0,102,204</v>
      </c>
      <c r="AW654" s="31">
        <v>0</v>
      </c>
      <c r="AX654" s="31">
        <v>42.799993820445458</v>
      </c>
      <c r="AY654" s="31">
        <v>0</v>
      </c>
    </row>
    <row r="655" spans="31:51" x14ac:dyDescent="0.25">
      <c r="AE655">
        <v>5.12</v>
      </c>
      <c r="AF655">
        <v>5</v>
      </c>
      <c r="AG655">
        <v>1</v>
      </c>
      <c r="AH655">
        <v>1</v>
      </c>
      <c r="AI655">
        <v>3.0000000000291038</v>
      </c>
      <c r="AJ655">
        <v>5.1201300000000005</v>
      </c>
      <c r="AK655" t="str">
        <v>Base</v>
      </c>
      <c r="AL655">
        <v>-6</v>
      </c>
      <c r="AM655">
        <v>-5.0339151822881911</v>
      </c>
      <c r="AN655">
        <v>-0.77140496861403429</v>
      </c>
      <c r="AO655">
        <v>31.099995509716297</v>
      </c>
      <c r="AP655">
        <v>-16.299997646571519</v>
      </c>
      <c r="AQ655">
        <v>0</v>
      </c>
      <c r="AR655" t="str">
        <v>1613.par</v>
      </c>
      <c r="AV655" t="str">
        <v>0,102,204</v>
      </c>
      <c r="AW655" s="31">
        <v>0</v>
      </c>
      <c r="AX655" s="31">
        <v>31.099995509716297</v>
      </c>
      <c r="AY655" s="31">
        <v>0</v>
      </c>
    </row>
    <row r="656" spans="31:51" x14ac:dyDescent="0.25">
      <c r="AE656">
        <v>5.117</v>
      </c>
      <c r="AF656">
        <v>5</v>
      </c>
      <c r="AG656">
        <v>1</v>
      </c>
      <c r="AH656">
        <v>1</v>
      </c>
      <c r="AI656">
        <v>3.0000000000291038</v>
      </c>
      <c r="AJ656">
        <v>5.1171300000000004</v>
      </c>
      <c r="AK656" t="str">
        <v>Base</v>
      </c>
      <c r="AL656">
        <v>-6</v>
      </c>
      <c r="AM656">
        <v>-4.3037129799983482</v>
      </c>
      <c r="AN656">
        <v>-0.54574553694670846</v>
      </c>
      <c r="AO656">
        <v>18.999997256739775</v>
      </c>
      <c r="AP656">
        <v>-15.499997762077189</v>
      </c>
      <c r="AQ656">
        <v>0</v>
      </c>
      <c r="AR656" t="str">
        <v>1613.par</v>
      </c>
      <c r="AV656" t="str">
        <v>0,102,204</v>
      </c>
      <c r="AW656" s="31">
        <v>0</v>
      </c>
      <c r="AX656" s="31">
        <v>18.999997256739775</v>
      </c>
      <c r="AY656" s="31">
        <v>0</v>
      </c>
    </row>
    <row r="657" spans="31:51" x14ac:dyDescent="0.25">
      <c r="AE657">
        <v>5.1139999999999999</v>
      </c>
      <c r="AF657">
        <v>5</v>
      </c>
      <c r="AG657">
        <v>1</v>
      </c>
      <c r="AH657">
        <v>1</v>
      </c>
      <c r="AI657">
        <v>3.0000000000291038</v>
      </c>
      <c r="AJ657">
        <v>5.1141300000000003</v>
      </c>
      <c r="AK657" t="str">
        <v>Base</v>
      </c>
      <c r="AL657">
        <v>-6</v>
      </c>
      <c r="AM657">
        <v>-3.5593107348811768</v>
      </c>
      <c r="AN657">
        <v>-0.49775601686069859</v>
      </c>
      <c r="AO657">
        <v>7.3999989315723109</v>
      </c>
      <c r="AP657">
        <v>-15.099997819830044</v>
      </c>
      <c r="AQ657">
        <v>0</v>
      </c>
      <c r="AR657" t="str">
        <v>1613.par</v>
      </c>
      <c r="AV657" t="str">
        <v>0,102,204</v>
      </c>
      <c r="AW657" s="31">
        <v>0</v>
      </c>
      <c r="AX657" s="31">
        <v>7.3999989315723109</v>
      </c>
      <c r="AY657" s="31">
        <v>0</v>
      </c>
    </row>
    <row r="658" spans="31:51" x14ac:dyDescent="0.25">
      <c r="AE658">
        <v>5.1109999999999998</v>
      </c>
      <c r="AF658">
        <v>5</v>
      </c>
      <c r="AG658">
        <v>1</v>
      </c>
      <c r="AH658">
        <v>1</v>
      </c>
      <c r="AI658">
        <v>3.0000000000291038</v>
      </c>
      <c r="AJ658">
        <v>5.1111300000000002</v>
      </c>
      <c r="AK658" t="str">
        <v>Base</v>
      </c>
      <c r="AL658">
        <v>-6</v>
      </c>
      <c r="AM658">
        <v>-2.8153084909704096</v>
      </c>
      <c r="AN658">
        <v>-0.62535640170345919</v>
      </c>
      <c r="AO658">
        <v>-1.9999997112357444</v>
      </c>
      <c r="AP658">
        <v>-14.999997834268255</v>
      </c>
      <c r="AQ658">
        <v>0</v>
      </c>
      <c r="AR658" t="str">
        <v>1613.par</v>
      </c>
      <c r="AV658" t="str">
        <v>0,102,204</v>
      </c>
      <c r="AW658" s="31">
        <v>0</v>
      </c>
      <c r="AX658" s="31">
        <v>-1.9999997112357444</v>
      </c>
      <c r="AY658" s="31">
        <v>0</v>
      </c>
    </row>
    <row r="659" spans="31:51" x14ac:dyDescent="0.25">
      <c r="AE659">
        <v>5.1079999999999997</v>
      </c>
      <c r="AF659">
        <v>5</v>
      </c>
      <c r="AG659">
        <v>1</v>
      </c>
      <c r="AH659">
        <v>1</v>
      </c>
      <c r="AI659">
        <v>3.0000000000291038</v>
      </c>
      <c r="AJ659">
        <v>5.1081300000000001</v>
      </c>
      <c r="AK659" t="str">
        <v>Base</v>
      </c>
      <c r="AL659">
        <v>-6</v>
      </c>
      <c r="AM659">
        <v>-2.0734062533932605</v>
      </c>
      <c r="AN659">
        <v>-0.82405700098446677</v>
      </c>
      <c r="AO659">
        <v>-2.999999566853591</v>
      </c>
      <c r="AP659">
        <v>-14.999997834268203</v>
      </c>
      <c r="AQ659">
        <v>0</v>
      </c>
      <c r="AR659" t="str">
        <v>1613.par</v>
      </c>
      <c r="AV659" t="str">
        <v>0,102,204</v>
      </c>
      <c r="AW659" s="31">
        <v>0</v>
      </c>
      <c r="AX659" s="31">
        <v>-2.999999566853591</v>
      </c>
      <c r="AY659" s="31">
        <v>0</v>
      </c>
    </row>
    <row r="660" spans="31:51" x14ac:dyDescent="0.25">
      <c r="AE660">
        <v>5.1050000000000004</v>
      </c>
      <c r="AF660">
        <v>5</v>
      </c>
      <c r="AG660">
        <v>1</v>
      </c>
      <c r="AH660">
        <v>1</v>
      </c>
      <c r="AI660">
        <v>3.0000000001018634</v>
      </c>
      <c r="AJ660">
        <v>5.1051300000000008</v>
      </c>
      <c r="AK660" t="str">
        <v>Base</v>
      </c>
      <c r="AL660">
        <v>-6</v>
      </c>
      <c r="AM660">
        <v>-1.331504015816112</v>
      </c>
      <c r="AN660">
        <v>-1.022857600585265</v>
      </c>
      <c r="AO660">
        <v>-2.9999995668536164</v>
      </c>
      <c r="AP660">
        <v>-14.999997834268255</v>
      </c>
      <c r="AQ660">
        <v>0</v>
      </c>
      <c r="AR660" t="str">
        <v>1613.par</v>
      </c>
      <c r="AV660" t="str">
        <v>0,102,204</v>
      </c>
      <c r="AW660" s="31">
        <v>0</v>
      </c>
      <c r="AX660" s="31">
        <v>-2.9999995668536164</v>
      </c>
      <c r="AY660" s="31">
        <v>0</v>
      </c>
    </row>
    <row r="661" spans="31:51" x14ac:dyDescent="0.25">
      <c r="AE661">
        <v>5.1020000000000003</v>
      </c>
      <c r="AF661">
        <v>5</v>
      </c>
      <c r="AG661">
        <v>1</v>
      </c>
      <c r="AH661">
        <v>1</v>
      </c>
      <c r="AI661">
        <v>3.0000000001018634</v>
      </c>
      <c r="AJ661">
        <v>5.1021300000000007</v>
      </c>
      <c r="AK661" t="str">
        <v>Base</v>
      </c>
      <c r="AL661">
        <v>-6</v>
      </c>
      <c r="AM661">
        <v>-0.58750177190534425</v>
      </c>
      <c r="AN661">
        <v>-1.2137581763414014</v>
      </c>
      <c r="AO661">
        <v>-5.9999991337073411</v>
      </c>
      <c r="AP661">
        <v>-19.999997112357704</v>
      </c>
      <c r="AQ661">
        <v>0</v>
      </c>
      <c r="AR661" t="str">
        <v>1613.par</v>
      </c>
      <c r="AV661" t="str">
        <v>0,102,204</v>
      </c>
      <c r="AW661" s="31">
        <v>0</v>
      </c>
      <c r="AX661" s="31">
        <v>-5.9999991337073411</v>
      </c>
      <c r="AY661" s="31">
        <v>0</v>
      </c>
    </row>
    <row r="662" spans="31:51" x14ac:dyDescent="0.25">
      <c r="AE662">
        <v>4.2370000000000001</v>
      </c>
      <c r="AF662">
        <v>4</v>
      </c>
      <c r="AG662">
        <v>2</v>
      </c>
      <c r="AH662">
        <v>1</v>
      </c>
      <c r="AI662">
        <v>3.0000000000291038</v>
      </c>
      <c r="AJ662">
        <v>4.2371300000000005</v>
      </c>
      <c r="AK662" t="str">
        <v>Base</v>
      </c>
      <c r="AL662">
        <v>-5.25</v>
      </c>
      <c r="AM662">
        <v>-7.0763183047111946</v>
      </c>
      <c r="AN662">
        <v>-4.338860324395462</v>
      </c>
      <c r="AO662">
        <v>84.909987740514595</v>
      </c>
      <c r="AP662">
        <v>0</v>
      </c>
      <c r="AQ662">
        <v>0</v>
      </c>
      <c r="AR662" t="str">
        <v>32193r1.par</v>
      </c>
      <c r="AV662" t="str">
        <v>91,255,255</v>
      </c>
      <c r="AW662" s="31">
        <v>0</v>
      </c>
      <c r="AX662" s="31">
        <v>84.909987740514595</v>
      </c>
      <c r="AY662" s="31">
        <v>0</v>
      </c>
    </row>
    <row r="663" spans="31:51" x14ac:dyDescent="0.25">
      <c r="AE663">
        <v>4.234</v>
      </c>
      <c r="AF663">
        <v>4</v>
      </c>
      <c r="AG663">
        <v>2</v>
      </c>
      <c r="AH663">
        <v>1</v>
      </c>
      <c r="AI663">
        <v>3.0000000000291038</v>
      </c>
      <c r="AJ663">
        <v>4.2341300000000004</v>
      </c>
      <c r="AK663" t="str">
        <v>Base</v>
      </c>
      <c r="AL663">
        <v>-5.25</v>
      </c>
      <c r="AM663">
        <v>-6.9745354852076824</v>
      </c>
      <c r="AN663">
        <v>-3.5943926139254745</v>
      </c>
      <c r="AO663">
        <v>79.239988559161148</v>
      </c>
      <c r="AP663">
        <v>0</v>
      </c>
      <c r="AQ663">
        <v>0</v>
      </c>
      <c r="AR663" t="str">
        <v>32193r1.par</v>
      </c>
      <c r="AV663" t="str">
        <v>91,255,255</v>
      </c>
      <c r="AW663" s="31">
        <v>0</v>
      </c>
      <c r="AX663" s="31">
        <v>79.239988559161148</v>
      </c>
      <c r="AY663" s="31">
        <v>0</v>
      </c>
    </row>
    <row r="664" spans="31:51" x14ac:dyDescent="0.25">
      <c r="AE664">
        <v>4.2309999999999999</v>
      </c>
      <c r="AF664">
        <v>4</v>
      </c>
      <c r="AG664">
        <v>2</v>
      </c>
      <c r="AH664">
        <v>1</v>
      </c>
      <c r="AI664">
        <v>3.0000000000291038</v>
      </c>
      <c r="AJ664">
        <v>4.2311300000000003</v>
      </c>
      <c r="AK664" t="str">
        <v>Base</v>
      </c>
      <c r="AL664">
        <v>-5.25</v>
      </c>
      <c r="AM664">
        <v>-6.8042623594709397</v>
      </c>
      <c r="AN664">
        <v>-2.8769025153882444</v>
      </c>
      <c r="AO664">
        <v>73.979989318611103</v>
      </c>
      <c r="AP664">
        <v>0</v>
      </c>
      <c r="AQ664">
        <v>0</v>
      </c>
      <c r="AR664" t="str">
        <v>32193r1.par</v>
      </c>
      <c r="AV664" t="str">
        <v>91,255,255</v>
      </c>
      <c r="AW664" s="31">
        <v>0</v>
      </c>
      <c r="AX664" s="31">
        <v>73.979989318611103</v>
      </c>
      <c r="AY664" s="31">
        <v>0</v>
      </c>
    </row>
    <row r="665" spans="31:51" x14ac:dyDescent="0.25">
      <c r="AE665">
        <v>4.2279999999999998</v>
      </c>
      <c r="AF665">
        <v>4</v>
      </c>
      <c r="AG665">
        <v>2</v>
      </c>
      <c r="AH665">
        <v>1</v>
      </c>
      <c r="AI665">
        <v>3.0000000000291038</v>
      </c>
      <c r="AJ665">
        <v>4.2281300000000002</v>
      </c>
      <c r="AK665" t="str">
        <v>Base</v>
      </c>
      <c r="AL665">
        <v>-5.25</v>
      </c>
      <c r="AM665">
        <v>-6.5149297086959281</v>
      </c>
      <c r="AN665">
        <v>-2.1849642502011672</v>
      </c>
      <c r="AO665">
        <v>60.529991260550531</v>
      </c>
      <c r="AP665">
        <v>0</v>
      </c>
      <c r="AQ665">
        <v>0</v>
      </c>
      <c r="AR665" t="str">
        <v>32193r1.par</v>
      </c>
      <c r="AV665" t="str">
        <v>91,255,255</v>
      </c>
      <c r="AW665" s="31">
        <v>0</v>
      </c>
      <c r="AX665" s="31">
        <v>60.529991260550531</v>
      </c>
      <c r="AY665" s="31">
        <v>0</v>
      </c>
    </row>
    <row r="666" spans="31:51" x14ac:dyDescent="0.25">
      <c r="AE666">
        <v>4.2249999999999996</v>
      </c>
      <c r="AF666">
        <v>4</v>
      </c>
      <c r="AG666">
        <v>2</v>
      </c>
      <c r="AH666">
        <v>1</v>
      </c>
      <c r="AI666">
        <v>3.0000000000291038</v>
      </c>
      <c r="AJ666">
        <v>4.2251300000000001</v>
      </c>
      <c r="AK666" t="str">
        <v>Base</v>
      </c>
      <c r="AL666">
        <v>-5.25</v>
      </c>
      <c r="AM666">
        <v>-6.0655624547724596</v>
      </c>
      <c r="AN666">
        <v>-1.572532802399349</v>
      </c>
      <c r="AO666">
        <v>46.89999322847882</v>
      </c>
      <c r="AP666">
        <v>0</v>
      </c>
      <c r="AQ666">
        <v>0</v>
      </c>
      <c r="AR666" t="str">
        <v>32193r1.par</v>
      </c>
      <c r="AV666" t="str">
        <v>91,255,255</v>
      </c>
      <c r="AW666" s="31">
        <v>0</v>
      </c>
      <c r="AX666" s="31">
        <v>46.89999322847882</v>
      </c>
      <c r="AY666" s="31">
        <v>0</v>
      </c>
    </row>
    <row r="667" spans="31:51" x14ac:dyDescent="0.25">
      <c r="AE667">
        <v>4.2220000000000004</v>
      </c>
      <c r="AF667">
        <v>4</v>
      </c>
      <c r="AG667">
        <v>2</v>
      </c>
      <c r="AH667">
        <v>1</v>
      </c>
      <c r="AI667">
        <v>3.0000000001018634</v>
      </c>
      <c r="AJ667">
        <v>4.2221300000000008</v>
      </c>
      <c r="AK667" t="str">
        <v>Base</v>
      </c>
      <c r="AL667">
        <v>-5.25</v>
      </c>
      <c r="AM667">
        <v>-5.4860015733948275</v>
      </c>
      <c r="AN667">
        <v>-1.0818346919233437</v>
      </c>
      <c r="AO667">
        <v>33.279995194963185</v>
      </c>
      <c r="AP667">
        <v>0</v>
      </c>
      <c r="AQ667">
        <v>0</v>
      </c>
      <c r="AR667" t="str">
        <v>32193r1.par</v>
      </c>
      <c r="AV667" t="str">
        <v>91,255,255</v>
      </c>
      <c r="AW667" s="31">
        <v>0</v>
      </c>
      <c r="AX667" s="31">
        <v>33.279995194963185</v>
      </c>
      <c r="AY667" s="31">
        <v>0</v>
      </c>
    </row>
    <row r="668" spans="31:51" x14ac:dyDescent="0.25">
      <c r="AE668">
        <v>4.2190000000000003</v>
      </c>
      <c r="AF668">
        <v>4</v>
      </c>
      <c r="AG668">
        <v>2</v>
      </c>
      <c r="AH668">
        <v>1</v>
      </c>
      <c r="AI668">
        <v>3.0000000001018634</v>
      </c>
      <c r="AJ668">
        <v>4.2191300000000007</v>
      </c>
      <c r="AK668" t="str">
        <v>Base</v>
      </c>
      <c r="AL668">
        <v>-5.25</v>
      </c>
      <c r="AM668">
        <v>-4.8061705690502698</v>
      </c>
      <c r="AN668">
        <v>-0.74276906161830358</v>
      </c>
      <c r="AO668">
        <v>19.649997162891438</v>
      </c>
      <c r="AP668">
        <v>0</v>
      </c>
      <c r="AQ668">
        <v>0</v>
      </c>
      <c r="AR668" t="str">
        <v>32193r1.par</v>
      </c>
      <c r="AV668" t="str">
        <v>91,255,255</v>
      </c>
      <c r="AW668" s="31">
        <v>0</v>
      </c>
      <c r="AX668" s="31">
        <v>19.649997162891438</v>
      </c>
      <c r="AY668" s="31">
        <v>0</v>
      </c>
    </row>
    <row r="669" spans="31:51" x14ac:dyDescent="0.25">
      <c r="AE669">
        <v>4.2160000000000002</v>
      </c>
      <c r="AF669">
        <v>4</v>
      </c>
      <c r="AG669">
        <v>2</v>
      </c>
      <c r="AH669">
        <v>1</v>
      </c>
      <c r="AI669">
        <v>3.0000000000291038</v>
      </c>
      <c r="AJ669">
        <v>4.2161300000000006</v>
      </c>
      <c r="AK669" t="str">
        <v>Base</v>
      </c>
      <c r="AL669">
        <v>-5.25</v>
      </c>
      <c r="AM669">
        <v>-4.0538913077739718</v>
      </c>
      <c r="AN669">
        <v>-0.57260183848427071</v>
      </c>
      <c r="AO669">
        <v>5.8099991611399071</v>
      </c>
      <c r="AP669">
        <v>0</v>
      </c>
      <c r="AQ669">
        <v>0</v>
      </c>
      <c r="AR669" t="str">
        <v>32193r1.par</v>
      </c>
      <c r="AV669" t="str">
        <v>91,255,255</v>
      </c>
      <c r="AW669" s="31">
        <v>0</v>
      </c>
      <c r="AX669" s="31">
        <v>5.8099991611399071</v>
      </c>
      <c r="AY669" s="31">
        <v>0</v>
      </c>
    </row>
    <row r="670" spans="31:51" x14ac:dyDescent="0.25">
      <c r="AE670">
        <v>4.1399999999999997</v>
      </c>
      <c r="AF670">
        <v>4</v>
      </c>
      <c r="AG670">
        <v>1</v>
      </c>
      <c r="AH670">
        <v>1</v>
      </c>
      <c r="AI670">
        <v>3.0000000000291038</v>
      </c>
      <c r="AJ670">
        <v>4.1401300000000001</v>
      </c>
      <c r="AK670" t="str">
        <v>Base</v>
      </c>
      <c r="AL670">
        <v>-4.5</v>
      </c>
      <c r="AM670">
        <v>-7.134921518923302</v>
      </c>
      <c r="AN670">
        <v>-5.0910624838469527</v>
      </c>
      <c r="AO670">
        <v>87.999987294373838</v>
      </c>
      <c r="AP670">
        <v>-32.399995322019443</v>
      </c>
      <c r="AQ670">
        <v>0</v>
      </c>
      <c r="AR670" t="str">
        <v>1613.par</v>
      </c>
      <c r="AV670" t="str">
        <v>0,204,204</v>
      </c>
      <c r="AW670" s="31">
        <v>0</v>
      </c>
      <c r="AX670" s="31">
        <v>87.999987294373838</v>
      </c>
      <c r="AY670" s="31">
        <v>0</v>
      </c>
    </row>
    <row r="671" spans="31:51" x14ac:dyDescent="0.25">
      <c r="AE671">
        <v>4.1369999999999996</v>
      </c>
      <c r="AF671">
        <v>4</v>
      </c>
      <c r="AG671">
        <v>1</v>
      </c>
      <c r="AH671">
        <v>1</v>
      </c>
      <c r="AI671">
        <v>3.0000000000291038</v>
      </c>
      <c r="AJ671">
        <v>4.13713</v>
      </c>
      <c r="AK671" t="str">
        <v>Base</v>
      </c>
      <c r="AL671">
        <v>-4.5</v>
      </c>
      <c r="AM671">
        <v>-7.0993214115533769</v>
      </c>
      <c r="AN671">
        <v>-4.3309933163736556</v>
      </c>
      <c r="AO671">
        <v>85.999987583138065</v>
      </c>
      <c r="AP671">
        <v>-31.19999549527801</v>
      </c>
      <c r="AQ671">
        <v>0</v>
      </c>
      <c r="AR671" t="str">
        <v>1613.par</v>
      </c>
      <c r="AV671" t="str">
        <v>0,204,204</v>
      </c>
      <c r="AW671" s="31">
        <v>0</v>
      </c>
      <c r="AX671" s="31">
        <v>85.999987583138065</v>
      </c>
      <c r="AY671" s="31">
        <v>0</v>
      </c>
    </row>
    <row r="672" spans="31:51" x14ac:dyDescent="0.25">
      <c r="AE672">
        <v>4.1340000000000003</v>
      </c>
      <c r="AF672">
        <v>4</v>
      </c>
      <c r="AG672">
        <v>1</v>
      </c>
      <c r="AH672">
        <v>1</v>
      </c>
      <c r="AI672">
        <v>3.0000000001018634</v>
      </c>
      <c r="AJ672">
        <v>4.1341300000000007</v>
      </c>
      <c r="AK672" t="str">
        <v>Base</v>
      </c>
      <c r="AL672">
        <v>-4.5</v>
      </c>
      <c r="AM672">
        <v>-6.9875210743635598</v>
      </c>
      <c r="AN672">
        <v>-3.5860940555613108</v>
      </c>
      <c r="AO672">
        <v>80.099988434992554</v>
      </c>
      <c r="AP672">
        <v>-27.899995971738971</v>
      </c>
      <c r="AQ672">
        <v>0</v>
      </c>
      <c r="AR672" t="str">
        <v>1613.par</v>
      </c>
      <c r="AV672" t="str">
        <v>0,204,204</v>
      </c>
      <c r="AW672" s="31">
        <v>0</v>
      </c>
      <c r="AX672" s="31">
        <v>80.099988434992554</v>
      </c>
      <c r="AY672" s="31">
        <v>0</v>
      </c>
    </row>
    <row r="673" spans="31:51" x14ac:dyDescent="0.25">
      <c r="AE673">
        <v>4.1310000000000002</v>
      </c>
      <c r="AF673">
        <v>4</v>
      </c>
      <c r="AG673">
        <v>1</v>
      </c>
      <c r="AH673">
        <v>1</v>
      </c>
      <c r="AI673">
        <v>3.0000000000291038</v>
      </c>
      <c r="AJ673">
        <v>4.1311300000000006</v>
      </c>
      <c r="AK673" t="str">
        <v>Base</v>
      </c>
      <c r="AL673">
        <v>-4.5</v>
      </c>
      <c r="AM673">
        <v>-6.8108205414347527</v>
      </c>
      <c r="AN673">
        <v>-2.8693520322319666</v>
      </c>
      <c r="AO673">
        <v>74.099989301285248</v>
      </c>
      <c r="AP673">
        <v>-25.599996303817825</v>
      </c>
      <c r="AQ673">
        <v>0</v>
      </c>
      <c r="AR673" t="str">
        <v>1613.par</v>
      </c>
      <c r="AV673" t="str">
        <v>0,204,204</v>
      </c>
      <c r="AW673" s="31">
        <v>0</v>
      </c>
      <c r="AX673" s="31">
        <v>74.099989301285248</v>
      </c>
      <c r="AY673" s="31">
        <v>0</v>
      </c>
    </row>
    <row r="674" spans="31:51" x14ac:dyDescent="0.25">
      <c r="AE674">
        <v>4.1280000000000001</v>
      </c>
      <c r="AF674">
        <v>4</v>
      </c>
      <c r="AG674">
        <v>1</v>
      </c>
      <c r="AH674">
        <v>1</v>
      </c>
      <c r="AI674">
        <v>3.0000000000291038</v>
      </c>
      <c r="AJ674">
        <v>4.1281300000000005</v>
      </c>
      <c r="AK674" t="str">
        <v>Base</v>
      </c>
      <c r="AL674">
        <v>-4.5</v>
      </c>
      <c r="AM674">
        <v>-6.5144196474896567</v>
      </c>
      <c r="AN674">
        <v>-2.1801103693227617</v>
      </c>
      <c r="AO674">
        <v>62.499990976117786</v>
      </c>
      <c r="AP674">
        <v>-22.699996722525942</v>
      </c>
      <c r="AQ674">
        <v>0</v>
      </c>
      <c r="AR674" t="str">
        <v>1613.par</v>
      </c>
      <c r="AV674" t="str">
        <v>0,204,204</v>
      </c>
      <c r="AW674" s="31">
        <v>0</v>
      </c>
      <c r="AX674" s="31">
        <v>62.499990976117786</v>
      </c>
      <c r="AY674" s="31">
        <v>0</v>
      </c>
    </row>
    <row r="675" spans="31:51" x14ac:dyDescent="0.25">
      <c r="AE675">
        <v>4.125</v>
      </c>
      <c r="AF675">
        <v>4</v>
      </c>
      <c r="AG675">
        <v>1</v>
      </c>
      <c r="AH675">
        <v>1</v>
      </c>
      <c r="AI675">
        <v>3.0000000000291038</v>
      </c>
      <c r="AJ675">
        <v>4.1251300000000004</v>
      </c>
      <c r="AK675" t="str">
        <v>Base</v>
      </c>
      <c r="AL675">
        <v>-4.5</v>
      </c>
      <c r="AM675">
        <v>-6.0591182743007153</v>
      </c>
      <c r="AN675">
        <v>-1.5734856913285649</v>
      </c>
      <c r="AO675">
        <v>50.699992679826764</v>
      </c>
      <c r="AP675">
        <v>-19.299997213425165</v>
      </c>
      <c r="AQ675">
        <v>0</v>
      </c>
      <c r="AR675" t="str">
        <v>1613.par</v>
      </c>
      <c r="AV675" t="str">
        <v>0,204,204</v>
      </c>
      <c r="AW675" s="31">
        <v>0</v>
      </c>
      <c r="AX675" s="31">
        <v>50.699992679826764</v>
      </c>
      <c r="AY675" s="31">
        <v>0</v>
      </c>
    </row>
    <row r="676" spans="31:51" x14ac:dyDescent="0.25">
      <c r="AE676">
        <v>4.1219999999999999</v>
      </c>
      <c r="AF676">
        <v>4</v>
      </c>
      <c r="AG676">
        <v>1</v>
      </c>
      <c r="AH676">
        <v>1</v>
      </c>
      <c r="AI676">
        <v>3.0000000000291038</v>
      </c>
      <c r="AJ676">
        <v>4.1221300000000003</v>
      </c>
      <c r="AK676" t="str">
        <v>Base</v>
      </c>
      <c r="AL676">
        <v>-4.5</v>
      </c>
      <c r="AM676">
        <v>-5.4776165204914253</v>
      </c>
      <c r="AN676">
        <v>-1.0888170059778448</v>
      </c>
      <c r="AO676">
        <v>38.799994397973919</v>
      </c>
      <c r="AP676">
        <v>-16.799997574380452</v>
      </c>
      <c r="AQ676">
        <v>0</v>
      </c>
      <c r="AR676" t="str">
        <v>1613.par</v>
      </c>
      <c r="AV676" t="str">
        <v>0,204,204</v>
      </c>
      <c r="AW676" s="31">
        <v>0</v>
      </c>
      <c r="AX676" s="31">
        <v>38.799994397973919</v>
      </c>
      <c r="AY676" s="31">
        <v>0</v>
      </c>
    </row>
    <row r="677" spans="31:51" x14ac:dyDescent="0.25">
      <c r="AE677">
        <v>4.1189999999999998</v>
      </c>
      <c r="AF677">
        <v>4</v>
      </c>
      <c r="AG677">
        <v>1</v>
      </c>
      <c r="AH677">
        <v>1</v>
      </c>
      <c r="AI677">
        <v>3.0000000000291038</v>
      </c>
      <c r="AJ677">
        <v>4.1191300000000002</v>
      </c>
      <c r="AK677" t="str">
        <v>Base</v>
      </c>
      <c r="AL677">
        <v>-4.5</v>
      </c>
      <c r="AM677">
        <v>-4.7994144750340562</v>
      </c>
      <c r="AN677">
        <v>-0.75332759006318339</v>
      </c>
      <c r="AO677">
        <v>26.999996101682843</v>
      </c>
      <c r="AP677">
        <v>-15.99999768988615</v>
      </c>
      <c r="AQ677">
        <v>0</v>
      </c>
      <c r="AR677" t="str">
        <v>1613.par</v>
      </c>
      <c r="AV677" t="str">
        <v>0,204,204</v>
      </c>
      <c r="AW677" s="31">
        <v>0</v>
      </c>
      <c r="AX677" s="31">
        <v>26.999996101682843</v>
      </c>
      <c r="AY677" s="31">
        <v>0</v>
      </c>
    </row>
    <row r="678" spans="31:51" x14ac:dyDescent="0.25">
      <c r="AE678">
        <v>4.1159999999999997</v>
      </c>
      <c r="AF678">
        <v>4</v>
      </c>
      <c r="AG678">
        <v>1</v>
      </c>
      <c r="AH678">
        <v>1</v>
      </c>
      <c r="AI678">
        <v>3.0000000000291038</v>
      </c>
      <c r="AJ678">
        <v>4.1161300000000001</v>
      </c>
      <c r="AK678" t="str">
        <v>Base</v>
      </c>
      <c r="AL678">
        <v>-4.5</v>
      </c>
      <c r="AM678">
        <v>-4.049712213932037</v>
      </c>
      <c r="AN678">
        <v>-0.58580958393606941</v>
      </c>
      <c r="AO678">
        <v>14.999997834268299</v>
      </c>
      <c r="AP678">
        <v>-15.299997790953599</v>
      </c>
      <c r="AQ678">
        <v>0</v>
      </c>
      <c r="AR678" t="str">
        <v>1613.par</v>
      </c>
      <c r="AV678" t="str">
        <v>0,204,204</v>
      </c>
      <c r="AW678" s="31">
        <v>0</v>
      </c>
      <c r="AX678" s="31">
        <v>14.999997834268299</v>
      </c>
      <c r="AY678" s="31">
        <v>0</v>
      </c>
    </row>
    <row r="679" spans="31:51" x14ac:dyDescent="0.25">
      <c r="AE679">
        <v>4.1130000000000004</v>
      </c>
      <c r="AF679">
        <v>4</v>
      </c>
      <c r="AG679">
        <v>1</v>
      </c>
      <c r="AH679">
        <v>1</v>
      </c>
      <c r="AI679">
        <v>3.0000000001018634</v>
      </c>
      <c r="AJ679">
        <v>4.1131300000000008</v>
      </c>
      <c r="AK679" t="str">
        <v>Base</v>
      </c>
      <c r="AL679">
        <v>-4.5</v>
      </c>
      <c r="AM679">
        <v>-3.3149099977685546</v>
      </c>
      <c r="AN679">
        <v>-0.59635024061648922</v>
      </c>
      <c r="AO679">
        <v>3.5999994802242887</v>
      </c>
      <c r="AP679">
        <v>-14.999997834268255</v>
      </c>
      <c r="AQ679">
        <v>0</v>
      </c>
      <c r="AR679" t="str">
        <v>1613.par</v>
      </c>
      <c r="AV679" t="str">
        <v>0,204,204</v>
      </c>
      <c r="AW679" s="31">
        <v>0</v>
      </c>
      <c r="AX679" s="31">
        <v>3.5999994802242887</v>
      </c>
      <c r="AY679" s="31">
        <v>0</v>
      </c>
    </row>
    <row r="680" spans="31:51" x14ac:dyDescent="0.25">
      <c r="AE680">
        <v>3.2360000000000002</v>
      </c>
      <c r="AF680">
        <v>3</v>
      </c>
      <c r="AG680">
        <v>2</v>
      </c>
      <c r="AH680">
        <v>1</v>
      </c>
      <c r="AI680">
        <v>3.0000000000291038</v>
      </c>
      <c r="AJ680">
        <v>3.2361300000000002</v>
      </c>
      <c r="AK680" t="str">
        <v>Base</v>
      </c>
      <c r="AL680">
        <v>-3.75</v>
      </c>
      <c r="AM680">
        <v>-7.0507586261945114</v>
      </c>
      <c r="AN680">
        <v>-4.0983141593692665</v>
      </c>
      <c r="AO680">
        <v>83.029988011952952</v>
      </c>
      <c r="AP680">
        <v>0</v>
      </c>
      <c r="AQ680">
        <v>0</v>
      </c>
      <c r="AR680" t="str">
        <v>32193r1.par</v>
      </c>
      <c r="AV680" t="str">
        <v>97,255,97</v>
      </c>
      <c r="AW680" s="31">
        <v>0</v>
      </c>
      <c r="AX680" s="31">
        <v>83.029988011952952</v>
      </c>
      <c r="AY680" s="31">
        <v>0</v>
      </c>
    </row>
    <row r="681" spans="31:51" x14ac:dyDescent="0.25">
      <c r="AE681">
        <v>3.2330000000000001</v>
      </c>
      <c r="AF681">
        <v>3</v>
      </c>
      <c r="AG681">
        <v>2</v>
      </c>
      <c r="AH681">
        <v>1</v>
      </c>
      <c r="AI681">
        <v>2.999999999992724</v>
      </c>
      <c r="AJ681">
        <v>3.2331300000000001</v>
      </c>
      <c r="AK681" t="str">
        <v>Base</v>
      </c>
      <c r="AL681">
        <v>-3.75</v>
      </c>
      <c r="AM681">
        <v>-6.9238622261586871</v>
      </c>
      <c r="AN681">
        <v>-3.3590166761576672</v>
      </c>
      <c r="AO681">
        <v>77.369988829155744</v>
      </c>
      <c r="AP681">
        <v>0</v>
      </c>
      <c r="AQ681">
        <v>0</v>
      </c>
      <c r="AR681" t="str">
        <v>32193r1.par</v>
      </c>
      <c r="AV681" t="str">
        <v>97,255,97</v>
      </c>
      <c r="AW681" s="31">
        <v>0</v>
      </c>
      <c r="AX681" s="31">
        <v>77.369988829155744</v>
      </c>
      <c r="AY681" s="31">
        <v>0</v>
      </c>
    </row>
    <row r="682" spans="31:51" x14ac:dyDescent="0.25">
      <c r="AE682">
        <v>3.23</v>
      </c>
      <c r="AF682">
        <v>3</v>
      </c>
      <c r="AG682">
        <v>2</v>
      </c>
      <c r="AH682">
        <v>1</v>
      </c>
      <c r="AI682">
        <v>2.999999999992724</v>
      </c>
      <c r="AJ682">
        <v>3.2301299999999999</v>
      </c>
      <c r="AK682" t="str">
        <v>Base</v>
      </c>
      <c r="AL682">
        <v>-3.75</v>
      </c>
      <c r="AM682">
        <v>-6.725590072660129</v>
      </c>
      <c r="AN682">
        <v>-2.646183248585054</v>
      </c>
      <c r="AO682">
        <v>69.489989966886796</v>
      </c>
      <c r="AP682">
        <v>0</v>
      </c>
      <c r="AQ682">
        <v>0</v>
      </c>
      <c r="AR682" t="str">
        <v>32193r1.par</v>
      </c>
      <c r="AV682" t="str">
        <v>97,255,97</v>
      </c>
      <c r="AW682" s="31">
        <v>0</v>
      </c>
      <c r="AX682" s="31">
        <v>69.489989966886796</v>
      </c>
      <c r="AY682" s="31">
        <v>0</v>
      </c>
    </row>
    <row r="683" spans="31:51" x14ac:dyDescent="0.25">
      <c r="AE683">
        <v>3.2269999999999999</v>
      </c>
      <c r="AF683">
        <v>3</v>
      </c>
      <c r="AG683">
        <v>2</v>
      </c>
      <c r="AH683">
        <v>1</v>
      </c>
      <c r="AI683">
        <v>2.999999999992724</v>
      </c>
      <c r="AJ683">
        <v>3.2271299999999998</v>
      </c>
      <c r="AK683" t="str">
        <v>Base</v>
      </c>
      <c r="AL683">
        <v>-3.75</v>
      </c>
      <c r="AM683">
        <v>-6.3819414385070941</v>
      </c>
      <c r="AN683">
        <v>-1.9759692841640639</v>
      </c>
      <c r="AO683">
        <v>55.989991916045376</v>
      </c>
      <c r="AP683">
        <v>0</v>
      </c>
      <c r="AQ683">
        <v>0</v>
      </c>
      <c r="AR683" t="str">
        <v>32193r1.par</v>
      </c>
      <c r="AV683" t="str">
        <v>97,255,97</v>
      </c>
      <c r="AW683" s="31">
        <v>0</v>
      </c>
      <c r="AX683" s="31">
        <v>55.989991916045376</v>
      </c>
      <c r="AY683" s="31">
        <v>0</v>
      </c>
    </row>
    <row r="684" spans="31:51" x14ac:dyDescent="0.25">
      <c r="AE684">
        <v>3.2240000000000002</v>
      </c>
      <c r="AF684">
        <v>3</v>
      </c>
      <c r="AG684">
        <v>2</v>
      </c>
      <c r="AH684">
        <v>1</v>
      </c>
      <c r="AI684">
        <v>3.0000000000291038</v>
      </c>
      <c r="AJ684">
        <v>3.2241300000000002</v>
      </c>
      <c r="AK684" t="str">
        <v>Base</v>
      </c>
      <c r="AL684">
        <v>-3.75</v>
      </c>
      <c r="AM684">
        <v>-5.8857941714501347</v>
      </c>
      <c r="AN684">
        <v>-1.4008729585043491</v>
      </c>
      <c r="AO684">
        <v>42.359993883973594</v>
      </c>
      <c r="AP684">
        <v>0</v>
      </c>
      <c r="AQ684">
        <v>0</v>
      </c>
      <c r="AR684" t="str">
        <v>32193r1.par</v>
      </c>
      <c r="AV684" t="str">
        <v>97,255,97</v>
      </c>
      <c r="AW684" s="31">
        <v>0</v>
      </c>
      <c r="AX684" s="31">
        <v>42.359993883973594</v>
      </c>
      <c r="AY684" s="31">
        <v>0</v>
      </c>
    </row>
    <row r="685" spans="31:51" x14ac:dyDescent="0.25">
      <c r="AE685">
        <v>3.2210000000000001</v>
      </c>
      <c r="AF685">
        <v>3</v>
      </c>
      <c r="AG685">
        <v>2</v>
      </c>
      <c r="AH685">
        <v>1</v>
      </c>
      <c r="AI685">
        <v>2.999999999992724</v>
      </c>
      <c r="AJ685">
        <v>3.22113</v>
      </c>
      <c r="AK685" t="str">
        <v>Base</v>
      </c>
      <c r="AL685">
        <v>-3.75</v>
      </c>
      <c r="AM685">
        <v>-5.2680978147010773</v>
      </c>
      <c r="AN685">
        <v>-0.95892891908564426</v>
      </c>
      <c r="AO685">
        <v>28.739995850458001</v>
      </c>
      <c r="AP685">
        <v>0</v>
      </c>
      <c r="AQ685">
        <v>0</v>
      </c>
      <c r="AR685" t="str">
        <v>32193r1.par</v>
      </c>
      <c r="AV685" t="str">
        <v>97,255,97</v>
      </c>
      <c r="AW685" s="31">
        <v>0</v>
      </c>
      <c r="AX685" s="31">
        <v>28.739995850458001</v>
      </c>
      <c r="AY685" s="31">
        <v>0</v>
      </c>
    </row>
    <row r="686" spans="31:51" x14ac:dyDescent="0.25">
      <c r="AE686">
        <v>3.218</v>
      </c>
      <c r="AF686">
        <v>3</v>
      </c>
      <c r="AG686">
        <v>2</v>
      </c>
      <c r="AH686">
        <v>1</v>
      </c>
      <c r="AI686">
        <v>2.999999999992724</v>
      </c>
      <c r="AJ686">
        <v>3.2181299999999999</v>
      </c>
      <c r="AK686" t="str">
        <v>Base</v>
      </c>
      <c r="AL686">
        <v>-3.75</v>
      </c>
      <c r="AM686">
        <v>-4.5604424072880363</v>
      </c>
      <c r="AN686">
        <v>-0.67240799716986599</v>
      </c>
      <c r="AO686">
        <v>15.039997828492986</v>
      </c>
      <c r="AP686">
        <v>0</v>
      </c>
      <c r="AQ686">
        <v>0</v>
      </c>
      <c r="AR686" t="str">
        <v>32193r1.par</v>
      </c>
      <c r="AV686" t="str">
        <v>97,255,97</v>
      </c>
      <c r="AW686" s="31">
        <v>0</v>
      </c>
      <c r="AX686" s="31">
        <v>15.039997828492986</v>
      </c>
      <c r="AY686" s="31">
        <v>0</v>
      </c>
    </row>
    <row r="687" spans="31:51" x14ac:dyDescent="0.25">
      <c r="AE687">
        <v>3.2149999999999999</v>
      </c>
      <c r="AF687">
        <v>3</v>
      </c>
      <c r="AG687">
        <v>2</v>
      </c>
      <c r="AH687">
        <v>1</v>
      </c>
      <c r="AI687">
        <v>2.999999999992724</v>
      </c>
      <c r="AJ687">
        <v>3.2151299999999998</v>
      </c>
      <c r="AK687" t="str">
        <v>Base</v>
      </c>
      <c r="AL687">
        <v>-3.75</v>
      </c>
      <c r="AM687">
        <v>-3.8078821406039247</v>
      </c>
      <c r="AN687">
        <v>-0.56402616742442102</v>
      </c>
      <c r="AO687">
        <v>1.3999997978650411</v>
      </c>
      <c r="AP687">
        <v>0</v>
      </c>
      <c r="AQ687">
        <v>0</v>
      </c>
      <c r="AR687" t="str">
        <v>32193r1.par</v>
      </c>
      <c r="AV687" t="str">
        <v>97,255,97</v>
      </c>
      <c r="AW687" s="31">
        <v>0</v>
      </c>
      <c r="AX687" s="31">
        <v>1.3999997978650411</v>
      </c>
      <c r="AY687" s="31">
        <v>0</v>
      </c>
    </row>
    <row r="688" spans="31:51" x14ac:dyDescent="0.25">
      <c r="AE688">
        <v>3.1389999999999998</v>
      </c>
      <c r="AF688">
        <v>3</v>
      </c>
      <c r="AG688">
        <v>1</v>
      </c>
      <c r="AH688">
        <v>1</v>
      </c>
      <c r="AI688">
        <v>2.999999999992724</v>
      </c>
      <c r="AJ688">
        <v>3.1391299999999998</v>
      </c>
      <c r="AK688" t="str">
        <v>Base</v>
      </c>
      <c r="AL688">
        <v>-3</v>
      </c>
      <c r="AM688">
        <v>-7.134921518923302</v>
      </c>
      <c r="AN688">
        <v>-4.8451008856084474</v>
      </c>
      <c r="AO688">
        <v>87.999987294373838</v>
      </c>
      <c r="AP688">
        <v>-32.399995322019443</v>
      </c>
      <c r="AQ688">
        <v>0</v>
      </c>
      <c r="AR688" t="str">
        <v>1613.par</v>
      </c>
      <c r="AV688" t="str">
        <v>0,204,0</v>
      </c>
      <c r="AW688" s="31">
        <v>0</v>
      </c>
      <c r="AX688" s="31">
        <v>87.999987294373838</v>
      </c>
      <c r="AY688" s="31">
        <v>0</v>
      </c>
    </row>
    <row r="689" spans="31:51" x14ac:dyDescent="0.25">
      <c r="AE689">
        <v>3.1360000000000001</v>
      </c>
      <c r="AF689">
        <v>3</v>
      </c>
      <c r="AG689">
        <v>1</v>
      </c>
      <c r="AH689">
        <v>1</v>
      </c>
      <c r="AI689">
        <v>2.999999999992724</v>
      </c>
      <c r="AJ689">
        <v>3.1361300000000001</v>
      </c>
      <c r="AK689" t="str">
        <v>Base</v>
      </c>
      <c r="AL689">
        <v>-3</v>
      </c>
      <c r="AM689">
        <v>-7.0703213240891127</v>
      </c>
      <c r="AN689">
        <v>-4.0900585387668809</v>
      </c>
      <c r="AO689">
        <v>83.99998787190232</v>
      </c>
      <c r="AP689">
        <v>-30.099995654098311</v>
      </c>
      <c r="AQ689">
        <v>0</v>
      </c>
      <c r="AR689" t="str">
        <v>1613.par</v>
      </c>
      <c r="AV689" t="str">
        <v>0,204,0</v>
      </c>
      <c r="AW689" s="31">
        <v>0</v>
      </c>
      <c r="AX689" s="31">
        <v>83.99998787190232</v>
      </c>
      <c r="AY689" s="31">
        <v>0</v>
      </c>
    </row>
    <row r="690" spans="31:51" x14ac:dyDescent="0.25">
      <c r="AE690">
        <v>3.133</v>
      </c>
      <c r="AF690">
        <v>3</v>
      </c>
      <c r="AG690">
        <v>1</v>
      </c>
      <c r="AH690">
        <v>1</v>
      </c>
      <c r="AI690">
        <v>2.999999999992724</v>
      </c>
      <c r="AJ690">
        <v>3.13313</v>
      </c>
      <c r="AK690" t="str">
        <v>Base</v>
      </c>
      <c r="AL690">
        <v>-3</v>
      </c>
      <c r="AM690">
        <v>-6.9348209154198814</v>
      </c>
      <c r="AN690">
        <v>-3.3507806837117986</v>
      </c>
      <c r="AO690">
        <v>78.099988723756752</v>
      </c>
      <c r="AP690">
        <v>-27.199996072806442</v>
      </c>
      <c r="AQ690">
        <v>0</v>
      </c>
      <c r="AR690" t="str">
        <v>1613.par</v>
      </c>
      <c r="AV690" t="str">
        <v>0,204,0</v>
      </c>
      <c r="AW690" s="31">
        <v>0</v>
      </c>
      <c r="AX690" s="31">
        <v>78.099988723756752</v>
      </c>
      <c r="AY690" s="31">
        <v>0</v>
      </c>
    </row>
    <row r="691" spans="31:51" x14ac:dyDescent="0.25">
      <c r="AE691">
        <v>3.13</v>
      </c>
      <c r="AF691">
        <v>3</v>
      </c>
      <c r="AG691">
        <v>1</v>
      </c>
      <c r="AH691">
        <v>1</v>
      </c>
      <c r="AI691">
        <v>2.999999999992724</v>
      </c>
      <c r="AJ691">
        <v>3.1301299999999999</v>
      </c>
      <c r="AK691" t="str">
        <v>Base</v>
      </c>
      <c r="AL691">
        <v>-3</v>
      </c>
      <c r="AM691">
        <v>-6.730020297741218</v>
      </c>
      <c r="AN691">
        <v>-2.6390625643661298</v>
      </c>
      <c r="AO691">
        <v>70.19998986437551</v>
      </c>
      <c r="AP691">
        <v>-24.799996419323509</v>
      </c>
      <c r="AQ691">
        <v>0</v>
      </c>
      <c r="AR691" t="str">
        <v>1613.par</v>
      </c>
      <c r="AV691" t="str">
        <v>0,204,0</v>
      </c>
      <c r="AW691" s="31">
        <v>0</v>
      </c>
      <c r="AX691" s="31">
        <v>70.19998986437551</v>
      </c>
      <c r="AY691" s="31">
        <v>0</v>
      </c>
    </row>
    <row r="692" spans="31:51" x14ac:dyDescent="0.25">
      <c r="AE692">
        <v>3.1269999999999998</v>
      </c>
      <c r="AF692">
        <v>3</v>
      </c>
      <c r="AG692">
        <v>1</v>
      </c>
      <c r="AH692">
        <v>1</v>
      </c>
      <c r="AI692">
        <v>2.9999999999563443</v>
      </c>
      <c r="AJ692">
        <v>3.1271299999999997</v>
      </c>
      <c r="AK692" t="str">
        <v>Base</v>
      </c>
      <c r="AL692">
        <v>-3</v>
      </c>
      <c r="AM692">
        <v>-6.3792192397252263</v>
      </c>
      <c r="AN692">
        <v>-1.9727639566193442</v>
      </c>
      <c r="AO692">
        <v>58.499991553646254</v>
      </c>
      <c r="AP692">
        <v>-21.599996881346282</v>
      </c>
      <c r="AQ692">
        <v>0</v>
      </c>
      <c r="AR692" t="str">
        <v>1613.par</v>
      </c>
      <c r="AV692" t="str">
        <v>0,204,0</v>
      </c>
      <c r="AW692" s="31">
        <v>0</v>
      </c>
      <c r="AX692" s="31">
        <v>58.499991553646254</v>
      </c>
      <c r="AY692" s="31">
        <v>0</v>
      </c>
    </row>
    <row r="693" spans="31:51" x14ac:dyDescent="0.25">
      <c r="AE693">
        <v>3.1240000000000001</v>
      </c>
      <c r="AF693">
        <v>3</v>
      </c>
      <c r="AG693">
        <v>1</v>
      </c>
      <c r="AH693">
        <v>1</v>
      </c>
      <c r="AI693">
        <v>2.999999999992724</v>
      </c>
      <c r="AJ693">
        <v>3.1241300000000001</v>
      </c>
      <c r="AK693" t="str">
        <v>Base</v>
      </c>
      <c r="AL693">
        <v>-3</v>
      </c>
      <c r="AM693">
        <v>-5.8779177277998667</v>
      </c>
      <c r="AN693">
        <v>-1.4042657824292664</v>
      </c>
      <c r="AO693">
        <v>46.699993257355175</v>
      </c>
      <c r="AP693">
        <v>-18.099997386683679</v>
      </c>
      <c r="AQ693">
        <v>0</v>
      </c>
      <c r="AR693" t="str">
        <v>1613.par</v>
      </c>
      <c r="AV693" t="str">
        <v>0,204,0</v>
      </c>
      <c r="AW693" s="31">
        <v>0</v>
      </c>
      <c r="AX693" s="31">
        <v>46.699993257355175</v>
      </c>
      <c r="AY693" s="31">
        <v>0</v>
      </c>
    </row>
    <row r="694" spans="31:51" x14ac:dyDescent="0.25">
      <c r="AE694">
        <v>3.121</v>
      </c>
      <c r="AF694">
        <v>3</v>
      </c>
      <c r="AG694">
        <v>1</v>
      </c>
      <c r="AH694">
        <v>1</v>
      </c>
      <c r="AI694">
        <v>2.999999999992724</v>
      </c>
      <c r="AJ694">
        <v>3.12113</v>
      </c>
      <c r="AK694" t="str">
        <v>Base</v>
      </c>
      <c r="AL694">
        <v>-3</v>
      </c>
      <c r="AM694">
        <v>-5.2601158645094488</v>
      </c>
      <c r="AN694">
        <v>-0.96720029619569337</v>
      </c>
      <c r="AO694">
        <v>34.899994961064216</v>
      </c>
      <c r="AP694">
        <v>-16.499997617695097</v>
      </c>
      <c r="AQ694">
        <v>0</v>
      </c>
      <c r="AR694" t="str">
        <v>1613.par</v>
      </c>
      <c r="AV694" t="str">
        <v>0,204,0</v>
      </c>
      <c r="AW694" s="31">
        <v>0</v>
      </c>
      <c r="AX694" s="31">
        <v>34.899994961064216</v>
      </c>
      <c r="AY694" s="31">
        <v>0</v>
      </c>
    </row>
    <row r="695" spans="31:51" x14ac:dyDescent="0.25">
      <c r="AE695">
        <v>3.1179999999999999</v>
      </c>
      <c r="AF695">
        <v>3</v>
      </c>
      <c r="AG695">
        <v>1</v>
      </c>
      <c r="AH695">
        <v>1</v>
      </c>
      <c r="AI695">
        <v>2.999999999992724</v>
      </c>
      <c r="AJ695">
        <v>3.1181299999999998</v>
      </c>
      <c r="AK695" t="str">
        <v>Base</v>
      </c>
      <c r="AL695">
        <v>-3</v>
      </c>
      <c r="AM695">
        <v>-4.5544137361118278</v>
      </c>
      <c r="AN695">
        <v>-0.68408277443510179</v>
      </c>
      <c r="AO695">
        <v>22.999996679211449</v>
      </c>
      <c r="AP695">
        <v>-15.699997733200757</v>
      </c>
      <c r="AQ695">
        <v>0</v>
      </c>
      <c r="AR695" t="str">
        <v>1613.par</v>
      </c>
      <c r="AV695" t="str">
        <v>0,204,0</v>
      </c>
      <c r="AW695" s="31">
        <v>0</v>
      </c>
      <c r="AX695" s="31">
        <v>22.999996679211449</v>
      </c>
      <c r="AY695" s="31">
        <v>0</v>
      </c>
    </row>
    <row r="696" spans="31:51" x14ac:dyDescent="0.25">
      <c r="AE696">
        <v>3.1150000000000002</v>
      </c>
      <c r="AF696">
        <v>3</v>
      </c>
      <c r="AG696">
        <v>1</v>
      </c>
      <c r="AH696">
        <v>1</v>
      </c>
      <c r="AI696">
        <v>3.0000000000291038</v>
      </c>
      <c r="AJ696">
        <v>3.1151300000000002</v>
      </c>
      <c r="AK696" t="str">
        <v>Base</v>
      </c>
      <c r="AL696">
        <v>-3</v>
      </c>
      <c r="AM696">
        <v>-3.8047114750098086</v>
      </c>
      <c r="AN696">
        <v>-0.57758481371792003</v>
      </c>
      <c r="AO696">
        <v>11.199998382920322</v>
      </c>
      <c r="AP696">
        <v>-15.19999780539186</v>
      </c>
      <c r="AQ696">
        <v>0</v>
      </c>
      <c r="AR696" t="str">
        <v>1613.par</v>
      </c>
      <c r="AV696" t="str">
        <v>0,204,0</v>
      </c>
      <c r="AW696" s="31">
        <v>0</v>
      </c>
      <c r="AX696" s="31">
        <v>11.199998382920322</v>
      </c>
      <c r="AY696" s="31">
        <v>0</v>
      </c>
    </row>
    <row r="697" spans="31:51" x14ac:dyDescent="0.25">
      <c r="AE697">
        <v>3.1120000000000001</v>
      </c>
      <c r="AF697">
        <v>3</v>
      </c>
      <c r="AG697">
        <v>1</v>
      </c>
      <c r="AH697">
        <v>1</v>
      </c>
      <c r="AI697">
        <v>2.999999999992724</v>
      </c>
      <c r="AJ697">
        <v>3.1121300000000001</v>
      </c>
      <c r="AK697" t="str">
        <v>Base</v>
      </c>
      <c r="AL697">
        <v>-3</v>
      </c>
      <c r="AM697">
        <v>-3.0632092386390637</v>
      </c>
      <c r="AN697">
        <v>-0.64658953570168975</v>
      </c>
      <c r="AO697">
        <v>-0.39999994224709218</v>
      </c>
      <c r="AP697">
        <v>-14.999997834268255</v>
      </c>
      <c r="AQ697">
        <v>0</v>
      </c>
      <c r="AR697" t="str">
        <v>1613.par</v>
      </c>
      <c r="AV697" t="str">
        <v>0,204,0</v>
      </c>
      <c r="AW697" s="31">
        <v>0</v>
      </c>
      <c r="AX697" s="31">
        <v>-0.39999994224709218</v>
      </c>
      <c r="AY697" s="31">
        <v>0</v>
      </c>
    </row>
    <row r="698" spans="31:51" x14ac:dyDescent="0.25">
      <c r="AE698">
        <v>3.109</v>
      </c>
      <c r="AF698">
        <v>3</v>
      </c>
      <c r="AG698">
        <v>1</v>
      </c>
      <c r="AH698">
        <v>1</v>
      </c>
      <c r="AI698">
        <v>2.999999999992724</v>
      </c>
      <c r="AJ698">
        <v>3.1091299999999999</v>
      </c>
      <c r="AK698" t="str">
        <v>Base</v>
      </c>
      <c r="AL698">
        <v>-3</v>
      </c>
      <c r="AM698">
        <v>-2.3207069992523097</v>
      </c>
      <c r="AN698">
        <v>-0.84119012261705994</v>
      </c>
      <c r="AO698">
        <v>-2.999999566853591</v>
      </c>
      <c r="AP698">
        <v>-14.999997834268255</v>
      </c>
      <c r="AQ698">
        <v>0</v>
      </c>
      <c r="AR698" t="str">
        <v>1613.par</v>
      </c>
      <c r="AV698" t="str">
        <v>0,204,0</v>
      </c>
      <c r="AW698" s="31">
        <v>0</v>
      </c>
      <c r="AX698" s="31">
        <v>-2.999999566853591</v>
      </c>
      <c r="AY698" s="31">
        <v>0</v>
      </c>
    </row>
    <row r="699" spans="31:51" x14ac:dyDescent="0.25">
      <c r="AE699">
        <v>3.1059999999999999</v>
      </c>
      <c r="AF699">
        <v>3</v>
      </c>
      <c r="AG699">
        <v>1</v>
      </c>
      <c r="AH699">
        <v>1</v>
      </c>
      <c r="AI699">
        <v>2.999999999992724</v>
      </c>
      <c r="AJ699">
        <v>3.1061299999999998</v>
      </c>
      <c r="AK699" t="str">
        <v>Base</v>
      </c>
      <c r="AL699">
        <v>-3</v>
      </c>
      <c r="AM699">
        <v>-1.578804761675161</v>
      </c>
      <c r="AN699">
        <v>-1.0399907221996685</v>
      </c>
      <c r="AO699">
        <v>-2.9999995668536275</v>
      </c>
      <c r="AP699">
        <v>-14.999997834268255</v>
      </c>
      <c r="AQ699">
        <v>0</v>
      </c>
      <c r="AR699" t="str">
        <v>1613.par</v>
      </c>
      <c r="AV699" t="str">
        <v>0,204,0</v>
      </c>
      <c r="AW699" s="31">
        <v>0</v>
      </c>
      <c r="AX699" s="31">
        <v>-2.9999995668536275</v>
      </c>
      <c r="AY699" s="31">
        <v>0</v>
      </c>
    </row>
    <row r="700" spans="31:51" x14ac:dyDescent="0.25">
      <c r="AE700">
        <v>3.1030000000000002</v>
      </c>
      <c r="AF700">
        <v>3</v>
      </c>
      <c r="AG700">
        <v>1</v>
      </c>
      <c r="AH700">
        <v>1</v>
      </c>
      <c r="AI700">
        <v>3.0000000000291038</v>
      </c>
      <c r="AJ700">
        <v>3.1031300000000002</v>
      </c>
      <c r="AK700" t="str">
        <v>Base</v>
      </c>
      <c r="AL700">
        <v>-3</v>
      </c>
      <c r="AM700">
        <v>-0.83590252108200369</v>
      </c>
      <c r="AN700">
        <v>-1.2350913106321377</v>
      </c>
      <c r="AO700">
        <v>-3.999999422471531</v>
      </c>
      <c r="AP700">
        <v>-17.499997473312991</v>
      </c>
      <c r="AQ700">
        <v>0</v>
      </c>
      <c r="AR700" t="str">
        <v>1613.par</v>
      </c>
      <c r="AV700" t="str">
        <v>0,204,0</v>
      </c>
      <c r="AW700" s="31">
        <v>0</v>
      </c>
      <c r="AX700" s="31">
        <v>-3.999999422471531</v>
      </c>
      <c r="AY700" s="31">
        <v>0</v>
      </c>
    </row>
    <row r="701" spans="31:51" x14ac:dyDescent="0.25">
      <c r="AE701">
        <v>2.2349999999999999</v>
      </c>
      <c r="AF701">
        <v>2</v>
      </c>
      <c r="AG701">
        <v>2</v>
      </c>
      <c r="AH701">
        <v>1</v>
      </c>
      <c r="AI701">
        <v>2.999999999992724</v>
      </c>
      <c r="AJ701">
        <v>2.2351299999999998</v>
      </c>
      <c r="AK701" t="str">
        <v>Base</v>
      </c>
      <c r="AL701">
        <v>-2.25</v>
      </c>
      <c r="AM701">
        <v>-7.0165105337643832</v>
      </c>
      <c r="AN701">
        <v>-3.9255306007365705</v>
      </c>
      <c r="AO701">
        <v>81.139988284835155</v>
      </c>
      <c r="AP701">
        <v>0</v>
      </c>
      <c r="AQ701">
        <v>0</v>
      </c>
      <c r="AR701" t="str">
        <v>32193r1.par</v>
      </c>
      <c r="AV701" t="str">
        <v>255,255,91</v>
      </c>
      <c r="AW701" s="31">
        <v>0</v>
      </c>
      <c r="AX701" s="31">
        <v>81.139988284835155</v>
      </c>
      <c r="AY701" s="31">
        <v>0</v>
      </c>
    </row>
    <row r="702" spans="31:51" x14ac:dyDescent="0.25">
      <c r="AE702">
        <v>2.2320000000000002</v>
      </c>
      <c r="AF702">
        <v>2</v>
      </c>
      <c r="AG702">
        <v>2</v>
      </c>
      <c r="AH702">
        <v>1</v>
      </c>
      <c r="AI702">
        <v>3.0000000000291038</v>
      </c>
      <c r="AJ702">
        <v>2.2321300000000002</v>
      </c>
      <c r="AK702" t="str">
        <v>Base</v>
      </c>
      <c r="AL702">
        <v>-2.25</v>
      </c>
      <c r="AM702">
        <v>-6.8662009777270292</v>
      </c>
      <c r="AN702">
        <v>-3.1968943101232057</v>
      </c>
      <c r="AO702">
        <v>75.519989096262663</v>
      </c>
      <c r="AP702">
        <v>0</v>
      </c>
      <c r="AQ702">
        <v>0</v>
      </c>
      <c r="AR702" t="str">
        <v>32193r1.par</v>
      </c>
      <c r="AV702" t="str">
        <v>255,255,91</v>
      </c>
      <c r="AW702" s="31">
        <v>0</v>
      </c>
      <c r="AX702" s="31">
        <v>75.519989096262663</v>
      </c>
      <c r="AY702" s="31">
        <v>0</v>
      </c>
    </row>
    <row r="703" spans="31:51" x14ac:dyDescent="0.25">
      <c r="AE703">
        <v>2.2290000000000001</v>
      </c>
      <c r="AF703">
        <v>2</v>
      </c>
      <c r="AG703">
        <v>2</v>
      </c>
      <c r="AH703">
        <v>1</v>
      </c>
      <c r="AI703">
        <v>2.999999999992724</v>
      </c>
      <c r="AJ703">
        <v>2.2291300000000001</v>
      </c>
      <c r="AK703" t="str">
        <v>Base</v>
      </c>
      <c r="AL703">
        <v>-2.25</v>
      </c>
      <c r="AM703">
        <v>-6.6290549725447221</v>
      </c>
      <c r="AN703">
        <v>-2.4912428147586674</v>
      </c>
      <c r="AO703">
        <v>65.009990613718685</v>
      </c>
      <c r="AP703">
        <v>0</v>
      </c>
      <c r="AQ703">
        <v>0</v>
      </c>
      <c r="AR703" t="str">
        <v>32193r1.par</v>
      </c>
      <c r="AV703" t="str">
        <v>255,255,91</v>
      </c>
      <c r="AW703" s="31">
        <v>0</v>
      </c>
      <c r="AX703" s="31">
        <v>65.009990613718685</v>
      </c>
      <c r="AY703" s="31">
        <v>0</v>
      </c>
    </row>
    <row r="704" spans="31:51" x14ac:dyDescent="0.25">
      <c r="AE704">
        <v>2.226</v>
      </c>
      <c r="AF704">
        <v>2</v>
      </c>
      <c r="AG704">
        <v>2</v>
      </c>
      <c r="AH704">
        <v>1</v>
      </c>
      <c r="AI704">
        <v>2.999999999992724</v>
      </c>
      <c r="AJ704">
        <v>2.2261299999999999</v>
      </c>
      <c r="AK704" t="str">
        <v>Base</v>
      </c>
      <c r="AL704">
        <v>-2.25</v>
      </c>
      <c r="AM704">
        <v>-6.2307698386228481</v>
      </c>
      <c r="AN704">
        <v>-1.8483833295420391</v>
      </c>
      <c r="AO704">
        <v>51.44999257154015</v>
      </c>
      <c r="AP704">
        <v>0</v>
      </c>
      <c r="AQ704">
        <v>0</v>
      </c>
      <c r="AR704" t="str">
        <v>32193r1.par</v>
      </c>
      <c r="AV704" t="str">
        <v>255,255,91</v>
      </c>
      <c r="AW704" s="31">
        <v>0</v>
      </c>
      <c r="AX704" s="31">
        <v>51.44999257154015</v>
      </c>
      <c r="AY704" s="31">
        <v>0</v>
      </c>
    </row>
    <row r="705" spans="31:51" x14ac:dyDescent="0.25">
      <c r="AE705">
        <v>2.2229999999999999</v>
      </c>
      <c r="AF705">
        <v>2</v>
      </c>
      <c r="AG705">
        <v>2</v>
      </c>
      <c r="AH705">
        <v>1</v>
      </c>
      <c r="AI705">
        <v>2.999999999992724</v>
      </c>
      <c r="AJ705">
        <v>2.2231299999999998</v>
      </c>
      <c r="AK705" t="str">
        <v>Base</v>
      </c>
      <c r="AL705">
        <v>-2.25</v>
      </c>
      <c r="AM705">
        <v>-5.69201707950619</v>
      </c>
      <c r="AN705">
        <v>-1.3133447475529461</v>
      </c>
      <c r="AO705">
        <v>37.819994539468404</v>
      </c>
      <c r="AP705">
        <v>0</v>
      </c>
      <c r="AQ705">
        <v>0</v>
      </c>
      <c r="AR705" t="str">
        <v>32193r1.par</v>
      </c>
      <c r="AV705" t="str">
        <v>255,255,91</v>
      </c>
      <c r="AW705" s="31">
        <v>0</v>
      </c>
      <c r="AX705" s="31">
        <v>37.819994539468404</v>
      </c>
      <c r="AY705" s="31">
        <v>0</v>
      </c>
    </row>
    <row r="706" spans="31:51" x14ac:dyDescent="0.25">
      <c r="AE706">
        <v>2.2200000000000002</v>
      </c>
      <c r="AF706">
        <v>2</v>
      </c>
      <c r="AG706">
        <v>2</v>
      </c>
      <c r="AH706">
        <v>1</v>
      </c>
      <c r="AI706">
        <v>3.0000000000291038</v>
      </c>
      <c r="AJ706">
        <v>2.2201300000000002</v>
      </c>
      <c r="AK706" t="str">
        <v>Base</v>
      </c>
      <c r="AL706">
        <v>-2.25</v>
      </c>
      <c r="AM706">
        <v>-5.0413149669126422</v>
      </c>
      <c r="AN706">
        <v>-0.9215843711568219</v>
      </c>
      <c r="AO706">
        <v>24.199996505952807</v>
      </c>
      <c r="AP706">
        <v>0</v>
      </c>
      <c r="AQ706">
        <v>0</v>
      </c>
      <c r="AR706" t="str">
        <v>32193r1.par</v>
      </c>
      <c r="AV706" t="str">
        <v>255,255,91</v>
      </c>
      <c r="AW706" s="31">
        <v>0</v>
      </c>
      <c r="AX706" s="31">
        <v>24.199996505952807</v>
      </c>
      <c r="AY706" s="31">
        <v>0</v>
      </c>
    </row>
    <row r="707" spans="31:51" x14ac:dyDescent="0.25">
      <c r="AE707">
        <v>2.2170000000000001</v>
      </c>
      <c r="AF707">
        <v>2</v>
      </c>
      <c r="AG707">
        <v>2</v>
      </c>
      <c r="AH707">
        <v>1</v>
      </c>
      <c r="AI707">
        <v>2.999999999992724</v>
      </c>
      <c r="AJ707">
        <v>2.21713</v>
      </c>
      <c r="AK707" t="str">
        <v>Base</v>
      </c>
      <c r="AL707">
        <v>-2.25</v>
      </c>
      <c r="AM707">
        <v>-4.3088536342635777</v>
      </c>
      <c r="AN707">
        <v>-0.69276156878496098</v>
      </c>
      <c r="AO707">
        <v>10.429998494094541</v>
      </c>
      <c r="AP707">
        <v>0</v>
      </c>
      <c r="AQ707">
        <v>0</v>
      </c>
      <c r="AR707" t="str">
        <v>32193r1.par</v>
      </c>
      <c r="AV707" t="str">
        <v>255,255,91</v>
      </c>
      <c r="AW707" s="31">
        <v>0</v>
      </c>
      <c r="AX707" s="31">
        <v>10.429998494094541</v>
      </c>
      <c r="AY707" s="31">
        <v>0</v>
      </c>
    </row>
    <row r="708" spans="31:51" x14ac:dyDescent="0.25">
      <c r="AE708">
        <v>2.1379999999999999</v>
      </c>
      <c r="AF708">
        <v>2</v>
      </c>
      <c r="AG708">
        <v>1</v>
      </c>
      <c r="AH708">
        <v>1</v>
      </c>
      <c r="AI708">
        <v>2.999999999992724</v>
      </c>
      <c r="AJ708">
        <v>2.1381299999999999</v>
      </c>
      <c r="AK708" t="str">
        <v>Base</v>
      </c>
      <c r="AL708">
        <v>-1.5</v>
      </c>
      <c r="AM708">
        <v>-7.1349215189233002</v>
      </c>
      <c r="AN708">
        <v>-4.6681942784355419</v>
      </c>
      <c r="AO708">
        <v>87.999987294373824</v>
      </c>
      <c r="AP708">
        <v>-32.399995322019493</v>
      </c>
      <c r="AQ708">
        <v>0</v>
      </c>
      <c r="AR708" t="str">
        <v>1613.par</v>
      </c>
      <c r="AV708" t="str">
        <v>204,204,0</v>
      </c>
      <c r="AW708" s="31">
        <v>0</v>
      </c>
      <c r="AX708" s="31">
        <v>87.999987294373824</v>
      </c>
      <c r="AY708" s="31">
        <v>0</v>
      </c>
    </row>
    <row r="709" spans="31:51" x14ac:dyDescent="0.25">
      <c r="AE709">
        <v>2.1349999999999998</v>
      </c>
      <c r="AF709">
        <v>2</v>
      </c>
      <c r="AG709">
        <v>1</v>
      </c>
      <c r="AH709">
        <v>1</v>
      </c>
      <c r="AI709">
        <v>2.999999999992724</v>
      </c>
      <c r="AJ709">
        <v>2.1351299999999998</v>
      </c>
      <c r="AK709" t="str">
        <v>Base</v>
      </c>
      <c r="AL709">
        <v>-1.5</v>
      </c>
      <c r="AM709">
        <v>-7.0330212115919748</v>
      </c>
      <c r="AN709">
        <v>-3.9170863877958846</v>
      </c>
      <c r="AO709">
        <v>81.999988160666504</v>
      </c>
      <c r="AP709">
        <v>-29.099995798480432</v>
      </c>
      <c r="AQ709">
        <v>0</v>
      </c>
      <c r="AR709" t="str">
        <v>1613.par</v>
      </c>
      <c r="AV709" t="str">
        <v>204,204,0</v>
      </c>
      <c r="AW709" s="31">
        <v>0</v>
      </c>
      <c r="AX709" s="31">
        <v>81.999988160666504</v>
      </c>
      <c r="AY709" s="31">
        <v>0</v>
      </c>
    </row>
    <row r="710" spans="31:51" x14ac:dyDescent="0.25">
      <c r="AE710">
        <v>2.1320000000000001</v>
      </c>
      <c r="AF710">
        <v>2</v>
      </c>
      <c r="AG710">
        <v>1</v>
      </c>
      <c r="AH710">
        <v>1</v>
      </c>
      <c r="AI710">
        <v>2.999999999992724</v>
      </c>
      <c r="AJ710">
        <v>2.1321300000000001</v>
      </c>
      <c r="AK710" t="str">
        <v>Base</v>
      </c>
      <c r="AL710">
        <v>-1.5</v>
      </c>
      <c r="AM710">
        <v>-6.8749207347609369</v>
      </c>
      <c r="AN710">
        <v>-3.1889284273267449</v>
      </c>
      <c r="AO710">
        <v>76.099989012521036</v>
      </c>
      <c r="AP710">
        <v>-26.399996188312151</v>
      </c>
      <c r="AQ710">
        <v>0</v>
      </c>
      <c r="AR710" t="str">
        <v>1613.par</v>
      </c>
      <c r="AV710" t="str">
        <v>204,204,0</v>
      </c>
      <c r="AW710" s="31">
        <v>0</v>
      </c>
      <c r="AX710" s="31">
        <v>76.099989012521036</v>
      </c>
      <c r="AY710" s="31">
        <v>0</v>
      </c>
    </row>
    <row r="711" spans="31:51" x14ac:dyDescent="0.25">
      <c r="AE711">
        <v>2.129</v>
      </c>
      <c r="AF711">
        <v>2</v>
      </c>
      <c r="AG711">
        <v>1</v>
      </c>
      <c r="AH711">
        <v>1</v>
      </c>
      <c r="AI711">
        <v>2.999999999992724</v>
      </c>
      <c r="AJ711">
        <v>2.12913</v>
      </c>
      <c r="AK711" t="str">
        <v>Base</v>
      </c>
      <c r="AL711">
        <v>-1.5</v>
      </c>
      <c r="AM711">
        <v>-6.6310199991563152</v>
      </c>
      <c r="AN711">
        <v>-2.4850432481678619</v>
      </c>
      <c r="AO711">
        <v>66.299990427465758</v>
      </c>
      <c r="AP711">
        <v>-23.799996563705651</v>
      </c>
      <c r="AQ711">
        <v>0</v>
      </c>
      <c r="AR711" t="str">
        <v>1613.par</v>
      </c>
      <c r="AV711" t="str">
        <v>204,204,0</v>
      </c>
      <c r="AW711" s="31">
        <v>0</v>
      </c>
      <c r="AX711" s="31">
        <v>66.299990427465758</v>
      </c>
      <c r="AY711" s="31">
        <v>0</v>
      </c>
    </row>
    <row r="712" spans="31:51" x14ac:dyDescent="0.25">
      <c r="AE712">
        <v>2.1259999999999999</v>
      </c>
      <c r="AF712">
        <v>2</v>
      </c>
      <c r="AG712">
        <v>1</v>
      </c>
      <c r="AH712">
        <v>1</v>
      </c>
      <c r="AI712">
        <v>2.999999999992724</v>
      </c>
      <c r="AJ712">
        <v>2.1261299999999999</v>
      </c>
      <c r="AK712" t="str">
        <v>Base</v>
      </c>
      <c r="AL712">
        <v>-1.5</v>
      </c>
      <c r="AM712">
        <v>-6.226118777974234</v>
      </c>
      <c r="AN712">
        <v>-1.8470847952218863</v>
      </c>
      <c r="AO712">
        <v>54.599992116736487</v>
      </c>
      <c r="AP712">
        <v>-20.499997040166612</v>
      </c>
      <c r="AQ712">
        <v>0</v>
      </c>
      <c r="AR712" t="str">
        <v>1613.par</v>
      </c>
      <c r="AV712" t="str">
        <v>204,204,0</v>
      </c>
      <c r="AW712" s="31">
        <v>0</v>
      </c>
      <c r="AX712" s="31">
        <v>54.599992116736487</v>
      </c>
      <c r="AY712" s="31">
        <v>0</v>
      </c>
    </row>
    <row r="713" spans="31:51" x14ac:dyDescent="0.25">
      <c r="AE713">
        <v>2.1230000000000002</v>
      </c>
      <c r="AF713">
        <v>2</v>
      </c>
      <c r="AG713">
        <v>1</v>
      </c>
      <c r="AH713">
        <v>1</v>
      </c>
      <c r="AI713">
        <v>3.0000000000291038</v>
      </c>
      <c r="AJ713">
        <v>2.1231300000000002</v>
      </c>
      <c r="AK713" t="str">
        <v>Base</v>
      </c>
      <c r="AL713">
        <v>-1.5</v>
      </c>
      <c r="AM713">
        <v>-5.6833171408844958</v>
      </c>
      <c r="AN713">
        <v>-1.3190048678759598</v>
      </c>
      <c r="AO713">
        <v>42.799993820445501</v>
      </c>
      <c r="AP713">
        <v>-17.09999753106581</v>
      </c>
      <c r="AQ713">
        <v>0</v>
      </c>
      <c r="AR713" t="str">
        <v>1613.par</v>
      </c>
      <c r="AV713" t="str">
        <v>204,204,0</v>
      </c>
      <c r="AW713" s="31">
        <v>0</v>
      </c>
      <c r="AX713" s="31">
        <v>42.799993820445501</v>
      </c>
      <c r="AY713" s="31">
        <v>0</v>
      </c>
    </row>
    <row r="714" spans="31:51" x14ac:dyDescent="0.25">
      <c r="AE714">
        <v>2.12</v>
      </c>
      <c r="AF714">
        <v>2</v>
      </c>
      <c r="AG714">
        <v>1</v>
      </c>
      <c r="AH714">
        <v>1</v>
      </c>
      <c r="AI714">
        <v>2.999999999992724</v>
      </c>
      <c r="AJ714">
        <v>2.1201300000000001</v>
      </c>
      <c r="AK714" t="str">
        <v>Base</v>
      </c>
      <c r="AL714">
        <v>-1.5</v>
      </c>
      <c r="AM714">
        <v>-5.0339151822881893</v>
      </c>
      <c r="AN714">
        <v>-0.93093244608542713</v>
      </c>
      <c r="AO714">
        <v>31.099995509716226</v>
      </c>
      <c r="AP714">
        <v>-16.299997646571494</v>
      </c>
      <c r="AQ714">
        <v>0</v>
      </c>
      <c r="AR714" t="str">
        <v>1613.par</v>
      </c>
      <c r="AV714" t="str">
        <v>204,204,0</v>
      </c>
      <c r="AW714" s="31">
        <v>0</v>
      </c>
      <c r="AX714" s="31">
        <v>31.099995509716226</v>
      </c>
      <c r="AY714" s="31">
        <v>0</v>
      </c>
    </row>
    <row r="715" spans="31:51" x14ac:dyDescent="0.25">
      <c r="AE715">
        <v>2.117</v>
      </c>
      <c r="AF715">
        <v>2</v>
      </c>
      <c r="AG715">
        <v>1</v>
      </c>
      <c r="AH715">
        <v>1</v>
      </c>
      <c r="AI715">
        <v>2.999999999992724</v>
      </c>
      <c r="AJ715">
        <v>2.11713</v>
      </c>
      <c r="AK715" t="str">
        <v>Base</v>
      </c>
      <c r="AL715">
        <v>-1.5</v>
      </c>
      <c r="AM715">
        <v>-4.3037129799983482</v>
      </c>
      <c r="AN715">
        <v>-0.70527301441810053</v>
      </c>
      <c r="AO715">
        <v>18.999997256739832</v>
      </c>
      <c r="AP715">
        <v>-15.499997762077202</v>
      </c>
      <c r="AQ715">
        <v>0</v>
      </c>
      <c r="AR715" t="str">
        <v>1613.par</v>
      </c>
      <c r="AV715" t="str">
        <v>204,204,0</v>
      </c>
      <c r="AW715" s="31">
        <v>0</v>
      </c>
      <c r="AX715" s="31">
        <v>18.999997256739832</v>
      </c>
      <c r="AY715" s="31">
        <v>0</v>
      </c>
    </row>
    <row r="716" spans="31:51" x14ac:dyDescent="0.25">
      <c r="AE716">
        <v>2.1139999999999999</v>
      </c>
      <c r="AF716">
        <v>2</v>
      </c>
      <c r="AG716">
        <v>1</v>
      </c>
      <c r="AH716">
        <v>1</v>
      </c>
      <c r="AI716">
        <v>2.999999999992724</v>
      </c>
      <c r="AJ716">
        <v>2.1141299999999998</v>
      </c>
      <c r="AK716" t="str">
        <v>Base</v>
      </c>
      <c r="AL716">
        <v>-1.5</v>
      </c>
      <c r="AM716">
        <v>-3.5593107348811763</v>
      </c>
      <c r="AN716">
        <v>-0.6572834943320911</v>
      </c>
      <c r="AO716">
        <v>7.3999989315723473</v>
      </c>
      <c r="AP716">
        <v>-15.099997819830071</v>
      </c>
      <c r="AQ716">
        <v>0</v>
      </c>
      <c r="AR716" t="str">
        <v>1613.par</v>
      </c>
      <c r="AV716" t="str">
        <v>204,204,0</v>
      </c>
      <c r="AW716" s="31">
        <v>0</v>
      </c>
      <c r="AX716" s="31">
        <v>7.3999989315723473</v>
      </c>
      <c r="AY716" s="31">
        <v>0</v>
      </c>
    </row>
    <row r="717" spans="31:51" x14ac:dyDescent="0.25">
      <c r="AE717">
        <v>1.2370000000000001</v>
      </c>
      <c r="AF717">
        <v>1</v>
      </c>
      <c r="AG717">
        <v>2</v>
      </c>
      <c r="AH717">
        <v>1</v>
      </c>
      <c r="AI717">
        <v>3.0000000000109139</v>
      </c>
      <c r="AJ717">
        <v>1.2371300000000001</v>
      </c>
      <c r="AK717" t="str">
        <v>Base</v>
      </c>
      <c r="AL717">
        <v>-0.75</v>
      </c>
      <c r="AM717">
        <v>-7.0763183047111937</v>
      </c>
      <c r="AN717">
        <v>-4.4258606251895323</v>
      </c>
      <c r="AO717">
        <v>84.909987740514595</v>
      </c>
      <c r="AP717">
        <v>0</v>
      </c>
      <c r="AQ717">
        <v>0</v>
      </c>
      <c r="AR717" t="str">
        <v>32193r1.par</v>
      </c>
      <c r="AV717" t="str">
        <v>255,188,121</v>
      </c>
      <c r="AW717" s="31">
        <v>0</v>
      </c>
      <c r="AX717" s="31">
        <v>84.909987740514595</v>
      </c>
      <c r="AY717" s="31">
        <v>0</v>
      </c>
    </row>
    <row r="718" spans="31:51" x14ac:dyDescent="0.25">
      <c r="AE718">
        <v>1.234</v>
      </c>
      <c r="AF718">
        <v>1</v>
      </c>
      <c r="AG718">
        <v>2</v>
      </c>
      <c r="AH718">
        <v>1</v>
      </c>
      <c r="AI718">
        <v>2.999999999992724</v>
      </c>
      <c r="AJ718">
        <v>1.2341299999999999</v>
      </c>
      <c r="AK718" t="str">
        <v>Base</v>
      </c>
      <c r="AL718">
        <v>-0.75</v>
      </c>
      <c r="AM718">
        <v>-6.9745354852076851</v>
      </c>
      <c r="AN718">
        <v>-3.6813929147149973</v>
      </c>
      <c r="AO718">
        <v>79.239988559161176</v>
      </c>
      <c r="AP718">
        <v>0</v>
      </c>
      <c r="AQ718">
        <v>0</v>
      </c>
      <c r="AR718" t="str">
        <v>32193r1.par</v>
      </c>
      <c r="AV718" t="str">
        <v>255,188,121</v>
      </c>
      <c r="AW718" s="31">
        <v>0</v>
      </c>
      <c r="AX718" s="31">
        <v>79.239988559161176</v>
      </c>
      <c r="AY718" s="31">
        <v>0</v>
      </c>
    </row>
    <row r="719" spans="31:51" x14ac:dyDescent="0.25">
      <c r="AE719">
        <v>1.2310000000000001</v>
      </c>
      <c r="AF719">
        <v>1</v>
      </c>
      <c r="AG719">
        <v>2</v>
      </c>
      <c r="AH719">
        <v>1</v>
      </c>
      <c r="AI719">
        <v>3.0000000000109139</v>
      </c>
      <c r="AJ719">
        <v>1.2311300000000001</v>
      </c>
      <c r="AK719" t="str">
        <v>Base</v>
      </c>
      <c r="AL719">
        <v>-0.75</v>
      </c>
      <c r="AM719">
        <v>-6.8042623594709379</v>
      </c>
      <c r="AN719">
        <v>-2.9639028161823138</v>
      </c>
      <c r="AO719">
        <v>73.979989318611075</v>
      </c>
      <c r="AP719">
        <v>0</v>
      </c>
      <c r="AQ719">
        <v>0</v>
      </c>
      <c r="AR719" t="str">
        <v>32193r1.par</v>
      </c>
      <c r="AV719" t="str">
        <v>255,188,121</v>
      </c>
      <c r="AW719" s="31">
        <v>0</v>
      </c>
      <c r="AX719" s="31">
        <v>73.979989318611075</v>
      </c>
      <c r="AY719" s="31">
        <v>0</v>
      </c>
    </row>
    <row r="720" spans="31:51" x14ac:dyDescent="0.25">
      <c r="AE720">
        <v>1.228</v>
      </c>
      <c r="AF720">
        <v>1</v>
      </c>
      <c r="AG720">
        <v>2</v>
      </c>
      <c r="AH720">
        <v>1</v>
      </c>
      <c r="AI720">
        <v>2.999999999992724</v>
      </c>
      <c r="AJ720">
        <v>1.2281299999999999</v>
      </c>
      <c r="AK720" t="str">
        <v>Base</v>
      </c>
      <c r="AL720">
        <v>-0.75</v>
      </c>
      <c r="AM720">
        <v>-6.514929708695929</v>
      </c>
      <c r="AN720">
        <v>-2.2719645509906883</v>
      </c>
      <c r="AO720">
        <v>60.52999126055056</v>
      </c>
      <c r="AP720">
        <v>0</v>
      </c>
      <c r="AQ720">
        <v>0</v>
      </c>
      <c r="AR720" t="str">
        <v>32193r1.par</v>
      </c>
      <c r="AV720" t="str">
        <v>255,188,121</v>
      </c>
      <c r="AW720" s="31">
        <v>0</v>
      </c>
      <c r="AX720" s="31">
        <v>60.52999126055056</v>
      </c>
      <c r="AY720" s="31">
        <v>0</v>
      </c>
    </row>
    <row r="721" spans="31:51" x14ac:dyDescent="0.25">
      <c r="AE721">
        <v>1.2250000000000001</v>
      </c>
      <c r="AF721">
        <v>1</v>
      </c>
      <c r="AG721">
        <v>2</v>
      </c>
      <c r="AH721">
        <v>1</v>
      </c>
      <c r="AI721">
        <v>3.0000000000109139</v>
      </c>
      <c r="AJ721">
        <v>1.2251300000000001</v>
      </c>
      <c r="AK721" t="str">
        <v>Base</v>
      </c>
      <c r="AL721">
        <v>-0.75</v>
      </c>
      <c r="AM721">
        <v>-6.0655624547724605</v>
      </c>
      <c r="AN721">
        <v>-1.6595331031934186</v>
      </c>
      <c r="AO721">
        <v>46.899993228478813</v>
      </c>
      <c r="AP721">
        <v>0</v>
      </c>
      <c r="AQ721">
        <v>0</v>
      </c>
      <c r="AR721" t="str">
        <v>32193r1.par</v>
      </c>
      <c r="AV721" t="str">
        <v>255,188,121</v>
      </c>
      <c r="AW721" s="31">
        <v>0</v>
      </c>
      <c r="AX721" s="31">
        <v>46.899993228478813</v>
      </c>
      <c r="AY721" s="31">
        <v>0</v>
      </c>
    </row>
    <row r="722" spans="31:51" x14ac:dyDescent="0.25">
      <c r="AE722">
        <v>1.222</v>
      </c>
      <c r="AF722">
        <v>1</v>
      </c>
      <c r="AG722">
        <v>2</v>
      </c>
      <c r="AH722">
        <v>1</v>
      </c>
      <c r="AI722">
        <v>2.999999999992724</v>
      </c>
      <c r="AJ722">
        <v>1.2221299999999999</v>
      </c>
      <c r="AK722" t="str">
        <v>Base</v>
      </c>
      <c r="AL722">
        <v>-0.75</v>
      </c>
      <c r="AM722">
        <v>-5.4860015733948257</v>
      </c>
      <c r="AN722">
        <v>-1.1688349926946751</v>
      </c>
      <c r="AO722">
        <v>33.279995194963199</v>
      </c>
      <c r="AP722">
        <v>0</v>
      </c>
      <c r="AQ722">
        <v>0</v>
      </c>
      <c r="AR722" t="str">
        <v>32193r1.par</v>
      </c>
      <c r="AV722" t="str">
        <v>255,188,121</v>
      </c>
      <c r="AW722" s="31">
        <v>0</v>
      </c>
      <c r="AX722" s="31">
        <v>33.279995194963199</v>
      </c>
      <c r="AY722" s="31">
        <v>0</v>
      </c>
    </row>
    <row r="723" spans="31:51" x14ac:dyDescent="0.25">
      <c r="AE723">
        <v>1.2190000000000001</v>
      </c>
      <c r="AF723">
        <v>1</v>
      </c>
      <c r="AG723">
        <v>2</v>
      </c>
      <c r="AH723">
        <v>1</v>
      </c>
      <c r="AI723">
        <v>3.0000000000109139</v>
      </c>
      <c r="AJ723">
        <v>1.21913</v>
      </c>
      <c r="AK723" t="str">
        <v>Base</v>
      </c>
      <c r="AL723">
        <v>-0.75</v>
      </c>
      <c r="AM723">
        <v>-4.8061705690502698</v>
      </c>
      <c r="AN723">
        <v>-0.82976936239418331</v>
      </c>
      <c r="AO723">
        <v>19.649997162891438</v>
      </c>
      <c r="AP723">
        <v>0</v>
      </c>
      <c r="AQ723">
        <v>0</v>
      </c>
      <c r="AR723" t="str">
        <v>32193r1.par</v>
      </c>
      <c r="AV723" t="str">
        <v>255,188,121</v>
      </c>
      <c r="AW723" s="31">
        <v>0</v>
      </c>
      <c r="AX723" s="31">
        <v>19.649997162891438</v>
      </c>
      <c r="AY723" s="31">
        <v>0</v>
      </c>
    </row>
    <row r="724" spans="31:51" x14ac:dyDescent="0.25">
      <c r="AE724">
        <v>1.216</v>
      </c>
      <c r="AF724">
        <v>1</v>
      </c>
      <c r="AG724">
        <v>2</v>
      </c>
      <c r="AH724">
        <v>1</v>
      </c>
      <c r="AI724">
        <v>2.999999999992724</v>
      </c>
      <c r="AJ724">
        <v>1.2161299999999999</v>
      </c>
      <c r="AK724" t="str">
        <v>Base</v>
      </c>
      <c r="AL724">
        <v>-0.75</v>
      </c>
      <c r="AM724">
        <v>-4.0538913077739727</v>
      </c>
      <c r="AN724">
        <v>-0.65960213927379285</v>
      </c>
      <c r="AO724">
        <v>5.809999161139908</v>
      </c>
      <c r="AP724">
        <v>0</v>
      </c>
      <c r="AQ724">
        <v>0</v>
      </c>
      <c r="AR724" t="str">
        <v>32193r1.par</v>
      </c>
      <c r="AV724" t="str">
        <v>255,188,121</v>
      </c>
      <c r="AW724" s="31">
        <v>0</v>
      </c>
      <c r="AX724" s="31">
        <v>5.809999161139908</v>
      </c>
      <c r="AY724" s="31">
        <v>0</v>
      </c>
    </row>
    <row r="725" spans="31:51" x14ac:dyDescent="0.25">
      <c r="AE725">
        <v>1.1399999999999999</v>
      </c>
      <c r="AF725">
        <v>1</v>
      </c>
      <c r="AG725">
        <v>1</v>
      </c>
      <c r="AH725">
        <v>1</v>
      </c>
      <c r="AI725">
        <v>2.999999999992724</v>
      </c>
      <c r="AJ725">
        <v>1.1401299999999999</v>
      </c>
      <c r="AK725" t="str">
        <v>Base</v>
      </c>
      <c r="AL725">
        <v>0</v>
      </c>
      <c r="AM725">
        <v>-7.1349215217547588</v>
      </c>
      <c r="AN725">
        <v>-5.1780627845624938</v>
      </c>
      <c r="AO725">
        <v>87.999987296345381</v>
      </c>
      <c r="AP725">
        <v>-32.399995357848091</v>
      </c>
      <c r="AQ725">
        <v>0</v>
      </c>
      <c r="AR725" t="str">
        <v>1613.par</v>
      </c>
      <c r="AV725" t="str">
        <v>255,127,0</v>
      </c>
      <c r="AW725" s="31">
        <v>0</v>
      </c>
      <c r="AX725" s="31">
        <v>87.999987296345381</v>
      </c>
      <c r="AY725" s="31">
        <v>0</v>
      </c>
    </row>
    <row r="726" spans="31:51" x14ac:dyDescent="0.25">
      <c r="AE726">
        <v>1.137</v>
      </c>
      <c r="AF726">
        <v>1</v>
      </c>
      <c r="AG726">
        <v>1</v>
      </c>
      <c r="AH726">
        <v>1</v>
      </c>
      <c r="AI726">
        <v>2.999999999992724</v>
      </c>
      <c r="AJ726">
        <v>1.13713</v>
      </c>
      <c r="AK726" t="str">
        <v>Base</v>
      </c>
      <c r="AL726">
        <v>0</v>
      </c>
      <c r="AM726">
        <v>-7.0993214168333942</v>
      </c>
      <c r="AN726">
        <v>-4.4179936168429421</v>
      </c>
      <c r="AO726">
        <v>85.999987591262339</v>
      </c>
      <c r="AP726">
        <v>-31.199995565640261</v>
      </c>
      <c r="AQ726">
        <v>0</v>
      </c>
      <c r="AR726" t="str">
        <v>1613.par</v>
      </c>
      <c r="AV726" t="str">
        <v>255,127,0</v>
      </c>
      <c r="AW726" s="31">
        <v>0</v>
      </c>
      <c r="AX726" s="31">
        <v>85.999987591262339</v>
      </c>
      <c r="AY726" s="31">
        <v>0</v>
      </c>
    </row>
    <row r="727" spans="31:51" x14ac:dyDescent="0.25">
      <c r="AE727">
        <v>1.1339999999999999</v>
      </c>
      <c r="AF727">
        <v>1</v>
      </c>
      <c r="AG727">
        <v>1</v>
      </c>
      <c r="AH727">
        <v>1</v>
      </c>
      <c r="AI727">
        <v>2.999999999992724</v>
      </c>
      <c r="AJ727">
        <v>1.1341299999999999</v>
      </c>
      <c r="AK727" t="str">
        <v>Base</v>
      </c>
      <c r="AL727">
        <v>0</v>
      </c>
      <c r="AM727">
        <v>-6.9875210848493108</v>
      </c>
      <c r="AN727">
        <v>-3.6730943546170582</v>
      </c>
      <c r="AO727">
        <v>80.099988488520111</v>
      </c>
      <c r="AP727">
        <v>-27.899996134127584</v>
      </c>
      <c r="AQ727">
        <v>0</v>
      </c>
      <c r="AR727" t="str">
        <v>1613.par</v>
      </c>
      <c r="AV727" t="str">
        <v>255,127,0</v>
      </c>
      <c r="AW727" s="31">
        <v>0</v>
      </c>
      <c r="AX727" s="31">
        <v>80.099988488520111</v>
      </c>
      <c r="AY727" s="31">
        <v>0</v>
      </c>
    </row>
    <row r="728" spans="31:51" x14ac:dyDescent="0.25">
      <c r="AE728">
        <v>1.131</v>
      </c>
      <c r="AF728">
        <v>1</v>
      </c>
      <c r="AG728">
        <v>1</v>
      </c>
      <c r="AH728">
        <v>1</v>
      </c>
      <c r="AI728">
        <v>2.999999999992724</v>
      </c>
      <c r="AJ728">
        <v>1.13113</v>
      </c>
      <c r="AK728" t="str">
        <v>Base</v>
      </c>
      <c r="AL728">
        <v>0</v>
      </c>
      <c r="AM728">
        <v>-6.8108205553435051</v>
      </c>
      <c r="AN728">
        <v>-2.9563523292358123</v>
      </c>
      <c r="AO728">
        <v>74.099989446480123</v>
      </c>
      <c r="AP728">
        <v>-25.599996548029999</v>
      </c>
      <c r="AQ728">
        <v>0</v>
      </c>
      <c r="AR728" t="str">
        <v>1613.par</v>
      </c>
      <c r="AV728" t="str">
        <v>255,127,0</v>
      </c>
      <c r="AW728" s="31">
        <v>0</v>
      </c>
      <c r="AX728" s="31">
        <v>74.099989446480123</v>
      </c>
      <c r="AY728" s="31">
        <v>0</v>
      </c>
    </row>
    <row r="729" spans="31:51" x14ac:dyDescent="0.25">
      <c r="AE729">
        <v>1.1279999999999999</v>
      </c>
      <c r="AF729">
        <v>1</v>
      </c>
      <c r="AG729">
        <v>1</v>
      </c>
      <c r="AH729">
        <v>1</v>
      </c>
      <c r="AI729">
        <v>2.999999999992724</v>
      </c>
      <c r="AJ729">
        <v>1.1281299999999999</v>
      </c>
      <c r="AK729" t="str">
        <v>Base</v>
      </c>
      <c r="AL729">
        <v>0</v>
      </c>
      <c r="AM729">
        <v>-6.5144196647361827</v>
      </c>
      <c r="AN729">
        <v>-2.2671106614182053</v>
      </c>
      <c r="AO729">
        <v>62.499991427382007</v>
      </c>
      <c r="AP729">
        <v>-22.699997085145576</v>
      </c>
      <c r="AQ729">
        <v>0</v>
      </c>
      <c r="AR729" t="str">
        <v>1613.par</v>
      </c>
      <c r="AV729" t="str">
        <v>255,127,0</v>
      </c>
      <c r="AW729" s="31">
        <v>0</v>
      </c>
      <c r="AX729" s="31">
        <v>62.499991427382007</v>
      </c>
      <c r="AY729" s="31">
        <v>0</v>
      </c>
    </row>
    <row r="730" spans="31:51" x14ac:dyDescent="0.25">
      <c r="AE730">
        <v>1.125</v>
      </c>
      <c r="AF730">
        <v>1</v>
      </c>
      <c r="AG730">
        <v>1</v>
      </c>
      <c r="AH730">
        <v>1</v>
      </c>
      <c r="AI730">
        <v>2.999999999992724</v>
      </c>
      <c r="AJ730">
        <v>1.12513</v>
      </c>
      <c r="AK730" t="str">
        <v>Base</v>
      </c>
      <c r="AL730">
        <v>0</v>
      </c>
      <c r="AM730">
        <v>-6.0591182894398417</v>
      </c>
      <c r="AN730">
        <v>-1.6604859800937033</v>
      </c>
      <c r="AO730">
        <v>50.699993635276748</v>
      </c>
      <c r="AP730">
        <v>-19.299997622218779</v>
      </c>
      <c r="AQ730">
        <v>0</v>
      </c>
      <c r="AR730" t="str">
        <v>1613.par</v>
      </c>
      <c r="AV730" t="str">
        <v>255,127,0</v>
      </c>
      <c r="AW730" s="31">
        <v>0</v>
      </c>
      <c r="AX730" s="31">
        <v>50.699993635276748</v>
      </c>
      <c r="AY730" s="31">
        <v>0</v>
      </c>
    </row>
    <row r="731" spans="31:51" x14ac:dyDescent="0.25">
      <c r="AE731">
        <v>1.1220000000000001</v>
      </c>
      <c r="AF731">
        <v>1</v>
      </c>
      <c r="AG731">
        <v>1</v>
      </c>
      <c r="AH731">
        <v>1</v>
      </c>
      <c r="AI731">
        <v>3.0000000000109139</v>
      </c>
      <c r="AJ731">
        <v>1.1221300000000001</v>
      </c>
      <c r="AK731" t="str">
        <v>Base</v>
      </c>
      <c r="AL731">
        <v>0</v>
      </c>
      <c r="AM731">
        <v>-5.477616532026329</v>
      </c>
      <c r="AN731">
        <v>-1.1758172928682815</v>
      </c>
      <c r="AO731">
        <v>38.799996044241624</v>
      </c>
      <c r="AP731">
        <v>-16.799997974008789</v>
      </c>
      <c r="AQ731">
        <v>0</v>
      </c>
      <c r="AR731" t="str">
        <v>1613.par</v>
      </c>
      <c r="AV731" t="str">
        <v>255,127,0</v>
      </c>
      <c r="AW731" s="31">
        <v>0</v>
      </c>
      <c r="AX731" s="31">
        <v>38.799996044241624</v>
      </c>
      <c r="AY731" s="31">
        <v>0</v>
      </c>
    </row>
    <row r="732" spans="31:51" x14ac:dyDescent="0.25">
      <c r="AE732">
        <v>1.119</v>
      </c>
      <c r="AF732">
        <v>1</v>
      </c>
      <c r="AG732">
        <v>1</v>
      </c>
      <c r="AH732">
        <v>1</v>
      </c>
      <c r="AI732">
        <v>2.999999999992724</v>
      </c>
      <c r="AJ732">
        <v>1.11913</v>
      </c>
      <c r="AK732" t="str">
        <v>Base</v>
      </c>
      <c r="AL732">
        <v>0</v>
      </c>
      <c r="AM732">
        <v>-4.7994144837238126</v>
      </c>
      <c r="AN732">
        <v>-0.84032787435149414</v>
      </c>
      <c r="AO732">
        <v>26.999998577869427</v>
      </c>
      <c r="AP732">
        <v>-15.999998051666994</v>
      </c>
      <c r="AQ732">
        <v>0</v>
      </c>
      <c r="AR732" t="str">
        <v>1613.par</v>
      </c>
      <c r="AV732" t="str">
        <v>255,127,0</v>
      </c>
      <c r="AW732" s="31">
        <v>0</v>
      </c>
      <c r="AX732" s="31">
        <v>26.999998577869427</v>
      </c>
      <c r="AY732" s="31">
        <v>0</v>
      </c>
    </row>
    <row r="733" spans="31:51" x14ac:dyDescent="0.25">
      <c r="AE733">
        <v>1.1160000000000001</v>
      </c>
      <c r="AF733">
        <v>1</v>
      </c>
      <c r="AG733">
        <v>1</v>
      </c>
      <c r="AH733">
        <v>1</v>
      </c>
      <c r="AI733">
        <v>3.0000000000109139</v>
      </c>
      <c r="AJ733">
        <v>1.1161300000000001</v>
      </c>
      <c r="AK733" t="str">
        <v>Base</v>
      </c>
      <c r="AL733">
        <v>0</v>
      </c>
      <c r="AM733">
        <v>-4.0497122188539496</v>
      </c>
      <c r="AN733">
        <v>-0.67280986704428924</v>
      </c>
      <c r="AO733">
        <v>15.000001306799158</v>
      </c>
      <c r="AP733">
        <v>-15.299998045499139</v>
      </c>
      <c r="AQ733">
        <v>0</v>
      </c>
      <c r="AR733" t="str">
        <v>1613.par</v>
      </c>
      <c r="AV733" t="str">
        <v>255,127,0</v>
      </c>
      <c r="AW733" s="31">
        <v>0</v>
      </c>
      <c r="AX733" s="31">
        <v>15.000001306799158</v>
      </c>
      <c r="AY733" s="31">
        <v>0</v>
      </c>
    </row>
    <row r="734" spans="31:51" x14ac:dyDescent="0.25">
      <c r="AE734">
        <v>1.113</v>
      </c>
      <c r="AF734">
        <v>1</v>
      </c>
      <c r="AG734">
        <v>1</v>
      </c>
      <c r="AH734">
        <v>1</v>
      </c>
      <c r="AI734">
        <v>2.999999999992724</v>
      </c>
      <c r="AJ734">
        <v>1.11313</v>
      </c>
      <c r="AK734" t="str">
        <v>Base</v>
      </c>
      <c r="AL734">
        <v>0</v>
      </c>
      <c r="AM734">
        <v>-3.3149099989555051</v>
      </c>
      <c r="AN734">
        <v>-0.68335052336857527</v>
      </c>
      <c r="AO734">
        <v>3.6000040220107441</v>
      </c>
      <c r="AP734">
        <v>-14.99999791083343</v>
      </c>
      <c r="AQ734">
        <v>0</v>
      </c>
      <c r="AR734" t="str">
        <v>1613.par</v>
      </c>
      <c r="AV734" t="str">
        <v>255,127,0</v>
      </c>
      <c r="AW734" s="31">
        <v>0</v>
      </c>
      <c r="AX734" s="31">
        <v>3.6000040220107441</v>
      </c>
      <c r="AY734" s="31">
        <v>0</v>
      </c>
    </row>
    <row r="735" spans="31:51" x14ac:dyDescent="0.25">
      <c r="AE735">
        <v>1.1100000000000001</v>
      </c>
      <c r="AF735">
        <v>1</v>
      </c>
      <c r="AG735">
        <v>1</v>
      </c>
      <c r="AH735">
        <v>1</v>
      </c>
      <c r="AI735">
        <v>3.0000000000109139</v>
      </c>
      <c r="AJ735">
        <v>1.1101300000000001</v>
      </c>
      <c r="AK735" t="str">
        <v>Base</v>
      </c>
      <c r="AL735">
        <v>0</v>
      </c>
      <c r="AM735">
        <v>-2.5680077441214388</v>
      </c>
      <c r="AN735">
        <v>-0.85475104054123241</v>
      </c>
      <c r="AO735">
        <v>-2.9999936970089967</v>
      </c>
      <c r="AP735">
        <v>-14.999997751840365</v>
      </c>
      <c r="AQ735">
        <v>0</v>
      </c>
      <c r="AR735" t="str">
        <v>1613.par</v>
      </c>
      <c r="AV735" t="str">
        <v>255,127,0</v>
      </c>
      <c r="AW735" s="31">
        <v>0</v>
      </c>
      <c r="AX735" s="31">
        <v>-2.9999936970089967</v>
      </c>
      <c r="AY735" s="31">
        <v>0</v>
      </c>
    </row>
    <row r="736" spans="31:51" x14ac:dyDescent="0.25">
      <c r="AE736">
        <v>1.107</v>
      </c>
      <c r="AF736">
        <v>1</v>
      </c>
      <c r="AG736">
        <v>1</v>
      </c>
      <c r="AH736">
        <v>1</v>
      </c>
      <c r="AI736">
        <v>2.999999999992724</v>
      </c>
      <c r="AJ736">
        <v>1.1071299999999999</v>
      </c>
      <c r="AK736" t="str">
        <v>Base</v>
      </c>
      <c r="AL736">
        <v>0</v>
      </c>
      <c r="AM736">
        <v>-1.8261055065442908</v>
      </c>
      <c r="AN736">
        <v>-1.0535516405636511</v>
      </c>
      <c r="AO736">
        <v>-2.9999913122339605</v>
      </c>
      <c r="AP736">
        <v>-14.999997718351972</v>
      </c>
      <c r="AQ736">
        <v>0</v>
      </c>
      <c r="AR736" t="str">
        <v>1613.par</v>
      </c>
      <c r="AV736" t="str">
        <v>255,127,0</v>
      </c>
      <c r="AW736" s="31">
        <v>0</v>
      </c>
      <c r="AX736" s="31">
        <v>-2.9999913122339605</v>
      </c>
      <c r="AY736" s="31">
        <v>0</v>
      </c>
    </row>
    <row r="737" spans="31:51" x14ac:dyDescent="0.25">
      <c r="AE737">
        <v>1.1040000000000001</v>
      </c>
      <c r="AF737">
        <v>1</v>
      </c>
      <c r="AG737">
        <v>1</v>
      </c>
      <c r="AH737">
        <v>1</v>
      </c>
      <c r="AI737">
        <v>3.0000000000109139</v>
      </c>
      <c r="AJ737">
        <v>1.1041300000000001</v>
      </c>
      <c r="AK737" t="str">
        <v>Base</v>
      </c>
      <c r="AL737">
        <v>0</v>
      </c>
      <c r="AM737">
        <v>-1.0838032676279075</v>
      </c>
      <c r="AN737">
        <v>-1.2509522346023283</v>
      </c>
      <c r="AO737">
        <v>-2.9999857925960174</v>
      </c>
      <c r="AP737">
        <v>-15.999997482891414</v>
      </c>
      <c r="AQ737">
        <v>0</v>
      </c>
      <c r="AR737" t="str">
        <v>1613.par</v>
      </c>
      <c r="AV737" t="str">
        <v>255,127,0</v>
      </c>
      <c r="AW737" s="31">
        <v>0</v>
      </c>
      <c r="AX737" s="31">
        <v>-2.9999857925960174</v>
      </c>
      <c r="AY737" s="31">
        <v>0</v>
      </c>
    </row>
    <row r="738" spans="31:51" x14ac:dyDescent="0.25">
      <c r="AE738">
        <v>1.101</v>
      </c>
      <c r="AF738">
        <v>1</v>
      </c>
      <c r="AG738">
        <v>1</v>
      </c>
      <c r="AH738">
        <v>1</v>
      </c>
      <c r="AI738">
        <v>2.999999999992724</v>
      </c>
      <c r="AJ738">
        <v>1.1011299999999999</v>
      </c>
      <c r="AK738" t="str">
        <v>Base</v>
      </c>
      <c r="AL738">
        <v>0</v>
      </c>
      <c r="AM738">
        <v>-0.33880101542602581</v>
      </c>
      <c r="AN738">
        <v>-1.4382527893741464</v>
      </c>
      <c r="AO738">
        <v>-8.9999588850334611</v>
      </c>
      <c r="AP738">
        <v>-22.499994139312239</v>
      </c>
      <c r="AQ738">
        <v>0</v>
      </c>
      <c r="AR738" t="str">
        <v>1613.par</v>
      </c>
      <c r="AV738" t="str">
        <v>255,127,0</v>
      </c>
      <c r="AW738" s="31">
        <v>0</v>
      </c>
      <c r="AX738" s="31">
        <v>-8.9999588850334611</v>
      </c>
      <c r="AY738" s="31">
        <v>0</v>
      </c>
    </row>
    <row r="739" spans="31:51" x14ac:dyDescent="0.25">
      <c r="AE739">
        <v>6.2359999999999998</v>
      </c>
      <c r="AF739">
        <v>6</v>
      </c>
      <c r="AG739">
        <v>2</v>
      </c>
      <c r="AH739">
        <v>2</v>
      </c>
      <c r="AI739">
        <v>3.0000000000291038</v>
      </c>
      <c r="AJ739">
        <v>6.2362299999999999</v>
      </c>
      <c r="AK739">
        <v>6.2361300000000002</v>
      </c>
      <c r="AL739">
        <v>0</v>
      </c>
      <c r="AM739">
        <v>0</v>
      </c>
      <c r="AN739">
        <v>0</v>
      </c>
      <c r="AO739">
        <v>-83.029988011952966</v>
      </c>
      <c r="AP739">
        <v>0</v>
      </c>
      <c r="AQ739">
        <v>0</v>
      </c>
      <c r="AR739" t="str">
        <v>32193r1.par</v>
      </c>
      <c r="AV739" t="str">
        <v>188,121,255</v>
      </c>
      <c r="AW739" s="31">
        <v>0</v>
      </c>
      <c r="AX739" s="31">
        <v>83.029988011952966</v>
      </c>
      <c r="AY739" s="31">
        <v>-83.029988011952966</v>
      </c>
    </row>
    <row r="740" spans="31:51" x14ac:dyDescent="0.25">
      <c r="AE740">
        <v>6.2329999999999997</v>
      </c>
      <c r="AF740">
        <v>6</v>
      </c>
      <c r="AG740">
        <v>2</v>
      </c>
      <c r="AH740">
        <v>2</v>
      </c>
      <c r="AI740">
        <v>2.9999999999563443</v>
      </c>
      <c r="AJ740">
        <v>6.2332299999999998</v>
      </c>
      <c r="AK740">
        <v>6.2331300000000001</v>
      </c>
      <c r="AL740">
        <v>0</v>
      </c>
      <c r="AM740">
        <v>0</v>
      </c>
      <c r="AN740">
        <v>0</v>
      </c>
      <c r="AO740">
        <v>-77.369988829155716</v>
      </c>
      <c r="AP740">
        <v>0</v>
      </c>
      <c r="AQ740">
        <v>0</v>
      </c>
      <c r="AR740" t="str">
        <v>32193r1.par</v>
      </c>
      <c r="AV740" t="str">
        <v>188,121,255</v>
      </c>
      <c r="AW740" s="31">
        <v>0</v>
      </c>
      <c r="AX740" s="31">
        <v>77.369988829155716</v>
      </c>
      <c r="AY740" s="31">
        <v>-77.369988829155716</v>
      </c>
    </row>
    <row r="741" spans="31:51" x14ac:dyDescent="0.25">
      <c r="AE741">
        <v>6.23</v>
      </c>
      <c r="AF741">
        <v>6</v>
      </c>
      <c r="AG741">
        <v>2</v>
      </c>
      <c r="AH741">
        <v>2</v>
      </c>
      <c r="AI741">
        <v>3.0000000000291038</v>
      </c>
      <c r="AJ741">
        <v>6.2302300000000006</v>
      </c>
      <c r="AK741">
        <v>6.2301300000000008</v>
      </c>
      <c r="AL741">
        <v>0</v>
      </c>
      <c r="AM741">
        <v>0</v>
      </c>
      <c r="AN741">
        <v>0</v>
      </c>
      <c r="AO741">
        <v>-69.48998996688681</v>
      </c>
      <c r="AP741">
        <v>0</v>
      </c>
      <c r="AQ741">
        <v>0</v>
      </c>
      <c r="AR741" t="str">
        <v>32193r1.par</v>
      </c>
      <c r="AV741" t="str">
        <v>188,121,255</v>
      </c>
      <c r="AW741" s="31">
        <v>0</v>
      </c>
      <c r="AX741" s="31">
        <v>69.48998996688681</v>
      </c>
      <c r="AY741" s="31">
        <v>-69.48998996688681</v>
      </c>
    </row>
    <row r="742" spans="31:51" x14ac:dyDescent="0.25">
      <c r="AE742">
        <v>6.2270000000000003</v>
      </c>
      <c r="AF742">
        <v>6</v>
      </c>
      <c r="AG742">
        <v>2</v>
      </c>
      <c r="AH742">
        <v>2</v>
      </c>
      <c r="AI742">
        <v>3.0000000000291038</v>
      </c>
      <c r="AJ742">
        <v>6.2272300000000005</v>
      </c>
      <c r="AK742">
        <v>6.2271300000000007</v>
      </c>
      <c r="AL742">
        <v>0</v>
      </c>
      <c r="AM742">
        <v>0</v>
      </c>
      <c r="AN742">
        <v>0</v>
      </c>
      <c r="AO742">
        <v>-55.98999191604539</v>
      </c>
      <c r="AP742">
        <v>0</v>
      </c>
      <c r="AQ742">
        <v>0</v>
      </c>
      <c r="AR742" t="str">
        <v>32193r1.par</v>
      </c>
      <c r="AV742" t="str">
        <v>188,121,255</v>
      </c>
      <c r="AW742" s="31">
        <v>0</v>
      </c>
      <c r="AX742" s="31">
        <v>55.98999191604539</v>
      </c>
      <c r="AY742" s="31">
        <v>-55.98999191604539</v>
      </c>
    </row>
    <row r="743" spans="31:51" x14ac:dyDescent="0.25">
      <c r="AE743">
        <v>6.2240000000000002</v>
      </c>
      <c r="AF743">
        <v>6</v>
      </c>
      <c r="AG743">
        <v>2</v>
      </c>
      <c r="AH743">
        <v>2</v>
      </c>
      <c r="AI743">
        <v>3.0000000000291038</v>
      </c>
      <c r="AJ743">
        <v>6.2242300000000004</v>
      </c>
      <c r="AK743">
        <v>6.2241300000000006</v>
      </c>
      <c r="AL743">
        <v>0</v>
      </c>
      <c r="AM743">
        <v>0</v>
      </c>
      <c r="AN743">
        <v>0</v>
      </c>
      <c r="AO743">
        <v>-42.359993883973615</v>
      </c>
      <c r="AP743">
        <v>0</v>
      </c>
      <c r="AQ743">
        <v>0</v>
      </c>
      <c r="AR743" t="str">
        <v>32193r1.par</v>
      </c>
      <c r="AV743" t="str">
        <v>188,121,255</v>
      </c>
      <c r="AW743" s="31">
        <v>0</v>
      </c>
      <c r="AX743" s="31">
        <v>42.359993883973615</v>
      </c>
      <c r="AY743" s="31">
        <v>-42.359993883973615</v>
      </c>
    </row>
    <row r="744" spans="31:51" x14ac:dyDescent="0.25">
      <c r="AE744">
        <v>6.2210000000000001</v>
      </c>
      <c r="AF744">
        <v>6</v>
      </c>
      <c r="AG744">
        <v>2</v>
      </c>
      <c r="AH744">
        <v>2</v>
      </c>
      <c r="AI744">
        <v>3.0000000000291038</v>
      </c>
      <c r="AJ744">
        <v>6.2212300000000003</v>
      </c>
      <c r="AK744">
        <v>6.2211300000000005</v>
      </c>
      <c r="AL744">
        <v>0</v>
      </c>
      <c r="AM744">
        <v>0</v>
      </c>
      <c r="AN744">
        <v>0</v>
      </c>
      <c r="AO744">
        <v>-28.739995850458012</v>
      </c>
      <c r="AP744">
        <v>0</v>
      </c>
      <c r="AQ744">
        <v>0</v>
      </c>
      <c r="AR744" t="str">
        <v>32193r1.par</v>
      </c>
      <c r="AV744" t="str">
        <v>188,121,255</v>
      </c>
      <c r="AW744" s="31">
        <v>0</v>
      </c>
      <c r="AX744" s="31">
        <v>28.739995850458012</v>
      </c>
      <c r="AY744" s="31">
        <v>-28.739995850458012</v>
      </c>
    </row>
    <row r="745" spans="31:51" x14ac:dyDescent="0.25">
      <c r="AE745">
        <v>6.218</v>
      </c>
      <c r="AF745">
        <v>6</v>
      </c>
      <c r="AG745">
        <v>2</v>
      </c>
      <c r="AH745">
        <v>2</v>
      </c>
      <c r="AI745">
        <v>3.0000000000291038</v>
      </c>
      <c r="AJ745">
        <v>6.2182300000000001</v>
      </c>
      <c r="AK745">
        <v>6.2181300000000004</v>
      </c>
      <c r="AL745">
        <v>0</v>
      </c>
      <c r="AM745">
        <v>0</v>
      </c>
      <c r="AN745">
        <v>0</v>
      </c>
      <c r="AO745">
        <v>-15.039997828492989</v>
      </c>
      <c r="AP745">
        <v>0</v>
      </c>
      <c r="AQ745">
        <v>0</v>
      </c>
      <c r="AR745" t="str">
        <v>32193r1.par</v>
      </c>
      <c r="AV745" t="str">
        <v>188,121,255</v>
      </c>
      <c r="AW745" s="31">
        <v>0</v>
      </c>
      <c r="AX745" s="31">
        <v>15.039997828492989</v>
      </c>
      <c r="AY745" s="31">
        <v>-15.039997828492989</v>
      </c>
    </row>
    <row r="746" spans="31:51" x14ac:dyDescent="0.25">
      <c r="AE746">
        <v>6.2149999999999999</v>
      </c>
      <c r="AF746">
        <v>6</v>
      </c>
      <c r="AG746">
        <v>2</v>
      </c>
      <c r="AH746">
        <v>2</v>
      </c>
      <c r="AI746">
        <v>3.0000000000291038</v>
      </c>
      <c r="AJ746">
        <v>6.21523</v>
      </c>
      <c r="AK746">
        <v>6.2151300000000003</v>
      </c>
      <c r="AL746">
        <v>0</v>
      </c>
      <c r="AM746">
        <v>0</v>
      </c>
      <c r="AN746">
        <v>0</v>
      </c>
      <c r="AO746">
        <v>-1.3999997978650478</v>
      </c>
      <c r="AP746">
        <v>0</v>
      </c>
      <c r="AQ746">
        <v>0</v>
      </c>
      <c r="AR746" t="str">
        <v>32193r1.par</v>
      </c>
      <c r="AV746" t="str">
        <v>188,121,255</v>
      </c>
      <c r="AW746" s="31">
        <v>0</v>
      </c>
      <c r="AX746" s="31">
        <v>1.3999997978650478</v>
      </c>
      <c r="AY746" s="31">
        <v>-1.3999997978650478</v>
      </c>
    </row>
    <row r="747" spans="31:51" x14ac:dyDescent="0.25">
      <c r="AE747">
        <v>6.1390000000000002</v>
      </c>
      <c r="AF747">
        <v>6</v>
      </c>
      <c r="AG747">
        <v>1</v>
      </c>
      <c r="AH747">
        <v>2</v>
      </c>
      <c r="AI747">
        <v>3.0000000000291038</v>
      </c>
      <c r="AJ747">
        <v>6.1392300000000004</v>
      </c>
      <c r="AK747">
        <v>6.1391300000000006</v>
      </c>
      <c r="AL747">
        <v>0</v>
      </c>
      <c r="AM747">
        <v>0</v>
      </c>
      <c r="AN747">
        <v>0</v>
      </c>
      <c r="AO747">
        <v>-87.999987294373938</v>
      </c>
      <c r="AP747">
        <v>0</v>
      </c>
      <c r="AQ747">
        <v>0</v>
      </c>
      <c r="AR747" t="str">
        <v>1613.par</v>
      </c>
      <c r="AV747" t="str">
        <v>127,0,255</v>
      </c>
      <c r="AW747" s="31">
        <v>0</v>
      </c>
      <c r="AX747" s="31">
        <v>87.999987294373938</v>
      </c>
      <c r="AY747" s="31">
        <v>-87.999987294373938</v>
      </c>
    </row>
    <row r="748" spans="31:51" x14ac:dyDescent="0.25">
      <c r="AE748">
        <v>6.1360000000000001</v>
      </c>
      <c r="AF748">
        <v>6</v>
      </c>
      <c r="AG748">
        <v>1</v>
      </c>
      <c r="AH748">
        <v>2</v>
      </c>
      <c r="AI748">
        <v>3.0000000000291038</v>
      </c>
      <c r="AJ748">
        <v>6.1362300000000003</v>
      </c>
      <c r="AK748">
        <v>6.1361300000000005</v>
      </c>
      <c r="AL748">
        <v>0</v>
      </c>
      <c r="AM748">
        <v>0</v>
      </c>
      <c r="AN748">
        <v>0</v>
      </c>
      <c r="AO748">
        <v>-83.999987871902363</v>
      </c>
      <c r="AP748">
        <v>0</v>
      </c>
      <c r="AQ748">
        <v>0</v>
      </c>
      <c r="AR748" t="str">
        <v>1613.par</v>
      </c>
      <c r="AV748" t="str">
        <v>127,0,255</v>
      </c>
      <c r="AW748" s="31">
        <v>0</v>
      </c>
      <c r="AX748" s="31">
        <v>83.999987871902363</v>
      </c>
      <c r="AY748" s="31">
        <v>-83.999987871902363</v>
      </c>
    </row>
    <row r="749" spans="31:51" x14ac:dyDescent="0.25">
      <c r="AE749">
        <v>6.133</v>
      </c>
      <c r="AF749">
        <v>6</v>
      </c>
      <c r="AG749">
        <v>1</v>
      </c>
      <c r="AH749">
        <v>2</v>
      </c>
      <c r="AI749">
        <v>3.0000000000291038</v>
      </c>
      <c r="AJ749">
        <v>6.1332300000000002</v>
      </c>
      <c r="AK749">
        <v>6.1331300000000004</v>
      </c>
      <c r="AL749">
        <v>0</v>
      </c>
      <c r="AM749">
        <v>0</v>
      </c>
      <c r="AN749">
        <v>0</v>
      </c>
      <c r="AO749">
        <v>-78.099988723756766</v>
      </c>
      <c r="AP749">
        <v>0</v>
      </c>
      <c r="AQ749">
        <v>0</v>
      </c>
      <c r="AR749" t="str">
        <v>1613.par</v>
      </c>
      <c r="AV749" t="str">
        <v>127,0,255</v>
      </c>
      <c r="AW749" s="31">
        <v>0</v>
      </c>
      <c r="AX749" s="31">
        <v>78.099988723756766</v>
      </c>
      <c r="AY749" s="31">
        <v>-78.099988723756766</v>
      </c>
    </row>
    <row r="750" spans="31:51" x14ac:dyDescent="0.25">
      <c r="AE750">
        <v>6.13</v>
      </c>
      <c r="AF750">
        <v>6</v>
      </c>
      <c r="AG750">
        <v>1</v>
      </c>
      <c r="AH750">
        <v>2</v>
      </c>
      <c r="AI750">
        <v>3.0000000000291038</v>
      </c>
      <c r="AJ750">
        <v>6.1302300000000001</v>
      </c>
      <c r="AK750">
        <v>6.1301300000000003</v>
      </c>
      <c r="AL750">
        <v>0</v>
      </c>
      <c r="AM750">
        <v>0</v>
      </c>
      <c r="AN750">
        <v>0</v>
      </c>
      <c r="AO750">
        <v>-70.19998986437551</v>
      </c>
      <c r="AP750">
        <v>0</v>
      </c>
      <c r="AQ750">
        <v>0</v>
      </c>
      <c r="AR750" t="str">
        <v>1613.par</v>
      </c>
      <c r="AV750" t="str">
        <v>127,0,255</v>
      </c>
      <c r="AW750" s="31">
        <v>0</v>
      </c>
      <c r="AX750" s="31">
        <v>70.19998986437551</v>
      </c>
      <c r="AY750" s="31">
        <v>-70.19998986437551</v>
      </c>
    </row>
    <row r="751" spans="31:51" x14ac:dyDescent="0.25">
      <c r="AE751">
        <v>6.1269999999999998</v>
      </c>
      <c r="AF751">
        <v>6</v>
      </c>
      <c r="AG751">
        <v>1</v>
      </c>
      <c r="AH751">
        <v>2</v>
      </c>
      <c r="AI751">
        <v>3.0000000000291038</v>
      </c>
      <c r="AJ751">
        <v>6.12723</v>
      </c>
      <c r="AK751">
        <v>6.1271300000000002</v>
      </c>
      <c r="AL751">
        <v>0</v>
      </c>
      <c r="AM751">
        <v>0</v>
      </c>
      <c r="AN751">
        <v>0</v>
      </c>
      <c r="AO751">
        <v>-58.499991553646176</v>
      </c>
      <c r="AP751">
        <v>0</v>
      </c>
      <c r="AQ751">
        <v>0</v>
      </c>
      <c r="AR751" t="str">
        <v>1613.par</v>
      </c>
      <c r="AV751" t="str">
        <v>127,0,255</v>
      </c>
      <c r="AW751" s="31">
        <v>0</v>
      </c>
      <c r="AX751" s="31">
        <v>58.499991553646176</v>
      </c>
      <c r="AY751" s="31">
        <v>-58.499991553646176</v>
      </c>
    </row>
    <row r="752" spans="31:51" x14ac:dyDescent="0.25">
      <c r="AE752">
        <v>6.1239999999999997</v>
      </c>
      <c r="AF752">
        <v>6</v>
      </c>
      <c r="AG752">
        <v>1</v>
      </c>
      <c r="AH752">
        <v>2</v>
      </c>
      <c r="AI752">
        <v>2.9999999999563443</v>
      </c>
      <c r="AJ752">
        <v>6.1242299999999998</v>
      </c>
      <c r="AK752">
        <v>6.1241300000000001</v>
      </c>
      <c r="AL752">
        <v>0</v>
      </c>
      <c r="AM752">
        <v>0</v>
      </c>
      <c r="AN752">
        <v>0</v>
      </c>
      <c r="AO752">
        <v>-46.699993257355175</v>
      </c>
      <c r="AP752">
        <v>0</v>
      </c>
      <c r="AQ752">
        <v>0</v>
      </c>
      <c r="AR752" t="str">
        <v>1613.par</v>
      </c>
      <c r="AV752" t="str">
        <v>127,0,255</v>
      </c>
      <c r="AW752" s="31">
        <v>0</v>
      </c>
      <c r="AX752" s="31">
        <v>46.699993257355175</v>
      </c>
      <c r="AY752" s="31">
        <v>-46.699993257355175</v>
      </c>
    </row>
    <row r="753" spans="31:51" x14ac:dyDescent="0.25">
      <c r="AE753">
        <v>6.1210000000000004</v>
      </c>
      <c r="AF753">
        <v>6</v>
      </c>
      <c r="AG753">
        <v>1</v>
      </c>
      <c r="AH753">
        <v>2</v>
      </c>
      <c r="AI753">
        <v>3.0000000000291038</v>
      </c>
      <c r="AJ753">
        <v>6.1212300000000006</v>
      </c>
      <c r="AK753">
        <v>6.1211300000000008</v>
      </c>
      <c r="AL753">
        <v>0</v>
      </c>
      <c r="AM753">
        <v>0</v>
      </c>
      <c r="AN753">
        <v>0</v>
      </c>
      <c r="AO753">
        <v>-34.899994961064216</v>
      </c>
      <c r="AP753">
        <v>0</v>
      </c>
      <c r="AQ753">
        <v>0</v>
      </c>
      <c r="AR753" t="str">
        <v>1613.par</v>
      </c>
      <c r="AV753" t="str">
        <v>127,0,255</v>
      </c>
      <c r="AW753" s="31">
        <v>0</v>
      </c>
      <c r="AX753" s="31">
        <v>34.899994961064216</v>
      </c>
      <c r="AY753" s="31">
        <v>-34.899994961064216</v>
      </c>
    </row>
    <row r="754" spans="31:51" x14ac:dyDescent="0.25">
      <c r="AE754">
        <v>6.1180000000000003</v>
      </c>
      <c r="AF754">
        <v>6</v>
      </c>
      <c r="AG754">
        <v>1</v>
      </c>
      <c r="AH754">
        <v>2</v>
      </c>
      <c r="AI754">
        <v>3.0000000000291038</v>
      </c>
      <c r="AJ754">
        <v>6.1182300000000005</v>
      </c>
      <c r="AK754">
        <v>6.1181300000000007</v>
      </c>
      <c r="AL754">
        <v>0</v>
      </c>
      <c r="AM754">
        <v>0</v>
      </c>
      <c r="AN754">
        <v>0</v>
      </c>
      <c r="AO754">
        <v>-22.999996679211435</v>
      </c>
      <c r="AP754">
        <v>0</v>
      </c>
      <c r="AQ754">
        <v>0</v>
      </c>
      <c r="AR754" t="str">
        <v>1613.par</v>
      </c>
      <c r="AV754" t="str">
        <v>127,0,255</v>
      </c>
      <c r="AW754" s="31">
        <v>0</v>
      </c>
      <c r="AX754" s="31">
        <v>22.999996679211435</v>
      </c>
      <c r="AY754" s="31">
        <v>-22.999996679211435</v>
      </c>
    </row>
    <row r="755" spans="31:51" x14ac:dyDescent="0.25">
      <c r="AE755">
        <v>6.1150000000000002</v>
      </c>
      <c r="AF755">
        <v>6</v>
      </c>
      <c r="AG755">
        <v>1</v>
      </c>
      <c r="AH755">
        <v>2</v>
      </c>
      <c r="AI755">
        <v>3.0000000000291038</v>
      </c>
      <c r="AJ755">
        <v>6.1152300000000004</v>
      </c>
      <c r="AK755">
        <v>6.1151300000000006</v>
      </c>
      <c r="AL755">
        <v>0</v>
      </c>
      <c r="AM755">
        <v>0</v>
      </c>
      <c r="AN755">
        <v>0</v>
      </c>
      <c r="AO755">
        <v>-11.19999838292026</v>
      </c>
      <c r="AP755">
        <v>0</v>
      </c>
      <c r="AQ755">
        <v>0</v>
      </c>
      <c r="AR755" t="str">
        <v>1613.par</v>
      </c>
      <c r="AV755" t="str">
        <v>127,0,255</v>
      </c>
      <c r="AW755" s="31">
        <v>0</v>
      </c>
      <c r="AX755" s="31">
        <v>11.19999838292026</v>
      </c>
      <c r="AY755" s="31">
        <v>-11.19999838292026</v>
      </c>
    </row>
    <row r="756" spans="31:51" x14ac:dyDescent="0.25">
      <c r="AE756">
        <v>6.1120000000000001</v>
      </c>
      <c r="AF756">
        <v>6</v>
      </c>
      <c r="AG756">
        <v>1</v>
      </c>
      <c r="AH756">
        <v>2</v>
      </c>
      <c r="AI756">
        <v>3.0000000000291038</v>
      </c>
      <c r="AJ756">
        <v>6.1122300000000003</v>
      </c>
      <c r="AK756">
        <v>6.1121300000000005</v>
      </c>
      <c r="AL756">
        <v>0</v>
      </c>
      <c r="AM756">
        <v>0</v>
      </c>
      <c r="AN756">
        <v>0</v>
      </c>
      <c r="AO756">
        <v>0.39999994224709201</v>
      </c>
      <c r="AP756">
        <v>0</v>
      </c>
      <c r="AQ756">
        <v>0</v>
      </c>
      <c r="AR756" t="str">
        <v>1613.par</v>
      </c>
      <c r="AV756" t="str">
        <v>127,0,255</v>
      </c>
      <c r="AW756" s="31">
        <v>0</v>
      </c>
      <c r="AX756" s="31">
        <v>-0.39999994224709201</v>
      </c>
      <c r="AY756" s="31">
        <v>0.39999994224709201</v>
      </c>
    </row>
    <row r="757" spans="31:51" x14ac:dyDescent="0.25">
      <c r="AE757">
        <v>5.2350000000000003</v>
      </c>
      <c r="AF757">
        <v>5</v>
      </c>
      <c r="AG757">
        <v>2</v>
      </c>
      <c r="AH757">
        <v>2</v>
      </c>
      <c r="AI757">
        <v>3.0000000000291038</v>
      </c>
      <c r="AJ757">
        <v>5.2352300000000005</v>
      </c>
      <c r="AK757">
        <v>5.2351300000000007</v>
      </c>
      <c r="AL757">
        <v>0</v>
      </c>
      <c r="AM757">
        <v>0</v>
      </c>
      <c r="AN757">
        <v>0</v>
      </c>
      <c r="AO757">
        <v>-81.139988284835155</v>
      </c>
      <c r="AP757">
        <v>0</v>
      </c>
      <c r="AQ757">
        <v>0</v>
      </c>
      <c r="AR757" t="str">
        <v>32193r1.par</v>
      </c>
      <c r="AV757" t="str">
        <v>121,188,255</v>
      </c>
      <c r="AW757" s="31">
        <v>0</v>
      </c>
      <c r="AX757" s="31">
        <v>81.139988284835155</v>
      </c>
      <c r="AY757" s="31">
        <v>-81.139988284835155</v>
      </c>
    </row>
    <row r="758" spans="31:51" x14ac:dyDescent="0.25">
      <c r="AE758">
        <v>5.2320000000000002</v>
      </c>
      <c r="AF758">
        <v>5</v>
      </c>
      <c r="AG758">
        <v>2</v>
      </c>
      <c r="AH758">
        <v>2</v>
      </c>
      <c r="AI758">
        <v>3.0000000000291038</v>
      </c>
      <c r="AJ758">
        <v>5.2322300000000004</v>
      </c>
      <c r="AK758">
        <v>5.2321300000000006</v>
      </c>
      <c r="AL758">
        <v>0</v>
      </c>
      <c r="AM758">
        <v>0</v>
      </c>
      <c r="AN758">
        <v>0</v>
      </c>
      <c r="AO758">
        <v>-75.519989096262663</v>
      </c>
      <c r="AP758">
        <v>0</v>
      </c>
      <c r="AQ758">
        <v>0</v>
      </c>
      <c r="AR758" t="str">
        <v>32193r1.par</v>
      </c>
      <c r="AV758" t="str">
        <v>121,188,255</v>
      </c>
      <c r="AW758" s="31">
        <v>0</v>
      </c>
      <c r="AX758" s="31">
        <v>75.519989096262663</v>
      </c>
      <c r="AY758" s="31">
        <v>-75.519989096262663</v>
      </c>
    </row>
    <row r="759" spans="31:51" x14ac:dyDescent="0.25">
      <c r="AE759">
        <v>5.2290000000000001</v>
      </c>
      <c r="AF759">
        <v>5</v>
      </c>
      <c r="AG759">
        <v>2</v>
      </c>
      <c r="AH759">
        <v>2</v>
      </c>
      <c r="AI759">
        <v>3.0000000000291038</v>
      </c>
      <c r="AJ759">
        <v>5.2292300000000003</v>
      </c>
      <c r="AK759">
        <v>5.2291300000000005</v>
      </c>
      <c r="AL759">
        <v>0</v>
      </c>
      <c r="AM759">
        <v>0</v>
      </c>
      <c r="AN759">
        <v>0</v>
      </c>
      <c r="AO759">
        <v>-65.009990613718642</v>
      </c>
      <c r="AP759">
        <v>0</v>
      </c>
      <c r="AQ759">
        <v>0</v>
      </c>
      <c r="AR759" t="str">
        <v>32193r1.par</v>
      </c>
      <c r="AV759" t="str">
        <v>121,188,255</v>
      </c>
      <c r="AW759" s="31">
        <v>0</v>
      </c>
      <c r="AX759" s="31">
        <v>65.009990613718642</v>
      </c>
      <c r="AY759" s="31">
        <v>-65.009990613718642</v>
      </c>
    </row>
    <row r="760" spans="31:51" x14ac:dyDescent="0.25">
      <c r="AE760">
        <v>5.226</v>
      </c>
      <c r="AF760">
        <v>5</v>
      </c>
      <c r="AG760">
        <v>2</v>
      </c>
      <c r="AH760">
        <v>2</v>
      </c>
      <c r="AI760">
        <v>3.0000000000291038</v>
      </c>
      <c r="AJ760">
        <v>5.2262300000000002</v>
      </c>
      <c r="AK760">
        <v>5.2261300000000004</v>
      </c>
      <c r="AL760">
        <v>0</v>
      </c>
      <c r="AM760">
        <v>0</v>
      </c>
      <c r="AN760">
        <v>0</v>
      </c>
      <c r="AO760">
        <v>-51.449992571540129</v>
      </c>
      <c r="AP760">
        <v>0</v>
      </c>
      <c r="AQ760">
        <v>0</v>
      </c>
      <c r="AR760" t="str">
        <v>32193r1.par</v>
      </c>
      <c r="AV760" t="str">
        <v>121,188,255</v>
      </c>
      <c r="AW760" s="31">
        <v>0</v>
      </c>
      <c r="AX760" s="31">
        <v>51.449992571540129</v>
      </c>
      <c r="AY760" s="31">
        <v>-51.449992571540129</v>
      </c>
    </row>
    <row r="761" spans="31:51" x14ac:dyDescent="0.25">
      <c r="AE761">
        <v>5.2229999999999999</v>
      </c>
      <c r="AF761">
        <v>5</v>
      </c>
      <c r="AG761">
        <v>2</v>
      </c>
      <c r="AH761">
        <v>2</v>
      </c>
      <c r="AI761">
        <v>3.0000000000291038</v>
      </c>
      <c r="AJ761">
        <v>5.22323</v>
      </c>
      <c r="AK761">
        <v>5.2231300000000003</v>
      </c>
      <c r="AL761">
        <v>0</v>
      </c>
      <c r="AM761">
        <v>0</v>
      </c>
      <c r="AN761">
        <v>0</v>
      </c>
      <c r="AO761">
        <v>-37.819994539468382</v>
      </c>
      <c r="AP761">
        <v>0</v>
      </c>
      <c r="AQ761">
        <v>0</v>
      </c>
      <c r="AR761" t="str">
        <v>32193r1.par</v>
      </c>
      <c r="AV761" t="str">
        <v>121,188,255</v>
      </c>
      <c r="AW761" s="31">
        <v>0</v>
      </c>
      <c r="AX761" s="31">
        <v>37.819994539468382</v>
      </c>
      <c r="AY761" s="31">
        <v>-37.819994539468382</v>
      </c>
    </row>
    <row r="762" spans="31:51" x14ac:dyDescent="0.25">
      <c r="AE762">
        <v>5.22</v>
      </c>
      <c r="AF762">
        <v>5</v>
      </c>
      <c r="AG762">
        <v>2</v>
      </c>
      <c r="AH762">
        <v>2</v>
      </c>
      <c r="AI762">
        <v>2.9999999999563443</v>
      </c>
      <c r="AJ762">
        <v>5.2202299999999999</v>
      </c>
      <c r="AK762">
        <v>5.2201300000000002</v>
      </c>
      <c r="AL762">
        <v>0</v>
      </c>
      <c r="AM762">
        <v>0</v>
      </c>
      <c r="AN762">
        <v>0</v>
      </c>
      <c r="AO762">
        <v>-24.199996505952821</v>
      </c>
      <c r="AP762">
        <v>0</v>
      </c>
      <c r="AQ762">
        <v>0</v>
      </c>
      <c r="AR762" t="str">
        <v>32193r1.par</v>
      </c>
      <c r="AV762" t="str">
        <v>121,188,255</v>
      </c>
      <c r="AW762" s="31">
        <v>0</v>
      </c>
      <c r="AX762" s="31">
        <v>24.199996505952821</v>
      </c>
      <c r="AY762" s="31">
        <v>-24.199996505952821</v>
      </c>
    </row>
    <row r="763" spans="31:51" x14ac:dyDescent="0.25">
      <c r="AE763">
        <v>5.2169999999999996</v>
      </c>
      <c r="AF763">
        <v>5</v>
      </c>
      <c r="AG763">
        <v>2</v>
      </c>
      <c r="AH763">
        <v>2</v>
      </c>
      <c r="AI763">
        <v>2.9999999999563443</v>
      </c>
      <c r="AJ763">
        <v>5.2172299999999998</v>
      </c>
      <c r="AK763">
        <v>5.21713</v>
      </c>
      <c r="AL763">
        <v>0</v>
      </c>
      <c r="AM763">
        <v>0</v>
      </c>
      <c r="AN763">
        <v>0</v>
      </c>
      <c r="AO763">
        <v>-10.429998494094555</v>
      </c>
      <c r="AP763">
        <v>0</v>
      </c>
      <c r="AQ763">
        <v>0</v>
      </c>
      <c r="AR763" t="str">
        <v>32193r1.par</v>
      </c>
      <c r="AV763" t="str">
        <v>121,188,255</v>
      </c>
      <c r="AW763" s="31">
        <v>0</v>
      </c>
      <c r="AX763" s="31">
        <v>10.429998494094555</v>
      </c>
      <c r="AY763" s="31">
        <v>-10.429998494094555</v>
      </c>
    </row>
    <row r="764" spans="31:51" x14ac:dyDescent="0.25">
      <c r="AE764">
        <v>5.1379999999999999</v>
      </c>
      <c r="AF764">
        <v>5</v>
      </c>
      <c r="AG764">
        <v>1</v>
      </c>
      <c r="AH764">
        <v>2</v>
      </c>
      <c r="AI764">
        <v>3.0000000000291038</v>
      </c>
      <c r="AJ764">
        <v>5.1382300000000001</v>
      </c>
      <c r="AK764">
        <v>5.1381300000000003</v>
      </c>
      <c r="AL764">
        <v>0</v>
      </c>
      <c r="AM764">
        <v>0</v>
      </c>
      <c r="AN764">
        <v>0</v>
      </c>
      <c r="AO764">
        <v>-87.999987294373852</v>
      </c>
      <c r="AP764">
        <v>0</v>
      </c>
      <c r="AQ764">
        <v>0</v>
      </c>
      <c r="AR764" t="str">
        <v>1613.par</v>
      </c>
      <c r="AV764" t="str">
        <v>0,102,204</v>
      </c>
      <c r="AW764" s="31">
        <v>0</v>
      </c>
      <c r="AX764" s="31">
        <v>87.999987294373852</v>
      </c>
      <c r="AY764" s="31">
        <v>-87.999987294373852</v>
      </c>
    </row>
    <row r="765" spans="31:51" x14ac:dyDescent="0.25">
      <c r="AE765">
        <v>5.1349999999999998</v>
      </c>
      <c r="AF765">
        <v>5</v>
      </c>
      <c r="AG765">
        <v>1</v>
      </c>
      <c r="AH765">
        <v>2</v>
      </c>
      <c r="AI765">
        <v>3.0000000000291038</v>
      </c>
      <c r="AJ765">
        <v>5.13523</v>
      </c>
      <c r="AK765">
        <v>5.1351300000000002</v>
      </c>
      <c r="AL765">
        <v>0</v>
      </c>
      <c r="AM765">
        <v>0</v>
      </c>
      <c r="AN765">
        <v>0</v>
      </c>
      <c r="AO765">
        <v>-81.999988160666575</v>
      </c>
      <c r="AP765">
        <v>0</v>
      </c>
      <c r="AQ765">
        <v>0</v>
      </c>
      <c r="AR765" t="str">
        <v>1613.par</v>
      </c>
      <c r="AV765" t="str">
        <v>0,102,204</v>
      </c>
      <c r="AW765" s="31">
        <v>0</v>
      </c>
      <c r="AX765" s="31">
        <v>81.999988160666575</v>
      </c>
      <c r="AY765" s="31">
        <v>-81.999988160666575</v>
      </c>
    </row>
    <row r="766" spans="31:51" x14ac:dyDescent="0.25">
      <c r="AE766">
        <v>5.1319999999999997</v>
      </c>
      <c r="AF766">
        <v>5</v>
      </c>
      <c r="AG766">
        <v>1</v>
      </c>
      <c r="AH766">
        <v>2</v>
      </c>
      <c r="AI766">
        <v>2.9999999999563443</v>
      </c>
      <c r="AJ766">
        <v>5.1322299999999998</v>
      </c>
      <c r="AK766">
        <v>5.1321300000000001</v>
      </c>
      <c r="AL766">
        <v>0</v>
      </c>
      <c r="AM766">
        <v>0</v>
      </c>
      <c r="AN766">
        <v>0</v>
      </c>
      <c r="AO766">
        <v>-76.099989012520979</v>
      </c>
      <c r="AP766">
        <v>0</v>
      </c>
      <c r="AQ766">
        <v>0</v>
      </c>
      <c r="AR766" t="str">
        <v>1613.par</v>
      </c>
      <c r="AV766" t="str">
        <v>0,102,204</v>
      </c>
      <c r="AW766" s="31">
        <v>0</v>
      </c>
      <c r="AX766" s="31">
        <v>76.099989012520979</v>
      </c>
      <c r="AY766" s="31">
        <v>-76.099989012520979</v>
      </c>
    </row>
    <row r="767" spans="31:51" x14ac:dyDescent="0.25">
      <c r="AE767">
        <v>5.1289999999999996</v>
      </c>
      <c r="AF767">
        <v>5</v>
      </c>
      <c r="AG767">
        <v>1</v>
      </c>
      <c r="AH767">
        <v>2</v>
      </c>
      <c r="AI767">
        <v>2.9999999999563443</v>
      </c>
      <c r="AJ767">
        <v>5.1292299999999997</v>
      </c>
      <c r="AK767">
        <v>5.12913</v>
      </c>
      <c r="AL767">
        <v>0</v>
      </c>
      <c r="AM767">
        <v>0</v>
      </c>
      <c r="AN767">
        <v>0</v>
      </c>
      <c r="AO767">
        <v>-66.299990427465744</v>
      </c>
      <c r="AP767">
        <v>0</v>
      </c>
      <c r="AQ767">
        <v>0</v>
      </c>
      <c r="AR767" t="str">
        <v>1613.par</v>
      </c>
      <c r="AV767" t="str">
        <v>0,102,204</v>
      </c>
      <c r="AW767" s="31">
        <v>0</v>
      </c>
      <c r="AX767" s="31">
        <v>66.299990427465744</v>
      </c>
      <c r="AY767" s="31">
        <v>-66.299990427465744</v>
      </c>
    </row>
    <row r="768" spans="31:51" x14ac:dyDescent="0.25">
      <c r="AE768">
        <v>5.1260000000000003</v>
      </c>
      <c r="AF768">
        <v>5</v>
      </c>
      <c r="AG768">
        <v>1</v>
      </c>
      <c r="AH768">
        <v>2</v>
      </c>
      <c r="AI768">
        <v>3.0000000000291038</v>
      </c>
      <c r="AJ768">
        <v>5.1262300000000005</v>
      </c>
      <c r="AK768">
        <v>5.1261300000000007</v>
      </c>
      <c r="AL768">
        <v>0</v>
      </c>
      <c r="AM768">
        <v>0</v>
      </c>
      <c r="AN768">
        <v>0</v>
      </c>
      <c r="AO768">
        <v>-54.599992116736459</v>
      </c>
      <c r="AP768">
        <v>0</v>
      </c>
      <c r="AQ768">
        <v>0</v>
      </c>
      <c r="AR768" t="str">
        <v>1613.par</v>
      </c>
      <c r="AV768" t="str">
        <v>0,102,204</v>
      </c>
      <c r="AW768" s="31">
        <v>0</v>
      </c>
      <c r="AX768" s="31">
        <v>54.599992116736459</v>
      </c>
      <c r="AY768" s="31">
        <v>-54.599992116736459</v>
      </c>
    </row>
    <row r="769" spans="31:51" x14ac:dyDescent="0.25">
      <c r="AE769">
        <v>5.1230000000000002</v>
      </c>
      <c r="AF769">
        <v>5</v>
      </c>
      <c r="AG769">
        <v>1</v>
      </c>
      <c r="AH769">
        <v>2</v>
      </c>
      <c r="AI769">
        <v>3.0000000000291038</v>
      </c>
      <c r="AJ769">
        <v>5.1232300000000004</v>
      </c>
      <c r="AK769">
        <v>5.1231300000000006</v>
      </c>
      <c r="AL769">
        <v>0</v>
      </c>
      <c r="AM769">
        <v>0</v>
      </c>
      <c r="AN769">
        <v>0</v>
      </c>
      <c r="AO769">
        <v>-42.799993820445458</v>
      </c>
      <c r="AP769">
        <v>0</v>
      </c>
      <c r="AQ769">
        <v>0</v>
      </c>
      <c r="AR769" t="str">
        <v>1613.par</v>
      </c>
      <c r="AV769" t="str">
        <v>0,102,204</v>
      </c>
      <c r="AW769" s="31">
        <v>0</v>
      </c>
      <c r="AX769" s="31">
        <v>42.799993820445458</v>
      </c>
      <c r="AY769" s="31">
        <v>-42.799993820445458</v>
      </c>
    </row>
    <row r="770" spans="31:51" x14ac:dyDescent="0.25">
      <c r="AE770">
        <v>5.12</v>
      </c>
      <c r="AF770">
        <v>5</v>
      </c>
      <c r="AG770">
        <v>1</v>
      </c>
      <c r="AH770">
        <v>2</v>
      </c>
      <c r="AI770">
        <v>3.0000000000291038</v>
      </c>
      <c r="AJ770">
        <v>5.1202300000000003</v>
      </c>
      <c r="AK770">
        <v>5.1201300000000005</v>
      </c>
      <c r="AL770">
        <v>0</v>
      </c>
      <c r="AM770">
        <v>0</v>
      </c>
      <c r="AN770">
        <v>0</v>
      </c>
      <c r="AO770">
        <v>-31.099995509716297</v>
      </c>
      <c r="AP770">
        <v>0</v>
      </c>
      <c r="AQ770">
        <v>0</v>
      </c>
      <c r="AR770" t="str">
        <v>1613.par</v>
      </c>
      <c r="AV770" t="str">
        <v>0,102,204</v>
      </c>
      <c r="AW770" s="31">
        <v>0</v>
      </c>
      <c r="AX770" s="31">
        <v>31.099995509716297</v>
      </c>
      <c r="AY770" s="31">
        <v>-31.099995509716297</v>
      </c>
    </row>
    <row r="771" spans="31:51" x14ac:dyDescent="0.25">
      <c r="AE771">
        <v>5.117</v>
      </c>
      <c r="AF771">
        <v>5</v>
      </c>
      <c r="AG771">
        <v>1</v>
      </c>
      <c r="AH771">
        <v>2</v>
      </c>
      <c r="AI771">
        <v>3.0000000000291038</v>
      </c>
      <c r="AJ771">
        <v>5.1172300000000002</v>
      </c>
      <c r="AK771">
        <v>5.1171300000000004</v>
      </c>
      <c r="AL771">
        <v>0</v>
      </c>
      <c r="AM771">
        <v>0</v>
      </c>
      <c r="AN771">
        <v>0</v>
      </c>
      <c r="AO771">
        <v>-18.999997256739775</v>
      </c>
      <c r="AP771">
        <v>0</v>
      </c>
      <c r="AQ771">
        <v>0</v>
      </c>
      <c r="AR771" t="str">
        <v>1613.par</v>
      </c>
      <c r="AV771" t="str">
        <v>0,102,204</v>
      </c>
      <c r="AW771" s="31">
        <v>0</v>
      </c>
      <c r="AX771" s="31">
        <v>18.999997256739775</v>
      </c>
      <c r="AY771" s="31">
        <v>-18.999997256739775</v>
      </c>
    </row>
    <row r="772" spans="31:51" x14ac:dyDescent="0.25">
      <c r="AE772">
        <v>5.1139999999999999</v>
      </c>
      <c r="AF772">
        <v>5</v>
      </c>
      <c r="AG772">
        <v>1</v>
      </c>
      <c r="AH772">
        <v>2</v>
      </c>
      <c r="AI772">
        <v>3.0000000000291038</v>
      </c>
      <c r="AJ772">
        <v>5.1142300000000001</v>
      </c>
      <c r="AK772">
        <v>5.1141300000000003</v>
      </c>
      <c r="AL772">
        <v>0</v>
      </c>
      <c r="AM772">
        <v>0</v>
      </c>
      <c r="AN772">
        <v>0</v>
      </c>
      <c r="AO772">
        <v>-7.3999989315723109</v>
      </c>
      <c r="AP772">
        <v>0</v>
      </c>
      <c r="AQ772">
        <v>0</v>
      </c>
      <c r="AR772" t="str">
        <v>1613.par</v>
      </c>
      <c r="AV772" t="str">
        <v>0,102,204</v>
      </c>
      <c r="AW772" s="31">
        <v>0</v>
      </c>
      <c r="AX772" s="31">
        <v>7.3999989315723109</v>
      </c>
      <c r="AY772" s="31">
        <v>-7.3999989315723109</v>
      </c>
    </row>
    <row r="773" spans="31:51" x14ac:dyDescent="0.25">
      <c r="AE773">
        <v>5.1109999999999998</v>
      </c>
      <c r="AF773">
        <v>5</v>
      </c>
      <c r="AG773">
        <v>1</v>
      </c>
      <c r="AH773">
        <v>2</v>
      </c>
      <c r="AI773">
        <v>3.0000000000291038</v>
      </c>
      <c r="AJ773">
        <v>5.1112299999999999</v>
      </c>
      <c r="AK773">
        <v>5.1111300000000002</v>
      </c>
      <c r="AL773">
        <v>0</v>
      </c>
      <c r="AM773">
        <v>0</v>
      </c>
      <c r="AN773">
        <v>0</v>
      </c>
      <c r="AO773">
        <v>1.9999997112357444</v>
      </c>
      <c r="AP773">
        <v>0</v>
      </c>
      <c r="AQ773">
        <v>0</v>
      </c>
      <c r="AR773" t="str">
        <v>1613.par</v>
      </c>
      <c r="AV773" t="str">
        <v>0,102,204</v>
      </c>
      <c r="AW773" s="31">
        <v>0</v>
      </c>
      <c r="AX773" s="31">
        <v>-1.9999997112357444</v>
      </c>
      <c r="AY773" s="31">
        <v>1.9999997112357444</v>
      </c>
    </row>
    <row r="774" spans="31:51" x14ac:dyDescent="0.25">
      <c r="AE774">
        <v>5.1079999999999997</v>
      </c>
      <c r="AF774">
        <v>5</v>
      </c>
      <c r="AG774">
        <v>1</v>
      </c>
      <c r="AH774">
        <v>2</v>
      </c>
      <c r="AI774">
        <v>2.9999999999563443</v>
      </c>
      <c r="AJ774">
        <v>5.1082299999999998</v>
      </c>
      <c r="AK774">
        <v>5.1081300000000001</v>
      </c>
      <c r="AL774">
        <v>0</v>
      </c>
      <c r="AM774">
        <v>0</v>
      </c>
      <c r="AN774">
        <v>0</v>
      </c>
      <c r="AO774">
        <v>2.999999566853591</v>
      </c>
      <c r="AP774">
        <v>0</v>
      </c>
      <c r="AQ774">
        <v>0</v>
      </c>
      <c r="AR774" t="str">
        <v>1613.par</v>
      </c>
      <c r="AV774" t="str">
        <v>0,102,204</v>
      </c>
      <c r="AW774" s="31">
        <v>0</v>
      </c>
      <c r="AX774" s="31">
        <v>-2.999999566853591</v>
      </c>
      <c r="AY774" s="31">
        <v>2.999999566853591</v>
      </c>
    </row>
    <row r="775" spans="31:51" x14ac:dyDescent="0.25">
      <c r="AE775">
        <v>5.1050000000000004</v>
      </c>
      <c r="AF775">
        <v>5</v>
      </c>
      <c r="AG775">
        <v>1</v>
      </c>
      <c r="AH775">
        <v>2</v>
      </c>
      <c r="AI775">
        <v>3.0000000000291038</v>
      </c>
      <c r="AJ775">
        <v>5.1052300000000006</v>
      </c>
      <c r="AK775">
        <v>5.1051300000000008</v>
      </c>
      <c r="AL775">
        <v>0</v>
      </c>
      <c r="AM775">
        <v>0</v>
      </c>
      <c r="AN775">
        <v>0</v>
      </c>
      <c r="AO775">
        <v>2.9999995668536164</v>
      </c>
      <c r="AP775">
        <v>0</v>
      </c>
      <c r="AQ775">
        <v>0</v>
      </c>
      <c r="AR775" t="str">
        <v>1613.par</v>
      </c>
      <c r="AV775" t="str">
        <v>0,102,204</v>
      </c>
      <c r="AW775" s="31">
        <v>0</v>
      </c>
      <c r="AX775" s="31">
        <v>-2.9999995668536164</v>
      </c>
      <c r="AY775" s="31">
        <v>2.9999995668536164</v>
      </c>
    </row>
    <row r="776" spans="31:51" x14ac:dyDescent="0.25">
      <c r="AE776">
        <v>5.1020000000000003</v>
      </c>
      <c r="AF776">
        <v>5</v>
      </c>
      <c r="AG776">
        <v>1</v>
      </c>
      <c r="AH776">
        <v>2</v>
      </c>
      <c r="AI776">
        <v>3.0000000000291038</v>
      </c>
      <c r="AJ776">
        <v>5.1022300000000005</v>
      </c>
      <c r="AK776">
        <v>5.1021300000000007</v>
      </c>
      <c r="AL776">
        <v>0</v>
      </c>
      <c r="AM776">
        <v>0</v>
      </c>
      <c r="AN776">
        <v>0</v>
      </c>
      <c r="AO776">
        <v>5.9999991337073411</v>
      </c>
      <c r="AP776">
        <v>0</v>
      </c>
      <c r="AQ776">
        <v>0</v>
      </c>
      <c r="AR776" t="str">
        <v>1613.par</v>
      </c>
      <c r="AV776" t="str">
        <v>0,102,204</v>
      </c>
      <c r="AW776" s="31">
        <v>0</v>
      </c>
      <c r="AX776" s="31">
        <v>-5.9999991337073411</v>
      </c>
      <c r="AY776" s="31">
        <v>5.9999991337073411</v>
      </c>
    </row>
    <row r="777" spans="31:51" x14ac:dyDescent="0.25">
      <c r="AE777">
        <v>4.2370000000000001</v>
      </c>
      <c r="AF777">
        <v>4</v>
      </c>
      <c r="AG777">
        <v>2</v>
      </c>
      <c r="AH777">
        <v>2</v>
      </c>
      <c r="AI777">
        <v>3.0000000000291038</v>
      </c>
      <c r="AJ777">
        <v>4.2372300000000003</v>
      </c>
      <c r="AK777">
        <v>4.2371300000000005</v>
      </c>
      <c r="AL777">
        <v>0</v>
      </c>
      <c r="AM777">
        <v>0</v>
      </c>
      <c r="AN777">
        <v>0</v>
      </c>
      <c r="AO777">
        <v>-84.909987740514595</v>
      </c>
      <c r="AP777">
        <v>0</v>
      </c>
      <c r="AQ777">
        <v>0</v>
      </c>
      <c r="AR777" t="str">
        <v>32193r1.par</v>
      </c>
      <c r="AV777" t="str">
        <v>91,255,255</v>
      </c>
      <c r="AW777" s="31">
        <v>0</v>
      </c>
      <c r="AX777" s="31">
        <v>84.909987740514595</v>
      </c>
      <c r="AY777" s="31">
        <v>-84.909987740514595</v>
      </c>
    </row>
    <row r="778" spans="31:51" x14ac:dyDescent="0.25">
      <c r="AE778">
        <v>4.234</v>
      </c>
      <c r="AF778">
        <v>4</v>
      </c>
      <c r="AG778">
        <v>2</v>
      </c>
      <c r="AH778">
        <v>2</v>
      </c>
      <c r="AI778">
        <v>3.0000000000291038</v>
      </c>
      <c r="AJ778">
        <v>4.2342300000000002</v>
      </c>
      <c r="AK778">
        <v>4.2341300000000004</v>
      </c>
      <c r="AL778">
        <v>0</v>
      </c>
      <c r="AM778">
        <v>0</v>
      </c>
      <c r="AN778">
        <v>0</v>
      </c>
      <c r="AO778">
        <v>-79.239988559161148</v>
      </c>
      <c r="AP778">
        <v>0</v>
      </c>
      <c r="AQ778">
        <v>0</v>
      </c>
      <c r="AR778" t="str">
        <v>32193r1.par</v>
      </c>
      <c r="AV778" t="str">
        <v>91,255,255</v>
      </c>
      <c r="AW778" s="31">
        <v>0</v>
      </c>
      <c r="AX778" s="31">
        <v>79.239988559161148</v>
      </c>
      <c r="AY778" s="31">
        <v>-79.239988559161148</v>
      </c>
    </row>
    <row r="779" spans="31:51" x14ac:dyDescent="0.25">
      <c r="AE779">
        <v>4.2309999999999999</v>
      </c>
      <c r="AF779">
        <v>4</v>
      </c>
      <c r="AG779">
        <v>2</v>
      </c>
      <c r="AH779">
        <v>2</v>
      </c>
      <c r="AI779">
        <v>3.0000000000291038</v>
      </c>
      <c r="AJ779">
        <v>4.23123</v>
      </c>
      <c r="AK779">
        <v>4.2311300000000003</v>
      </c>
      <c r="AL779">
        <v>0</v>
      </c>
      <c r="AM779">
        <v>0</v>
      </c>
      <c r="AN779">
        <v>0</v>
      </c>
      <c r="AO779">
        <v>-73.979989318611103</v>
      </c>
      <c r="AP779">
        <v>0</v>
      </c>
      <c r="AQ779">
        <v>0</v>
      </c>
      <c r="AR779" t="str">
        <v>32193r1.par</v>
      </c>
      <c r="AV779" t="str">
        <v>91,255,255</v>
      </c>
      <c r="AW779" s="31">
        <v>0</v>
      </c>
      <c r="AX779" s="31">
        <v>73.979989318611103</v>
      </c>
      <c r="AY779" s="31">
        <v>-73.979989318611103</v>
      </c>
    </row>
    <row r="780" spans="31:51" x14ac:dyDescent="0.25">
      <c r="AE780">
        <v>4.2279999999999998</v>
      </c>
      <c r="AF780">
        <v>4</v>
      </c>
      <c r="AG780">
        <v>2</v>
      </c>
      <c r="AH780">
        <v>2</v>
      </c>
      <c r="AI780">
        <v>3.0000000000291038</v>
      </c>
      <c r="AJ780">
        <v>4.2282299999999999</v>
      </c>
      <c r="AK780">
        <v>4.2281300000000002</v>
      </c>
      <c r="AL780">
        <v>0</v>
      </c>
      <c r="AM780">
        <v>0</v>
      </c>
      <c r="AN780">
        <v>0</v>
      </c>
      <c r="AO780">
        <v>-60.529991260550531</v>
      </c>
      <c r="AP780">
        <v>0</v>
      </c>
      <c r="AQ780">
        <v>0</v>
      </c>
      <c r="AR780" t="str">
        <v>32193r1.par</v>
      </c>
      <c r="AV780" t="str">
        <v>91,255,255</v>
      </c>
      <c r="AW780" s="31">
        <v>0</v>
      </c>
      <c r="AX780" s="31">
        <v>60.529991260550531</v>
      </c>
      <c r="AY780" s="31">
        <v>-60.529991260550531</v>
      </c>
    </row>
    <row r="781" spans="31:51" x14ac:dyDescent="0.25">
      <c r="AE781">
        <v>4.2249999999999996</v>
      </c>
      <c r="AF781">
        <v>4</v>
      </c>
      <c r="AG781">
        <v>2</v>
      </c>
      <c r="AH781">
        <v>2</v>
      </c>
      <c r="AI781">
        <v>2.9999999999563443</v>
      </c>
      <c r="AJ781">
        <v>4.2252299999999998</v>
      </c>
      <c r="AK781">
        <v>4.2251300000000001</v>
      </c>
      <c r="AL781">
        <v>0</v>
      </c>
      <c r="AM781">
        <v>0</v>
      </c>
      <c r="AN781">
        <v>0</v>
      </c>
      <c r="AO781">
        <v>-46.89999322847882</v>
      </c>
      <c r="AP781">
        <v>0</v>
      </c>
      <c r="AQ781">
        <v>0</v>
      </c>
      <c r="AR781" t="str">
        <v>32193r1.par</v>
      </c>
      <c r="AV781" t="str">
        <v>91,255,255</v>
      </c>
      <c r="AW781" s="31">
        <v>0</v>
      </c>
      <c r="AX781" s="31">
        <v>46.89999322847882</v>
      </c>
      <c r="AY781" s="31">
        <v>-46.89999322847882</v>
      </c>
    </row>
    <row r="782" spans="31:51" x14ac:dyDescent="0.25">
      <c r="AE782">
        <v>4.2220000000000004</v>
      </c>
      <c r="AF782">
        <v>4</v>
      </c>
      <c r="AG782">
        <v>2</v>
      </c>
      <c r="AH782">
        <v>2</v>
      </c>
      <c r="AI782">
        <v>3.0000000000291038</v>
      </c>
      <c r="AJ782">
        <v>4.2222300000000006</v>
      </c>
      <c r="AK782">
        <v>4.2221300000000008</v>
      </c>
      <c r="AL782">
        <v>0</v>
      </c>
      <c r="AM782">
        <v>0</v>
      </c>
      <c r="AN782">
        <v>0</v>
      </c>
      <c r="AO782">
        <v>-33.279995194963185</v>
      </c>
      <c r="AP782">
        <v>0</v>
      </c>
      <c r="AQ782">
        <v>0</v>
      </c>
      <c r="AR782" t="str">
        <v>32193r1.par</v>
      </c>
      <c r="AV782" t="str">
        <v>91,255,255</v>
      </c>
      <c r="AW782" s="31">
        <v>0</v>
      </c>
      <c r="AX782" s="31">
        <v>33.279995194963185</v>
      </c>
      <c r="AY782" s="31">
        <v>-33.279995194963185</v>
      </c>
    </row>
    <row r="783" spans="31:51" x14ac:dyDescent="0.25">
      <c r="AE783">
        <v>4.2190000000000003</v>
      </c>
      <c r="AF783">
        <v>4</v>
      </c>
      <c r="AG783">
        <v>2</v>
      </c>
      <c r="AH783">
        <v>2</v>
      </c>
      <c r="AI783">
        <v>3.0000000000291038</v>
      </c>
      <c r="AJ783">
        <v>4.2192300000000005</v>
      </c>
      <c r="AK783">
        <v>4.2191300000000007</v>
      </c>
      <c r="AL783">
        <v>0</v>
      </c>
      <c r="AM783">
        <v>0</v>
      </c>
      <c r="AN783">
        <v>0</v>
      </c>
      <c r="AO783">
        <v>-19.649997162891438</v>
      </c>
      <c r="AP783">
        <v>0</v>
      </c>
      <c r="AQ783">
        <v>0</v>
      </c>
      <c r="AR783" t="str">
        <v>32193r1.par</v>
      </c>
      <c r="AV783" t="str">
        <v>91,255,255</v>
      </c>
      <c r="AW783" s="31">
        <v>0</v>
      </c>
      <c r="AX783" s="31">
        <v>19.649997162891438</v>
      </c>
      <c r="AY783" s="31">
        <v>-19.649997162891438</v>
      </c>
    </row>
    <row r="784" spans="31:51" x14ac:dyDescent="0.25">
      <c r="AE784">
        <v>4.2160000000000002</v>
      </c>
      <c r="AF784">
        <v>4</v>
      </c>
      <c r="AG784">
        <v>2</v>
      </c>
      <c r="AH784">
        <v>2</v>
      </c>
      <c r="AI784">
        <v>3.0000000000291038</v>
      </c>
      <c r="AJ784">
        <v>4.2162300000000004</v>
      </c>
      <c r="AK784">
        <v>4.2161300000000006</v>
      </c>
      <c r="AL784">
        <v>0</v>
      </c>
      <c r="AM784">
        <v>0</v>
      </c>
      <c r="AN784">
        <v>0</v>
      </c>
      <c r="AO784">
        <v>-5.8099991611399071</v>
      </c>
      <c r="AP784">
        <v>0</v>
      </c>
      <c r="AQ784">
        <v>0</v>
      </c>
      <c r="AR784" t="str">
        <v>32193r1.par</v>
      </c>
      <c r="AV784" t="str">
        <v>91,255,255</v>
      </c>
      <c r="AW784" s="31">
        <v>0</v>
      </c>
      <c r="AX784" s="31">
        <v>5.8099991611399071</v>
      </c>
      <c r="AY784" s="31">
        <v>-5.8099991611399071</v>
      </c>
    </row>
    <row r="785" spans="31:51" x14ac:dyDescent="0.25">
      <c r="AE785">
        <v>4.1399999999999997</v>
      </c>
      <c r="AF785">
        <v>4</v>
      </c>
      <c r="AG785">
        <v>1</v>
      </c>
      <c r="AH785">
        <v>2</v>
      </c>
      <c r="AI785">
        <v>2.9999999999563443</v>
      </c>
      <c r="AJ785">
        <v>4.1402299999999999</v>
      </c>
      <c r="AK785">
        <v>4.1401300000000001</v>
      </c>
      <c r="AL785">
        <v>0</v>
      </c>
      <c r="AM785">
        <v>0</v>
      </c>
      <c r="AN785">
        <v>0</v>
      </c>
      <c r="AO785">
        <v>-87.999987294373838</v>
      </c>
      <c r="AP785">
        <v>0</v>
      </c>
      <c r="AQ785">
        <v>0</v>
      </c>
      <c r="AR785" t="str">
        <v>1613.par</v>
      </c>
      <c r="AV785" t="str">
        <v>0,204,204</v>
      </c>
      <c r="AW785" s="31">
        <v>0</v>
      </c>
      <c r="AX785" s="31">
        <v>87.999987294373838</v>
      </c>
      <c r="AY785" s="31">
        <v>-87.999987294373838</v>
      </c>
    </row>
    <row r="786" spans="31:51" x14ac:dyDescent="0.25">
      <c r="AE786">
        <v>4.1369999999999996</v>
      </c>
      <c r="AF786">
        <v>4</v>
      </c>
      <c r="AG786">
        <v>1</v>
      </c>
      <c r="AH786">
        <v>2</v>
      </c>
      <c r="AI786">
        <v>2.9999999999563443</v>
      </c>
      <c r="AJ786">
        <v>4.1372299999999997</v>
      </c>
      <c r="AK786">
        <v>4.13713</v>
      </c>
      <c r="AL786">
        <v>0</v>
      </c>
      <c r="AM786">
        <v>0</v>
      </c>
      <c r="AN786">
        <v>0</v>
      </c>
      <c r="AO786">
        <v>-85.999987583138065</v>
      </c>
      <c r="AP786">
        <v>0</v>
      </c>
      <c r="AQ786">
        <v>0</v>
      </c>
      <c r="AR786" t="str">
        <v>1613.par</v>
      </c>
      <c r="AV786" t="str">
        <v>0,204,204</v>
      </c>
      <c r="AW786" s="31">
        <v>0</v>
      </c>
      <c r="AX786" s="31">
        <v>85.999987583138065</v>
      </c>
      <c r="AY786" s="31">
        <v>-85.999987583138065</v>
      </c>
    </row>
    <row r="787" spans="31:51" x14ac:dyDescent="0.25">
      <c r="AE787">
        <v>4.1340000000000003</v>
      </c>
      <c r="AF787">
        <v>4</v>
      </c>
      <c r="AG787">
        <v>1</v>
      </c>
      <c r="AH787">
        <v>2</v>
      </c>
      <c r="AI787">
        <v>3.0000000000291038</v>
      </c>
      <c r="AJ787">
        <v>4.1342300000000005</v>
      </c>
      <c r="AK787">
        <v>4.1341300000000007</v>
      </c>
      <c r="AL787">
        <v>0</v>
      </c>
      <c r="AM787">
        <v>0</v>
      </c>
      <c r="AN787">
        <v>0</v>
      </c>
      <c r="AO787">
        <v>-80.099988434992554</v>
      </c>
      <c r="AP787">
        <v>0</v>
      </c>
      <c r="AQ787">
        <v>0</v>
      </c>
      <c r="AR787" t="str">
        <v>1613.par</v>
      </c>
      <c r="AV787" t="str">
        <v>0,204,204</v>
      </c>
      <c r="AW787" s="31">
        <v>0</v>
      </c>
      <c r="AX787" s="31">
        <v>80.099988434992554</v>
      </c>
      <c r="AY787" s="31">
        <v>-80.099988434992554</v>
      </c>
    </row>
    <row r="788" spans="31:51" x14ac:dyDescent="0.25">
      <c r="AE788">
        <v>4.1310000000000002</v>
      </c>
      <c r="AF788">
        <v>4</v>
      </c>
      <c r="AG788">
        <v>1</v>
      </c>
      <c r="AH788">
        <v>2</v>
      </c>
      <c r="AI788">
        <v>3.0000000000291038</v>
      </c>
      <c r="AJ788">
        <v>4.1312300000000004</v>
      </c>
      <c r="AK788">
        <v>4.1311300000000006</v>
      </c>
      <c r="AL788">
        <v>0</v>
      </c>
      <c r="AM788">
        <v>0</v>
      </c>
      <c r="AN788">
        <v>0</v>
      </c>
      <c r="AO788">
        <v>-74.099989301285248</v>
      </c>
      <c r="AP788">
        <v>0</v>
      </c>
      <c r="AQ788">
        <v>0</v>
      </c>
      <c r="AR788" t="str">
        <v>1613.par</v>
      </c>
      <c r="AV788" t="str">
        <v>0,204,204</v>
      </c>
      <c r="AW788" s="31">
        <v>0</v>
      </c>
      <c r="AX788" s="31">
        <v>74.099989301285248</v>
      </c>
      <c r="AY788" s="31">
        <v>-74.099989301285248</v>
      </c>
    </row>
    <row r="789" spans="31:51" x14ac:dyDescent="0.25">
      <c r="AE789">
        <v>4.1280000000000001</v>
      </c>
      <c r="AF789">
        <v>4</v>
      </c>
      <c r="AG789">
        <v>1</v>
      </c>
      <c r="AH789">
        <v>2</v>
      </c>
      <c r="AI789">
        <v>3.0000000000291038</v>
      </c>
      <c r="AJ789">
        <v>4.1282300000000003</v>
      </c>
      <c r="AK789">
        <v>4.1281300000000005</v>
      </c>
      <c r="AL789">
        <v>0</v>
      </c>
      <c r="AM789">
        <v>0</v>
      </c>
      <c r="AN789">
        <v>0</v>
      </c>
      <c r="AO789">
        <v>-62.499990976117786</v>
      </c>
      <c r="AP789">
        <v>0</v>
      </c>
      <c r="AQ789">
        <v>0</v>
      </c>
      <c r="AR789" t="str">
        <v>1613.par</v>
      </c>
      <c r="AV789" t="str">
        <v>0,204,204</v>
      </c>
      <c r="AW789" s="31">
        <v>0</v>
      </c>
      <c r="AX789" s="31">
        <v>62.499990976117786</v>
      </c>
      <c r="AY789" s="31">
        <v>-62.499990976117786</v>
      </c>
    </row>
    <row r="790" spans="31:51" x14ac:dyDescent="0.25">
      <c r="AE790">
        <v>4.125</v>
      </c>
      <c r="AF790">
        <v>4</v>
      </c>
      <c r="AG790">
        <v>1</v>
      </c>
      <c r="AH790">
        <v>2</v>
      </c>
      <c r="AI790">
        <v>3.0000000000291038</v>
      </c>
      <c r="AJ790">
        <v>4.1252300000000002</v>
      </c>
      <c r="AK790">
        <v>4.1251300000000004</v>
      </c>
      <c r="AL790">
        <v>0</v>
      </c>
      <c r="AM790">
        <v>0</v>
      </c>
      <c r="AN790">
        <v>0</v>
      </c>
      <c r="AO790">
        <v>-50.699992679826764</v>
      </c>
      <c r="AP790">
        <v>0</v>
      </c>
      <c r="AQ790">
        <v>0</v>
      </c>
      <c r="AR790" t="str">
        <v>1613.par</v>
      </c>
      <c r="AV790" t="str">
        <v>0,204,204</v>
      </c>
      <c r="AW790" s="31">
        <v>0</v>
      </c>
      <c r="AX790" s="31">
        <v>50.699992679826764</v>
      </c>
      <c r="AY790" s="31">
        <v>-50.699992679826764</v>
      </c>
    </row>
    <row r="791" spans="31:51" x14ac:dyDescent="0.25">
      <c r="AE791">
        <v>4.1219999999999999</v>
      </c>
      <c r="AF791">
        <v>4</v>
      </c>
      <c r="AG791">
        <v>1</v>
      </c>
      <c r="AH791">
        <v>2</v>
      </c>
      <c r="AI791">
        <v>3.0000000000291038</v>
      </c>
      <c r="AJ791">
        <v>4.1222300000000001</v>
      </c>
      <c r="AK791">
        <v>4.1221300000000003</v>
      </c>
      <c r="AL791">
        <v>0</v>
      </c>
      <c r="AM791">
        <v>0</v>
      </c>
      <c r="AN791">
        <v>0</v>
      </c>
      <c r="AO791">
        <v>-38.799994397973919</v>
      </c>
      <c r="AP791">
        <v>0</v>
      </c>
      <c r="AQ791">
        <v>0</v>
      </c>
      <c r="AR791" t="str">
        <v>1613.par</v>
      </c>
      <c r="AV791" t="str">
        <v>0,204,204</v>
      </c>
      <c r="AW791" s="31">
        <v>0</v>
      </c>
      <c r="AX791" s="31">
        <v>38.799994397973919</v>
      </c>
      <c r="AY791" s="31">
        <v>-38.799994397973919</v>
      </c>
    </row>
    <row r="792" spans="31:51" x14ac:dyDescent="0.25">
      <c r="AE792">
        <v>4.1189999999999998</v>
      </c>
      <c r="AF792">
        <v>4</v>
      </c>
      <c r="AG792">
        <v>1</v>
      </c>
      <c r="AH792">
        <v>2</v>
      </c>
      <c r="AI792">
        <v>3.0000000000291038</v>
      </c>
      <c r="AJ792">
        <v>4.1192299999999999</v>
      </c>
      <c r="AK792">
        <v>4.1191300000000002</v>
      </c>
      <c r="AL792">
        <v>0</v>
      </c>
      <c r="AM792">
        <v>0</v>
      </c>
      <c r="AN792">
        <v>0</v>
      </c>
      <c r="AO792">
        <v>-26.999996101682843</v>
      </c>
      <c r="AP792">
        <v>0</v>
      </c>
      <c r="AQ792">
        <v>0</v>
      </c>
      <c r="AR792" t="str">
        <v>1613.par</v>
      </c>
      <c r="AV792" t="str">
        <v>0,204,204</v>
      </c>
      <c r="AW792" s="31">
        <v>0</v>
      </c>
      <c r="AX792" s="31">
        <v>26.999996101682843</v>
      </c>
      <c r="AY792" s="31">
        <v>-26.999996101682843</v>
      </c>
    </row>
    <row r="793" spans="31:51" x14ac:dyDescent="0.25">
      <c r="AE793">
        <v>4.1159999999999997</v>
      </c>
      <c r="AF793">
        <v>4</v>
      </c>
      <c r="AG793">
        <v>1</v>
      </c>
      <c r="AH793">
        <v>2</v>
      </c>
      <c r="AI793">
        <v>2.9999999999563443</v>
      </c>
      <c r="AJ793">
        <v>4.1162299999999998</v>
      </c>
      <c r="AK793">
        <v>4.1161300000000001</v>
      </c>
      <c r="AL793">
        <v>0</v>
      </c>
      <c r="AM793">
        <v>0</v>
      </c>
      <c r="AN793">
        <v>0</v>
      </c>
      <c r="AO793">
        <v>-14.999997834268299</v>
      </c>
      <c r="AP793">
        <v>0</v>
      </c>
      <c r="AQ793">
        <v>0</v>
      </c>
      <c r="AR793" t="str">
        <v>1613.par</v>
      </c>
      <c r="AV793" t="str">
        <v>0,204,204</v>
      </c>
      <c r="AW793" s="31">
        <v>0</v>
      </c>
      <c r="AX793" s="31">
        <v>14.999997834268299</v>
      </c>
      <c r="AY793" s="31">
        <v>-14.999997834268299</v>
      </c>
    </row>
    <row r="794" spans="31:51" x14ac:dyDescent="0.25">
      <c r="AE794">
        <v>4.1130000000000004</v>
      </c>
      <c r="AF794">
        <v>4</v>
      </c>
      <c r="AG794">
        <v>1</v>
      </c>
      <c r="AH794">
        <v>2</v>
      </c>
      <c r="AI794">
        <v>3.0000000000291038</v>
      </c>
      <c r="AJ794">
        <v>4.1132300000000006</v>
      </c>
      <c r="AK794">
        <v>4.1131300000000008</v>
      </c>
      <c r="AL794">
        <v>0</v>
      </c>
      <c r="AM794">
        <v>0</v>
      </c>
      <c r="AN794">
        <v>0</v>
      </c>
      <c r="AO794">
        <v>-3.5999994802242887</v>
      </c>
      <c r="AP794">
        <v>0</v>
      </c>
      <c r="AQ794">
        <v>0</v>
      </c>
      <c r="AR794" t="str">
        <v>1613.par</v>
      </c>
      <c r="AV794" t="str">
        <v>0,204,204</v>
      </c>
      <c r="AW794" s="31">
        <v>0</v>
      </c>
      <c r="AX794" s="31">
        <v>3.5999994802242887</v>
      </c>
      <c r="AY794" s="31">
        <v>-3.5999994802242887</v>
      </c>
    </row>
    <row r="795" spans="31:51" x14ac:dyDescent="0.25">
      <c r="AE795">
        <v>3.2360000000000002</v>
      </c>
      <c r="AF795">
        <v>3</v>
      </c>
      <c r="AG795">
        <v>2</v>
      </c>
      <c r="AH795">
        <v>2</v>
      </c>
      <c r="AI795">
        <v>3.0000000000291038</v>
      </c>
      <c r="AJ795">
        <v>3.2362300000000004</v>
      </c>
      <c r="AK795">
        <v>3.2361300000000002</v>
      </c>
      <c r="AL795">
        <v>0</v>
      </c>
      <c r="AM795">
        <v>0</v>
      </c>
      <c r="AN795">
        <v>0</v>
      </c>
      <c r="AO795">
        <v>-83.029988011952952</v>
      </c>
      <c r="AP795">
        <v>0</v>
      </c>
      <c r="AQ795">
        <v>0</v>
      </c>
      <c r="AR795" t="str">
        <v>32193r1.par</v>
      </c>
      <c r="AV795" t="str">
        <v>97,255,97</v>
      </c>
      <c r="AW795" s="31">
        <v>0</v>
      </c>
      <c r="AX795" s="31">
        <v>83.029988011952952</v>
      </c>
      <c r="AY795" s="31">
        <v>-83.029988011952952</v>
      </c>
    </row>
    <row r="796" spans="31:51" x14ac:dyDescent="0.25">
      <c r="AE796">
        <v>3.2330000000000001</v>
      </c>
      <c r="AF796">
        <v>3</v>
      </c>
      <c r="AG796">
        <v>2</v>
      </c>
      <c r="AH796">
        <v>2</v>
      </c>
      <c r="AI796">
        <v>3.0000000000291038</v>
      </c>
      <c r="AJ796">
        <v>3.2332300000000003</v>
      </c>
      <c r="AK796">
        <v>3.2331300000000001</v>
      </c>
      <c r="AL796">
        <v>0</v>
      </c>
      <c r="AM796">
        <v>0</v>
      </c>
      <c r="AN796">
        <v>0</v>
      </c>
      <c r="AO796">
        <v>-77.369988829155744</v>
      </c>
      <c r="AP796">
        <v>0</v>
      </c>
      <c r="AQ796">
        <v>0</v>
      </c>
      <c r="AR796" t="str">
        <v>32193r1.par</v>
      </c>
      <c r="AV796" t="str">
        <v>97,255,97</v>
      </c>
      <c r="AW796" s="31">
        <v>0</v>
      </c>
      <c r="AX796" s="31">
        <v>77.369988829155744</v>
      </c>
      <c r="AY796" s="31">
        <v>-77.369988829155744</v>
      </c>
    </row>
    <row r="797" spans="31:51" x14ac:dyDescent="0.25">
      <c r="AE797">
        <v>3.23</v>
      </c>
      <c r="AF797">
        <v>3</v>
      </c>
      <c r="AG797">
        <v>2</v>
      </c>
      <c r="AH797">
        <v>2</v>
      </c>
      <c r="AI797">
        <v>3.0000000000291038</v>
      </c>
      <c r="AJ797">
        <v>3.2302300000000002</v>
      </c>
      <c r="AK797">
        <v>3.2301299999999999</v>
      </c>
      <c r="AL797">
        <v>0</v>
      </c>
      <c r="AM797">
        <v>0</v>
      </c>
      <c r="AN797">
        <v>0</v>
      </c>
      <c r="AO797">
        <v>-69.489989966886796</v>
      </c>
      <c r="AP797">
        <v>0</v>
      </c>
      <c r="AQ797">
        <v>0</v>
      </c>
      <c r="AR797" t="str">
        <v>32193r1.par</v>
      </c>
      <c r="AV797" t="str">
        <v>97,255,97</v>
      </c>
      <c r="AW797" s="31">
        <v>0</v>
      </c>
      <c r="AX797" s="31">
        <v>69.489989966886796</v>
      </c>
      <c r="AY797" s="31">
        <v>-69.489989966886796</v>
      </c>
    </row>
    <row r="798" spans="31:51" x14ac:dyDescent="0.25">
      <c r="AE798">
        <v>3.2269999999999999</v>
      </c>
      <c r="AF798">
        <v>3</v>
      </c>
      <c r="AG798">
        <v>2</v>
      </c>
      <c r="AH798">
        <v>2</v>
      </c>
      <c r="AI798">
        <v>2.999999999992724</v>
      </c>
      <c r="AJ798">
        <v>3.22723</v>
      </c>
      <c r="AK798">
        <v>3.2271299999999998</v>
      </c>
      <c r="AL798">
        <v>0</v>
      </c>
      <c r="AM798">
        <v>0</v>
      </c>
      <c r="AN798">
        <v>0</v>
      </c>
      <c r="AO798">
        <v>-55.989991916045376</v>
      </c>
      <c r="AP798">
        <v>0</v>
      </c>
      <c r="AQ798">
        <v>0</v>
      </c>
      <c r="AR798" t="str">
        <v>32193r1.par</v>
      </c>
      <c r="AV798" t="str">
        <v>97,255,97</v>
      </c>
      <c r="AW798" s="31">
        <v>0</v>
      </c>
      <c r="AX798" s="31">
        <v>55.989991916045376</v>
      </c>
      <c r="AY798" s="31">
        <v>-55.989991916045376</v>
      </c>
    </row>
    <row r="799" spans="31:51" x14ac:dyDescent="0.25">
      <c r="AE799">
        <v>3.2240000000000002</v>
      </c>
      <c r="AF799">
        <v>3</v>
      </c>
      <c r="AG799">
        <v>2</v>
      </c>
      <c r="AH799">
        <v>2</v>
      </c>
      <c r="AI799">
        <v>3.0000000000291038</v>
      </c>
      <c r="AJ799">
        <v>3.2242300000000004</v>
      </c>
      <c r="AK799">
        <v>3.2241300000000002</v>
      </c>
      <c r="AL799">
        <v>0</v>
      </c>
      <c r="AM799">
        <v>0</v>
      </c>
      <c r="AN799">
        <v>0</v>
      </c>
      <c r="AO799">
        <v>-42.359993883973594</v>
      </c>
      <c r="AP799">
        <v>0</v>
      </c>
      <c r="AQ799">
        <v>0</v>
      </c>
      <c r="AR799" t="str">
        <v>32193r1.par</v>
      </c>
      <c r="AV799" t="str">
        <v>97,255,97</v>
      </c>
      <c r="AW799" s="31">
        <v>0</v>
      </c>
      <c r="AX799" s="31">
        <v>42.359993883973594</v>
      </c>
      <c r="AY799" s="31">
        <v>-42.359993883973594</v>
      </c>
    </row>
    <row r="800" spans="31:51" x14ac:dyDescent="0.25">
      <c r="AE800">
        <v>3.2210000000000001</v>
      </c>
      <c r="AF800">
        <v>3</v>
      </c>
      <c r="AG800">
        <v>2</v>
      </c>
      <c r="AH800">
        <v>2</v>
      </c>
      <c r="AI800">
        <v>3.0000000000291038</v>
      </c>
      <c r="AJ800">
        <v>3.2212300000000003</v>
      </c>
      <c r="AK800">
        <v>3.22113</v>
      </c>
      <c r="AL800">
        <v>0</v>
      </c>
      <c r="AM800">
        <v>0</v>
      </c>
      <c r="AN800">
        <v>0</v>
      </c>
      <c r="AO800">
        <v>-28.739995850458001</v>
      </c>
      <c r="AP800">
        <v>0</v>
      </c>
      <c r="AQ800">
        <v>0</v>
      </c>
      <c r="AR800" t="str">
        <v>32193r1.par</v>
      </c>
      <c r="AV800" t="str">
        <v>97,255,97</v>
      </c>
      <c r="AW800" s="31">
        <v>0</v>
      </c>
      <c r="AX800" s="31">
        <v>28.739995850458001</v>
      </c>
      <c r="AY800" s="31">
        <v>-28.739995850458001</v>
      </c>
    </row>
    <row r="801" spans="31:51" x14ac:dyDescent="0.25">
      <c r="AE801">
        <v>3.218</v>
      </c>
      <c r="AF801">
        <v>3</v>
      </c>
      <c r="AG801">
        <v>2</v>
      </c>
      <c r="AH801">
        <v>2</v>
      </c>
      <c r="AI801">
        <v>3.0000000000291038</v>
      </c>
      <c r="AJ801">
        <v>3.2182300000000001</v>
      </c>
      <c r="AK801">
        <v>3.2181299999999999</v>
      </c>
      <c r="AL801">
        <v>0</v>
      </c>
      <c r="AM801">
        <v>0</v>
      </c>
      <c r="AN801">
        <v>0</v>
      </c>
      <c r="AO801">
        <v>-15.039997828492986</v>
      </c>
      <c r="AP801">
        <v>0</v>
      </c>
      <c r="AQ801">
        <v>0</v>
      </c>
      <c r="AR801" t="str">
        <v>32193r1.par</v>
      </c>
      <c r="AV801" t="str">
        <v>97,255,97</v>
      </c>
      <c r="AW801" s="31">
        <v>0</v>
      </c>
      <c r="AX801" s="31">
        <v>15.039997828492986</v>
      </c>
      <c r="AY801" s="31">
        <v>-15.039997828492986</v>
      </c>
    </row>
    <row r="802" spans="31:51" x14ac:dyDescent="0.25">
      <c r="AE802">
        <v>3.2149999999999999</v>
      </c>
      <c r="AF802">
        <v>3</v>
      </c>
      <c r="AG802">
        <v>2</v>
      </c>
      <c r="AH802">
        <v>2</v>
      </c>
      <c r="AI802">
        <v>2.999999999992724</v>
      </c>
      <c r="AJ802">
        <v>3.21523</v>
      </c>
      <c r="AK802">
        <v>3.2151299999999998</v>
      </c>
      <c r="AL802">
        <v>0</v>
      </c>
      <c r="AM802">
        <v>0</v>
      </c>
      <c r="AN802">
        <v>0</v>
      </c>
      <c r="AO802">
        <v>-1.3999997978650411</v>
      </c>
      <c r="AP802">
        <v>0</v>
      </c>
      <c r="AQ802">
        <v>0</v>
      </c>
      <c r="AR802" t="str">
        <v>32193r1.par</v>
      </c>
      <c r="AV802" t="str">
        <v>97,255,97</v>
      </c>
      <c r="AW802" s="31">
        <v>0</v>
      </c>
      <c r="AX802" s="31">
        <v>1.3999997978650411</v>
      </c>
      <c r="AY802" s="31">
        <v>-1.3999997978650411</v>
      </c>
    </row>
    <row r="803" spans="31:51" x14ac:dyDescent="0.25">
      <c r="AE803">
        <v>3.1389999999999998</v>
      </c>
      <c r="AF803">
        <v>3</v>
      </c>
      <c r="AG803">
        <v>1</v>
      </c>
      <c r="AH803">
        <v>2</v>
      </c>
      <c r="AI803">
        <v>2.999999999992724</v>
      </c>
      <c r="AJ803">
        <v>3.13923</v>
      </c>
      <c r="AK803">
        <v>3.1391299999999998</v>
      </c>
      <c r="AL803">
        <v>0</v>
      </c>
      <c r="AM803">
        <v>0</v>
      </c>
      <c r="AN803">
        <v>0</v>
      </c>
      <c r="AO803">
        <v>-87.999987294373838</v>
      </c>
      <c r="AP803">
        <v>0</v>
      </c>
      <c r="AQ803">
        <v>0</v>
      </c>
      <c r="AR803" t="str">
        <v>1613.par</v>
      </c>
      <c r="AV803" t="str">
        <v>0,204,0</v>
      </c>
      <c r="AW803" s="31">
        <v>0</v>
      </c>
      <c r="AX803" s="31">
        <v>87.999987294373838</v>
      </c>
      <c r="AY803" s="31">
        <v>-87.999987294373838</v>
      </c>
    </row>
    <row r="804" spans="31:51" x14ac:dyDescent="0.25">
      <c r="AE804">
        <v>3.1360000000000001</v>
      </c>
      <c r="AF804">
        <v>3</v>
      </c>
      <c r="AG804">
        <v>1</v>
      </c>
      <c r="AH804">
        <v>2</v>
      </c>
      <c r="AI804">
        <v>3.0000000000291038</v>
      </c>
      <c r="AJ804">
        <v>3.1362300000000003</v>
      </c>
      <c r="AK804">
        <v>3.1361300000000001</v>
      </c>
      <c r="AL804">
        <v>0</v>
      </c>
      <c r="AM804">
        <v>0</v>
      </c>
      <c r="AN804">
        <v>0</v>
      </c>
      <c r="AO804">
        <v>-83.99998787190232</v>
      </c>
      <c r="AP804">
        <v>0</v>
      </c>
      <c r="AQ804">
        <v>0</v>
      </c>
      <c r="AR804" t="str">
        <v>1613.par</v>
      </c>
      <c r="AV804" t="str">
        <v>0,204,0</v>
      </c>
      <c r="AW804" s="31">
        <v>0</v>
      </c>
      <c r="AX804" s="31">
        <v>83.99998787190232</v>
      </c>
      <c r="AY804" s="31">
        <v>-83.99998787190232</v>
      </c>
    </row>
    <row r="805" spans="31:51" x14ac:dyDescent="0.25">
      <c r="AE805">
        <v>3.133</v>
      </c>
      <c r="AF805">
        <v>3</v>
      </c>
      <c r="AG805">
        <v>1</v>
      </c>
      <c r="AH805">
        <v>2</v>
      </c>
      <c r="AI805">
        <v>3.0000000000291038</v>
      </c>
      <c r="AJ805">
        <v>3.1332300000000002</v>
      </c>
      <c r="AK805">
        <v>3.13313</v>
      </c>
      <c r="AL805">
        <v>0</v>
      </c>
      <c r="AM805">
        <v>0</v>
      </c>
      <c r="AN805">
        <v>0</v>
      </c>
      <c r="AO805">
        <v>-78.099988723756752</v>
      </c>
      <c r="AP805">
        <v>0</v>
      </c>
      <c r="AQ805">
        <v>0</v>
      </c>
      <c r="AR805" t="str">
        <v>1613.par</v>
      </c>
      <c r="AV805" t="str">
        <v>0,204,0</v>
      </c>
      <c r="AW805" s="31">
        <v>0</v>
      </c>
      <c r="AX805" s="31">
        <v>78.099988723756752</v>
      </c>
      <c r="AY805" s="31">
        <v>-78.099988723756752</v>
      </c>
    </row>
    <row r="806" spans="31:51" x14ac:dyDescent="0.25">
      <c r="AE806">
        <v>3.13</v>
      </c>
      <c r="AF806">
        <v>3</v>
      </c>
      <c r="AG806">
        <v>1</v>
      </c>
      <c r="AH806">
        <v>2</v>
      </c>
      <c r="AI806">
        <v>2.999999999992724</v>
      </c>
      <c r="AJ806">
        <v>3.1302300000000001</v>
      </c>
      <c r="AK806">
        <v>3.1301299999999999</v>
      </c>
      <c r="AL806">
        <v>0</v>
      </c>
      <c r="AM806">
        <v>0</v>
      </c>
      <c r="AN806">
        <v>0</v>
      </c>
      <c r="AO806">
        <v>-70.19998986437551</v>
      </c>
      <c r="AP806">
        <v>0</v>
      </c>
      <c r="AQ806">
        <v>0</v>
      </c>
      <c r="AR806" t="str">
        <v>1613.par</v>
      </c>
      <c r="AV806" t="str">
        <v>0,204,0</v>
      </c>
      <c r="AW806" s="31">
        <v>0</v>
      </c>
      <c r="AX806" s="31">
        <v>70.19998986437551</v>
      </c>
      <c r="AY806" s="31">
        <v>-70.19998986437551</v>
      </c>
    </row>
    <row r="807" spans="31:51" x14ac:dyDescent="0.25">
      <c r="AE807">
        <v>3.1269999999999998</v>
      </c>
      <c r="AF807">
        <v>3</v>
      </c>
      <c r="AG807">
        <v>1</v>
      </c>
      <c r="AH807">
        <v>2</v>
      </c>
      <c r="AI807">
        <v>2.999999999992724</v>
      </c>
      <c r="AJ807">
        <v>3.12723</v>
      </c>
      <c r="AK807">
        <v>3.1271299999999997</v>
      </c>
      <c r="AL807">
        <v>0</v>
      </c>
      <c r="AM807">
        <v>0</v>
      </c>
      <c r="AN807">
        <v>0</v>
      </c>
      <c r="AO807">
        <v>-58.499991553646254</v>
      </c>
      <c r="AP807">
        <v>0</v>
      </c>
      <c r="AQ807">
        <v>0</v>
      </c>
      <c r="AR807" t="str">
        <v>1613.par</v>
      </c>
      <c r="AV807" t="str">
        <v>0,204,0</v>
      </c>
      <c r="AW807" s="31">
        <v>0</v>
      </c>
      <c r="AX807" s="31">
        <v>58.499991553646254</v>
      </c>
      <c r="AY807" s="31">
        <v>-58.499991553646254</v>
      </c>
    </row>
    <row r="808" spans="31:51" x14ac:dyDescent="0.25">
      <c r="AE808">
        <v>3.1240000000000001</v>
      </c>
      <c r="AF808">
        <v>3</v>
      </c>
      <c r="AG808">
        <v>1</v>
      </c>
      <c r="AH808">
        <v>2</v>
      </c>
      <c r="AI808">
        <v>3.0000000000291038</v>
      </c>
      <c r="AJ808">
        <v>3.1242300000000003</v>
      </c>
      <c r="AK808">
        <v>3.1241300000000001</v>
      </c>
      <c r="AL808">
        <v>0</v>
      </c>
      <c r="AM808">
        <v>0</v>
      </c>
      <c r="AN808">
        <v>0</v>
      </c>
      <c r="AO808">
        <v>-46.699993257355175</v>
      </c>
      <c r="AP808">
        <v>0</v>
      </c>
      <c r="AQ808">
        <v>0</v>
      </c>
      <c r="AR808" t="str">
        <v>1613.par</v>
      </c>
      <c r="AV808" t="str">
        <v>0,204,0</v>
      </c>
      <c r="AW808" s="31">
        <v>0</v>
      </c>
      <c r="AX808" s="31">
        <v>46.699993257355175</v>
      </c>
      <c r="AY808" s="31">
        <v>-46.699993257355175</v>
      </c>
    </row>
    <row r="809" spans="31:51" x14ac:dyDescent="0.25">
      <c r="AE809">
        <v>3.121</v>
      </c>
      <c r="AF809">
        <v>3</v>
      </c>
      <c r="AG809">
        <v>1</v>
      </c>
      <c r="AH809">
        <v>2</v>
      </c>
      <c r="AI809">
        <v>3.0000000000291038</v>
      </c>
      <c r="AJ809">
        <v>3.1212300000000002</v>
      </c>
      <c r="AK809">
        <v>3.12113</v>
      </c>
      <c r="AL809">
        <v>0</v>
      </c>
      <c r="AM809">
        <v>0</v>
      </c>
      <c r="AN809">
        <v>0</v>
      </c>
      <c r="AO809">
        <v>-34.899994961064216</v>
      </c>
      <c r="AP809">
        <v>0</v>
      </c>
      <c r="AQ809">
        <v>0</v>
      </c>
      <c r="AR809" t="str">
        <v>1613.par</v>
      </c>
      <c r="AV809" t="str">
        <v>0,204,0</v>
      </c>
      <c r="AW809" s="31">
        <v>0</v>
      </c>
      <c r="AX809" s="31">
        <v>34.899994961064216</v>
      </c>
      <c r="AY809" s="31">
        <v>-34.899994961064216</v>
      </c>
    </row>
    <row r="810" spans="31:51" x14ac:dyDescent="0.25">
      <c r="AE810">
        <v>3.1179999999999999</v>
      </c>
      <c r="AF810">
        <v>3</v>
      </c>
      <c r="AG810">
        <v>1</v>
      </c>
      <c r="AH810">
        <v>2</v>
      </c>
      <c r="AI810">
        <v>2.999999999992724</v>
      </c>
      <c r="AJ810">
        <v>3.1182300000000001</v>
      </c>
      <c r="AK810">
        <v>3.1181299999999998</v>
      </c>
      <c r="AL810">
        <v>0</v>
      </c>
      <c r="AM810">
        <v>0</v>
      </c>
      <c r="AN810">
        <v>0</v>
      </c>
      <c r="AO810">
        <v>-22.999996679211449</v>
      </c>
      <c r="AP810">
        <v>0</v>
      </c>
      <c r="AQ810">
        <v>0</v>
      </c>
      <c r="AR810" t="str">
        <v>1613.par</v>
      </c>
      <c r="AV810" t="str">
        <v>0,204,0</v>
      </c>
      <c r="AW810" s="31">
        <v>0</v>
      </c>
      <c r="AX810" s="31">
        <v>22.999996679211449</v>
      </c>
      <c r="AY810" s="31">
        <v>-22.999996679211449</v>
      </c>
    </row>
    <row r="811" spans="31:51" x14ac:dyDescent="0.25">
      <c r="AE811">
        <v>3.1150000000000002</v>
      </c>
      <c r="AF811">
        <v>3</v>
      </c>
      <c r="AG811">
        <v>1</v>
      </c>
      <c r="AH811">
        <v>2</v>
      </c>
      <c r="AI811">
        <v>3.0000000000291038</v>
      </c>
      <c r="AJ811">
        <v>3.1152300000000004</v>
      </c>
      <c r="AK811">
        <v>3.1151300000000002</v>
      </c>
      <c r="AL811">
        <v>0</v>
      </c>
      <c r="AM811">
        <v>0</v>
      </c>
      <c r="AN811">
        <v>0</v>
      </c>
      <c r="AO811">
        <v>-11.199998382920322</v>
      </c>
      <c r="AP811">
        <v>0</v>
      </c>
      <c r="AQ811">
        <v>0</v>
      </c>
      <c r="AR811" t="str">
        <v>1613.par</v>
      </c>
      <c r="AV811" t="str">
        <v>0,204,0</v>
      </c>
      <c r="AW811" s="31">
        <v>0</v>
      </c>
      <c r="AX811" s="31">
        <v>11.199998382920322</v>
      </c>
      <c r="AY811" s="31">
        <v>-11.199998382920322</v>
      </c>
    </row>
    <row r="812" spans="31:51" x14ac:dyDescent="0.25">
      <c r="AE812">
        <v>3.1120000000000001</v>
      </c>
      <c r="AF812">
        <v>3</v>
      </c>
      <c r="AG812">
        <v>1</v>
      </c>
      <c r="AH812">
        <v>2</v>
      </c>
      <c r="AI812">
        <v>3.0000000000291038</v>
      </c>
      <c r="AJ812">
        <v>3.1122300000000003</v>
      </c>
      <c r="AK812">
        <v>3.1121300000000001</v>
      </c>
      <c r="AL812">
        <v>0</v>
      </c>
      <c r="AM812">
        <v>0</v>
      </c>
      <c r="AN812">
        <v>0</v>
      </c>
      <c r="AO812">
        <v>0.39999994224709218</v>
      </c>
      <c r="AP812">
        <v>0</v>
      </c>
      <c r="AQ812">
        <v>0</v>
      </c>
      <c r="AR812" t="str">
        <v>1613.par</v>
      </c>
      <c r="AV812" t="str">
        <v>0,204,0</v>
      </c>
      <c r="AW812" s="31">
        <v>0</v>
      </c>
      <c r="AX812" s="31">
        <v>-0.39999994224709218</v>
      </c>
      <c r="AY812" s="31">
        <v>0.39999994224709218</v>
      </c>
    </row>
    <row r="813" spans="31:51" x14ac:dyDescent="0.25">
      <c r="AE813">
        <v>3.109</v>
      </c>
      <c r="AF813">
        <v>3</v>
      </c>
      <c r="AG813">
        <v>1</v>
      </c>
      <c r="AH813">
        <v>2</v>
      </c>
      <c r="AI813">
        <v>3.0000000000291038</v>
      </c>
      <c r="AJ813">
        <v>3.1092300000000002</v>
      </c>
      <c r="AK813">
        <v>3.1091299999999999</v>
      </c>
      <c r="AL813">
        <v>0</v>
      </c>
      <c r="AM813">
        <v>0</v>
      </c>
      <c r="AN813">
        <v>0</v>
      </c>
      <c r="AO813">
        <v>2.999999566853591</v>
      </c>
      <c r="AP813">
        <v>0</v>
      </c>
      <c r="AQ813">
        <v>0</v>
      </c>
      <c r="AR813" t="str">
        <v>1613.par</v>
      </c>
      <c r="AV813" t="str">
        <v>0,204,0</v>
      </c>
      <c r="AW813" s="31">
        <v>0</v>
      </c>
      <c r="AX813" s="31">
        <v>-2.999999566853591</v>
      </c>
      <c r="AY813" s="31">
        <v>2.999999566853591</v>
      </c>
    </row>
    <row r="814" spans="31:51" x14ac:dyDescent="0.25">
      <c r="AE814">
        <v>3.1059999999999999</v>
      </c>
      <c r="AF814">
        <v>3</v>
      </c>
      <c r="AG814">
        <v>1</v>
      </c>
      <c r="AH814">
        <v>2</v>
      </c>
      <c r="AI814">
        <v>2.999999999992724</v>
      </c>
      <c r="AJ814">
        <v>3.10623</v>
      </c>
      <c r="AK814">
        <v>3.1061299999999998</v>
      </c>
      <c r="AL814">
        <v>0</v>
      </c>
      <c r="AM814">
        <v>0</v>
      </c>
      <c r="AN814">
        <v>0</v>
      </c>
      <c r="AO814">
        <v>2.9999995668536275</v>
      </c>
      <c r="AP814">
        <v>0</v>
      </c>
      <c r="AQ814">
        <v>0</v>
      </c>
      <c r="AR814" t="str">
        <v>1613.par</v>
      </c>
      <c r="AV814" t="str">
        <v>0,204,0</v>
      </c>
      <c r="AW814" s="31">
        <v>0</v>
      </c>
      <c r="AX814" s="31">
        <v>-2.9999995668536275</v>
      </c>
      <c r="AY814" s="31">
        <v>2.9999995668536275</v>
      </c>
    </row>
    <row r="815" spans="31:51" x14ac:dyDescent="0.25">
      <c r="AE815">
        <v>3.1030000000000002</v>
      </c>
      <c r="AF815">
        <v>3</v>
      </c>
      <c r="AG815">
        <v>1</v>
      </c>
      <c r="AH815">
        <v>2</v>
      </c>
      <c r="AI815">
        <v>3.0000000000291038</v>
      </c>
      <c r="AJ815">
        <v>3.1032300000000004</v>
      </c>
      <c r="AK815">
        <v>3.1031300000000002</v>
      </c>
      <c r="AL815">
        <v>0</v>
      </c>
      <c r="AM815">
        <v>0</v>
      </c>
      <c r="AN815">
        <v>0</v>
      </c>
      <c r="AO815">
        <v>3.999999422471531</v>
      </c>
      <c r="AP815">
        <v>0</v>
      </c>
      <c r="AQ815">
        <v>0</v>
      </c>
      <c r="AR815" t="str">
        <v>1613.par</v>
      </c>
      <c r="AV815" t="str">
        <v>0,204,0</v>
      </c>
      <c r="AW815" s="31">
        <v>0</v>
      </c>
      <c r="AX815" s="31">
        <v>-3.999999422471531</v>
      </c>
      <c r="AY815" s="31">
        <v>3.999999422471531</v>
      </c>
    </row>
    <row r="816" spans="31:51" x14ac:dyDescent="0.25">
      <c r="AE816">
        <v>2.2349999999999999</v>
      </c>
      <c r="AF816">
        <v>2</v>
      </c>
      <c r="AG816">
        <v>2</v>
      </c>
      <c r="AH816">
        <v>2</v>
      </c>
      <c r="AI816">
        <v>2.999999999992724</v>
      </c>
      <c r="AJ816">
        <v>2.2352300000000001</v>
      </c>
      <c r="AK816">
        <v>2.2351299999999998</v>
      </c>
      <c r="AL816">
        <v>0</v>
      </c>
      <c r="AM816">
        <v>0</v>
      </c>
      <c r="AN816">
        <v>0</v>
      </c>
      <c r="AO816">
        <v>-81.139988284835155</v>
      </c>
      <c r="AP816">
        <v>0</v>
      </c>
      <c r="AQ816">
        <v>0</v>
      </c>
      <c r="AR816" t="str">
        <v>32193r1.par</v>
      </c>
      <c r="AV816" t="str">
        <v>255,255,91</v>
      </c>
      <c r="AW816" s="31">
        <v>0</v>
      </c>
      <c r="AX816" s="31">
        <v>81.139988284835155</v>
      </c>
      <c r="AY816" s="31">
        <v>-81.139988284835155</v>
      </c>
    </row>
    <row r="817" spans="31:51" x14ac:dyDescent="0.25">
      <c r="AE817">
        <v>2.2320000000000002</v>
      </c>
      <c r="AF817">
        <v>2</v>
      </c>
      <c r="AG817">
        <v>2</v>
      </c>
      <c r="AH817">
        <v>2</v>
      </c>
      <c r="AI817">
        <v>3.0000000000291038</v>
      </c>
      <c r="AJ817">
        <v>2.2322300000000004</v>
      </c>
      <c r="AK817">
        <v>2.2321300000000002</v>
      </c>
      <c r="AL817">
        <v>0</v>
      </c>
      <c r="AM817">
        <v>0</v>
      </c>
      <c r="AN817">
        <v>0</v>
      </c>
      <c r="AO817">
        <v>-75.519989096262663</v>
      </c>
      <c r="AP817">
        <v>0</v>
      </c>
      <c r="AQ817">
        <v>0</v>
      </c>
      <c r="AR817" t="str">
        <v>32193r1.par</v>
      </c>
      <c r="AV817" t="str">
        <v>255,255,91</v>
      </c>
      <c r="AW817" s="31">
        <v>0</v>
      </c>
      <c r="AX817" s="31">
        <v>75.519989096262663</v>
      </c>
      <c r="AY817" s="31">
        <v>-75.519989096262663</v>
      </c>
    </row>
    <row r="818" spans="31:51" x14ac:dyDescent="0.25">
      <c r="AE818">
        <v>2.2290000000000001</v>
      </c>
      <c r="AF818">
        <v>2</v>
      </c>
      <c r="AG818">
        <v>2</v>
      </c>
      <c r="AH818">
        <v>2</v>
      </c>
      <c r="AI818">
        <v>3.0000000000291038</v>
      </c>
      <c r="AJ818">
        <v>2.2292300000000003</v>
      </c>
      <c r="AK818">
        <v>2.2291300000000001</v>
      </c>
      <c r="AL818">
        <v>0</v>
      </c>
      <c r="AM818">
        <v>0</v>
      </c>
      <c r="AN818">
        <v>0</v>
      </c>
      <c r="AO818">
        <v>-65.009990613718685</v>
      </c>
      <c r="AP818">
        <v>0</v>
      </c>
      <c r="AQ818">
        <v>0</v>
      </c>
      <c r="AR818" t="str">
        <v>32193r1.par</v>
      </c>
      <c r="AV818" t="str">
        <v>255,255,91</v>
      </c>
      <c r="AW818" s="31">
        <v>0</v>
      </c>
      <c r="AX818" s="31">
        <v>65.009990613718685</v>
      </c>
      <c r="AY818" s="31">
        <v>-65.009990613718685</v>
      </c>
    </row>
    <row r="819" spans="31:51" x14ac:dyDescent="0.25">
      <c r="AE819">
        <v>2.226</v>
      </c>
      <c r="AF819">
        <v>2</v>
      </c>
      <c r="AG819">
        <v>2</v>
      </c>
      <c r="AH819">
        <v>2</v>
      </c>
      <c r="AI819">
        <v>3.0000000000291038</v>
      </c>
      <c r="AJ819">
        <v>2.2262300000000002</v>
      </c>
      <c r="AK819">
        <v>2.2261299999999999</v>
      </c>
      <c r="AL819">
        <v>0</v>
      </c>
      <c r="AM819">
        <v>0</v>
      </c>
      <c r="AN819">
        <v>0</v>
      </c>
      <c r="AO819">
        <v>-51.44999257154015</v>
      </c>
      <c r="AP819">
        <v>0</v>
      </c>
      <c r="AQ819">
        <v>0</v>
      </c>
      <c r="AR819" t="str">
        <v>32193r1.par</v>
      </c>
      <c r="AV819" t="str">
        <v>255,255,91</v>
      </c>
      <c r="AW819" s="31">
        <v>0</v>
      </c>
      <c r="AX819" s="31">
        <v>51.44999257154015</v>
      </c>
      <c r="AY819" s="31">
        <v>-51.44999257154015</v>
      </c>
    </row>
    <row r="820" spans="31:51" x14ac:dyDescent="0.25">
      <c r="AE820">
        <v>2.2229999999999999</v>
      </c>
      <c r="AF820">
        <v>2</v>
      </c>
      <c r="AG820">
        <v>2</v>
      </c>
      <c r="AH820">
        <v>2</v>
      </c>
      <c r="AI820">
        <v>2.999999999992724</v>
      </c>
      <c r="AJ820">
        <v>2.22323</v>
      </c>
      <c r="AK820">
        <v>2.2231299999999998</v>
      </c>
      <c r="AL820">
        <v>0</v>
      </c>
      <c r="AM820">
        <v>0</v>
      </c>
      <c r="AN820">
        <v>0</v>
      </c>
      <c r="AO820">
        <v>-37.819994539468404</v>
      </c>
      <c r="AP820">
        <v>0</v>
      </c>
      <c r="AQ820">
        <v>0</v>
      </c>
      <c r="AR820" t="str">
        <v>32193r1.par</v>
      </c>
      <c r="AV820" t="str">
        <v>255,255,91</v>
      </c>
      <c r="AW820" s="31">
        <v>0</v>
      </c>
      <c r="AX820" s="31">
        <v>37.819994539468404</v>
      </c>
      <c r="AY820" s="31">
        <v>-37.819994539468404</v>
      </c>
    </row>
    <row r="821" spans="31:51" x14ac:dyDescent="0.25">
      <c r="AE821">
        <v>2.2200000000000002</v>
      </c>
      <c r="AF821">
        <v>2</v>
      </c>
      <c r="AG821">
        <v>2</v>
      </c>
      <c r="AH821">
        <v>2</v>
      </c>
      <c r="AI821">
        <v>3.0000000000291038</v>
      </c>
      <c r="AJ821">
        <v>2.2202300000000004</v>
      </c>
      <c r="AK821">
        <v>2.2201300000000002</v>
      </c>
      <c r="AL821">
        <v>0</v>
      </c>
      <c r="AM821">
        <v>0</v>
      </c>
      <c r="AN821">
        <v>0</v>
      </c>
      <c r="AO821">
        <v>-24.199996505952807</v>
      </c>
      <c r="AP821">
        <v>0</v>
      </c>
      <c r="AQ821">
        <v>0</v>
      </c>
      <c r="AR821" t="str">
        <v>32193r1.par</v>
      </c>
      <c r="AV821" t="str">
        <v>255,255,91</v>
      </c>
      <c r="AW821" s="31">
        <v>0</v>
      </c>
      <c r="AX821" s="31">
        <v>24.199996505952807</v>
      </c>
      <c r="AY821" s="31">
        <v>-24.199996505952807</v>
      </c>
    </row>
    <row r="822" spans="31:51" x14ac:dyDescent="0.25">
      <c r="AE822">
        <v>2.2170000000000001</v>
      </c>
      <c r="AF822">
        <v>2</v>
      </c>
      <c r="AG822">
        <v>2</v>
      </c>
      <c r="AH822">
        <v>2</v>
      </c>
      <c r="AI822">
        <v>3.0000000000291038</v>
      </c>
      <c r="AJ822">
        <v>2.2172300000000003</v>
      </c>
      <c r="AK822">
        <v>2.21713</v>
      </c>
      <c r="AL822">
        <v>0</v>
      </c>
      <c r="AM822">
        <v>0</v>
      </c>
      <c r="AN822">
        <v>0</v>
      </c>
      <c r="AO822">
        <v>-10.429998494094541</v>
      </c>
      <c r="AP822">
        <v>0</v>
      </c>
      <c r="AQ822">
        <v>0</v>
      </c>
      <c r="AR822" t="str">
        <v>32193r1.par</v>
      </c>
      <c r="AV822" t="str">
        <v>255,255,91</v>
      </c>
      <c r="AW822" s="31">
        <v>0</v>
      </c>
      <c r="AX822" s="31">
        <v>10.429998494094541</v>
      </c>
      <c r="AY822" s="31">
        <v>-10.429998494094541</v>
      </c>
    </row>
    <row r="823" spans="31:51" x14ac:dyDescent="0.25">
      <c r="AE823">
        <v>2.1379999999999999</v>
      </c>
      <c r="AF823">
        <v>2</v>
      </c>
      <c r="AG823">
        <v>1</v>
      </c>
      <c r="AH823">
        <v>2</v>
      </c>
      <c r="AI823">
        <v>2.999999999992724</v>
      </c>
      <c r="AJ823">
        <v>2.1382300000000001</v>
      </c>
      <c r="AK823">
        <v>2.1381299999999999</v>
      </c>
      <c r="AL823">
        <v>0</v>
      </c>
      <c r="AM823">
        <v>0</v>
      </c>
      <c r="AN823">
        <v>0</v>
      </c>
      <c r="AO823">
        <v>-87.999987294373824</v>
      </c>
      <c r="AP823">
        <v>0</v>
      </c>
      <c r="AQ823">
        <v>0</v>
      </c>
      <c r="AR823" t="str">
        <v>1613.par</v>
      </c>
      <c r="AV823" t="str">
        <v>204,204,0</v>
      </c>
      <c r="AW823" s="31">
        <v>0</v>
      </c>
      <c r="AX823" s="31">
        <v>87.999987294373824</v>
      </c>
      <c r="AY823" s="31">
        <v>-87.999987294373824</v>
      </c>
    </row>
    <row r="824" spans="31:51" x14ac:dyDescent="0.25">
      <c r="AE824">
        <v>2.1349999999999998</v>
      </c>
      <c r="AF824">
        <v>2</v>
      </c>
      <c r="AG824">
        <v>1</v>
      </c>
      <c r="AH824">
        <v>2</v>
      </c>
      <c r="AI824">
        <v>2.999999999992724</v>
      </c>
      <c r="AJ824">
        <v>2.13523</v>
      </c>
      <c r="AK824">
        <v>2.1351299999999998</v>
      </c>
      <c r="AL824">
        <v>0</v>
      </c>
      <c r="AM824">
        <v>0</v>
      </c>
      <c r="AN824">
        <v>0</v>
      </c>
      <c r="AO824">
        <v>-81.999988160666504</v>
      </c>
      <c r="AP824">
        <v>0</v>
      </c>
      <c r="AQ824">
        <v>0</v>
      </c>
      <c r="AR824" t="str">
        <v>1613.par</v>
      </c>
      <c r="AV824" t="str">
        <v>204,204,0</v>
      </c>
      <c r="AW824" s="31">
        <v>0</v>
      </c>
      <c r="AX824" s="31">
        <v>81.999988160666504</v>
      </c>
      <c r="AY824" s="31">
        <v>-81.999988160666504</v>
      </c>
    </row>
    <row r="825" spans="31:51" x14ac:dyDescent="0.25">
      <c r="AE825">
        <v>2.1320000000000001</v>
      </c>
      <c r="AF825">
        <v>2</v>
      </c>
      <c r="AG825">
        <v>1</v>
      </c>
      <c r="AH825">
        <v>2</v>
      </c>
      <c r="AI825">
        <v>3.0000000000291038</v>
      </c>
      <c r="AJ825">
        <v>2.1322300000000003</v>
      </c>
      <c r="AK825">
        <v>2.1321300000000001</v>
      </c>
      <c r="AL825">
        <v>0</v>
      </c>
      <c r="AM825">
        <v>0</v>
      </c>
      <c r="AN825">
        <v>0</v>
      </c>
      <c r="AO825">
        <v>-76.099989012521036</v>
      </c>
      <c r="AP825">
        <v>0</v>
      </c>
      <c r="AQ825">
        <v>0</v>
      </c>
      <c r="AR825" t="str">
        <v>1613.par</v>
      </c>
      <c r="AV825" t="str">
        <v>204,204,0</v>
      </c>
      <c r="AW825" s="31">
        <v>0</v>
      </c>
      <c r="AX825" s="31">
        <v>76.099989012521036</v>
      </c>
      <c r="AY825" s="31">
        <v>-76.099989012521036</v>
      </c>
    </row>
    <row r="826" spans="31:51" x14ac:dyDescent="0.25">
      <c r="AE826">
        <v>2.129</v>
      </c>
      <c r="AF826">
        <v>2</v>
      </c>
      <c r="AG826">
        <v>1</v>
      </c>
      <c r="AH826">
        <v>2</v>
      </c>
      <c r="AI826">
        <v>3.0000000000291038</v>
      </c>
      <c r="AJ826">
        <v>2.1292300000000002</v>
      </c>
      <c r="AK826">
        <v>2.12913</v>
      </c>
      <c r="AL826">
        <v>0</v>
      </c>
      <c r="AM826">
        <v>0</v>
      </c>
      <c r="AN826">
        <v>0</v>
      </c>
      <c r="AO826">
        <v>-66.299990427465758</v>
      </c>
      <c r="AP826">
        <v>0</v>
      </c>
      <c r="AQ826">
        <v>0</v>
      </c>
      <c r="AR826" t="str">
        <v>1613.par</v>
      </c>
      <c r="AV826" t="str">
        <v>204,204,0</v>
      </c>
      <c r="AW826" s="31">
        <v>0</v>
      </c>
      <c r="AX826" s="31">
        <v>66.299990427465758</v>
      </c>
      <c r="AY826" s="31">
        <v>-66.299990427465758</v>
      </c>
    </row>
    <row r="827" spans="31:51" x14ac:dyDescent="0.25">
      <c r="AE827">
        <v>2.1259999999999999</v>
      </c>
      <c r="AF827">
        <v>2</v>
      </c>
      <c r="AG827">
        <v>1</v>
      </c>
      <c r="AH827">
        <v>2</v>
      </c>
      <c r="AI827">
        <v>2.999999999992724</v>
      </c>
      <c r="AJ827">
        <v>2.1262300000000001</v>
      </c>
      <c r="AK827">
        <v>2.1261299999999999</v>
      </c>
      <c r="AL827">
        <v>0</v>
      </c>
      <c r="AM827">
        <v>0</v>
      </c>
      <c r="AN827">
        <v>0</v>
      </c>
      <c r="AO827">
        <v>-54.599992116736487</v>
      </c>
      <c r="AP827">
        <v>0</v>
      </c>
      <c r="AQ827">
        <v>0</v>
      </c>
      <c r="AR827" t="str">
        <v>1613.par</v>
      </c>
      <c r="AV827" t="str">
        <v>204,204,0</v>
      </c>
      <c r="AW827" s="31">
        <v>0</v>
      </c>
      <c r="AX827" s="31">
        <v>54.599992116736487</v>
      </c>
      <c r="AY827" s="31">
        <v>-54.599992116736487</v>
      </c>
    </row>
    <row r="828" spans="31:51" x14ac:dyDescent="0.25">
      <c r="AE828">
        <v>2.1230000000000002</v>
      </c>
      <c r="AF828">
        <v>2</v>
      </c>
      <c r="AG828">
        <v>1</v>
      </c>
      <c r="AH828">
        <v>2</v>
      </c>
      <c r="AI828">
        <v>3.0000000000291038</v>
      </c>
      <c r="AJ828">
        <v>2.1232300000000004</v>
      </c>
      <c r="AK828">
        <v>2.1231300000000002</v>
      </c>
      <c r="AL828">
        <v>0</v>
      </c>
      <c r="AM828">
        <v>0</v>
      </c>
      <c r="AN828">
        <v>0</v>
      </c>
      <c r="AO828">
        <v>-42.799993820445501</v>
      </c>
      <c r="AP828">
        <v>0</v>
      </c>
      <c r="AQ828">
        <v>0</v>
      </c>
      <c r="AR828" t="str">
        <v>1613.par</v>
      </c>
      <c r="AV828" t="str">
        <v>204,204,0</v>
      </c>
      <c r="AW828" s="31">
        <v>0</v>
      </c>
      <c r="AX828" s="31">
        <v>42.799993820445501</v>
      </c>
      <c r="AY828" s="31">
        <v>-42.799993820445501</v>
      </c>
    </row>
    <row r="829" spans="31:51" x14ac:dyDescent="0.25">
      <c r="AE829">
        <v>2.12</v>
      </c>
      <c r="AF829">
        <v>2</v>
      </c>
      <c r="AG829">
        <v>1</v>
      </c>
      <c r="AH829">
        <v>2</v>
      </c>
      <c r="AI829">
        <v>3.0000000000291038</v>
      </c>
      <c r="AJ829">
        <v>2.1202300000000003</v>
      </c>
      <c r="AK829">
        <v>2.1201300000000001</v>
      </c>
      <c r="AL829">
        <v>0</v>
      </c>
      <c r="AM829">
        <v>0</v>
      </c>
      <c r="AN829">
        <v>0</v>
      </c>
      <c r="AO829">
        <v>-31.099995509716226</v>
      </c>
      <c r="AP829">
        <v>0</v>
      </c>
      <c r="AQ829">
        <v>0</v>
      </c>
      <c r="AR829" t="str">
        <v>1613.par</v>
      </c>
      <c r="AV829" t="str">
        <v>204,204,0</v>
      </c>
      <c r="AW829" s="31">
        <v>0</v>
      </c>
      <c r="AX829" s="31">
        <v>31.099995509716226</v>
      </c>
      <c r="AY829" s="31">
        <v>-31.099995509716226</v>
      </c>
    </row>
    <row r="830" spans="31:51" x14ac:dyDescent="0.25">
      <c r="AE830">
        <v>2.117</v>
      </c>
      <c r="AF830">
        <v>2</v>
      </c>
      <c r="AG830">
        <v>1</v>
      </c>
      <c r="AH830">
        <v>2</v>
      </c>
      <c r="AI830">
        <v>3.0000000000291038</v>
      </c>
      <c r="AJ830">
        <v>2.1172300000000002</v>
      </c>
      <c r="AK830">
        <v>2.11713</v>
      </c>
      <c r="AL830">
        <v>0</v>
      </c>
      <c r="AM830">
        <v>0</v>
      </c>
      <c r="AN830">
        <v>0</v>
      </c>
      <c r="AO830">
        <v>-18.999997256739832</v>
      </c>
      <c r="AP830">
        <v>0</v>
      </c>
      <c r="AQ830">
        <v>0</v>
      </c>
      <c r="AR830" t="str">
        <v>1613.par</v>
      </c>
      <c r="AV830" t="str">
        <v>204,204,0</v>
      </c>
      <c r="AW830" s="31">
        <v>0</v>
      </c>
      <c r="AX830" s="31">
        <v>18.999997256739832</v>
      </c>
      <c r="AY830" s="31">
        <v>-18.999997256739832</v>
      </c>
    </row>
    <row r="831" spans="31:51" x14ac:dyDescent="0.25">
      <c r="AE831">
        <v>2.1139999999999999</v>
      </c>
      <c r="AF831">
        <v>2</v>
      </c>
      <c r="AG831">
        <v>1</v>
      </c>
      <c r="AH831">
        <v>2</v>
      </c>
      <c r="AI831">
        <v>2.999999999992724</v>
      </c>
      <c r="AJ831">
        <v>2.1142300000000001</v>
      </c>
      <c r="AK831">
        <v>2.1141299999999998</v>
      </c>
      <c r="AL831">
        <v>0</v>
      </c>
      <c r="AM831">
        <v>0</v>
      </c>
      <c r="AN831">
        <v>0</v>
      </c>
      <c r="AO831">
        <v>-7.3999989315723473</v>
      </c>
      <c r="AP831">
        <v>0</v>
      </c>
      <c r="AQ831">
        <v>0</v>
      </c>
      <c r="AR831" t="str">
        <v>1613.par</v>
      </c>
      <c r="AV831" t="str">
        <v>204,204,0</v>
      </c>
      <c r="AW831" s="31">
        <v>0</v>
      </c>
      <c r="AX831" s="31">
        <v>7.3999989315723473</v>
      </c>
      <c r="AY831" s="31">
        <v>-7.3999989315723473</v>
      </c>
    </row>
    <row r="832" spans="31:51" x14ac:dyDescent="0.25">
      <c r="AE832">
        <v>1.2370000000000001</v>
      </c>
      <c r="AF832">
        <v>1</v>
      </c>
      <c r="AG832">
        <v>2</v>
      </c>
      <c r="AH832">
        <v>2</v>
      </c>
      <c r="AI832">
        <v>3.0000000000109139</v>
      </c>
      <c r="AJ832">
        <v>1.2372300000000001</v>
      </c>
      <c r="AK832">
        <v>1.2371300000000001</v>
      </c>
      <c r="AL832">
        <v>0</v>
      </c>
      <c r="AM832">
        <v>0</v>
      </c>
      <c r="AN832">
        <v>0</v>
      </c>
      <c r="AO832">
        <v>-84.909987740514595</v>
      </c>
      <c r="AP832">
        <v>0</v>
      </c>
      <c r="AQ832">
        <v>0</v>
      </c>
      <c r="AR832" t="str">
        <v>32193r1.par</v>
      </c>
      <c r="AV832" t="str">
        <v>255,188,121</v>
      </c>
      <c r="AW832" s="31">
        <v>0</v>
      </c>
      <c r="AX832" s="31">
        <v>84.909987740514595</v>
      </c>
      <c r="AY832" s="31">
        <v>-84.909987740514595</v>
      </c>
    </row>
    <row r="833" spans="31:51" x14ac:dyDescent="0.25">
      <c r="AE833">
        <v>1.234</v>
      </c>
      <c r="AF833">
        <v>1</v>
      </c>
      <c r="AG833">
        <v>2</v>
      </c>
      <c r="AH833">
        <v>2</v>
      </c>
      <c r="AI833">
        <v>2.999999999992724</v>
      </c>
      <c r="AJ833">
        <v>1.2342299999999999</v>
      </c>
      <c r="AK833">
        <v>1.2341299999999999</v>
      </c>
      <c r="AL833">
        <v>0</v>
      </c>
      <c r="AM833">
        <v>0</v>
      </c>
      <c r="AN833">
        <v>0</v>
      </c>
      <c r="AO833">
        <v>-79.239988559161176</v>
      </c>
      <c r="AP833">
        <v>0</v>
      </c>
      <c r="AQ833">
        <v>0</v>
      </c>
      <c r="AR833" t="str">
        <v>32193r1.par</v>
      </c>
      <c r="AV833" t="str">
        <v>255,188,121</v>
      </c>
      <c r="AW833" s="31">
        <v>0</v>
      </c>
      <c r="AX833" s="31">
        <v>79.239988559161176</v>
      </c>
      <c r="AY833" s="31">
        <v>-79.239988559161176</v>
      </c>
    </row>
    <row r="834" spans="31:51" x14ac:dyDescent="0.25">
      <c r="AE834">
        <v>1.2310000000000001</v>
      </c>
      <c r="AF834">
        <v>1</v>
      </c>
      <c r="AG834">
        <v>2</v>
      </c>
      <c r="AH834">
        <v>2</v>
      </c>
      <c r="AI834">
        <v>3.0000000000109139</v>
      </c>
      <c r="AJ834">
        <v>1.23123</v>
      </c>
      <c r="AK834">
        <v>1.2311300000000001</v>
      </c>
      <c r="AL834">
        <v>0</v>
      </c>
      <c r="AM834">
        <v>0</v>
      </c>
      <c r="AN834">
        <v>0</v>
      </c>
      <c r="AO834">
        <v>-73.979989318611075</v>
      </c>
      <c r="AP834">
        <v>0</v>
      </c>
      <c r="AQ834">
        <v>0</v>
      </c>
      <c r="AR834" t="str">
        <v>32193r1.par</v>
      </c>
      <c r="AV834" t="str">
        <v>255,188,121</v>
      </c>
      <c r="AW834" s="31">
        <v>0</v>
      </c>
      <c r="AX834" s="31">
        <v>73.979989318611075</v>
      </c>
      <c r="AY834" s="31">
        <v>-73.979989318611075</v>
      </c>
    </row>
    <row r="835" spans="31:51" x14ac:dyDescent="0.25">
      <c r="AE835">
        <v>1.228</v>
      </c>
      <c r="AF835">
        <v>1</v>
      </c>
      <c r="AG835">
        <v>2</v>
      </c>
      <c r="AH835">
        <v>2</v>
      </c>
      <c r="AI835">
        <v>2.999999999992724</v>
      </c>
      <c r="AJ835">
        <v>1.2282299999999999</v>
      </c>
      <c r="AK835">
        <v>1.2281299999999999</v>
      </c>
      <c r="AL835">
        <v>0</v>
      </c>
      <c r="AM835">
        <v>0</v>
      </c>
      <c r="AN835">
        <v>0</v>
      </c>
      <c r="AO835">
        <v>-60.52999126055056</v>
      </c>
      <c r="AP835">
        <v>0</v>
      </c>
      <c r="AQ835">
        <v>0</v>
      </c>
      <c r="AR835" t="str">
        <v>32193r1.par</v>
      </c>
      <c r="AV835" t="str">
        <v>255,188,121</v>
      </c>
      <c r="AW835" s="31">
        <v>0</v>
      </c>
      <c r="AX835" s="31">
        <v>60.52999126055056</v>
      </c>
      <c r="AY835" s="31">
        <v>-60.52999126055056</v>
      </c>
    </row>
    <row r="836" spans="31:51" x14ac:dyDescent="0.25">
      <c r="AE836">
        <v>1.2250000000000001</v>
      </c>
      <c r="AF836">
        <v>1</v>
      </c>
      <c r="AG836">
        <v>2</v>
      </c>
      <c r="AH836">
        <v>2</v>
      </c>
      <c r="AI836">
        <v>3.0000000000109139</v>
      </c>
      <c r="AJ836">
        <v>1.22523</v>
      </c>
      <c r="AK836">
        <v>1.2251300000000001</v>
      </c>
      <c r="AL836">
        <v>0</v>
      </c>
      <c r="AM836">
        <v>0</v>
      </c>
      <c r="AN836">
        <v>0</v>
      </c>
      <c r="AO836">
        <v>-46.899993228478813</v>
      </c>
      <c r="AP836">
        <v>0</v>
      </c>
      <c r="AQ836">
        <v>0</v>
      </c>
      <c r="AR836" t="str">
        <v>32193r1.par</v>
      </c>
      <c r="AV836" t="str">
        <v>255,188,121</v>
      </c>
      <c r="AW836" s="31">
        <v>0</v>
      </c>
      <c r="AX836" s="31">
        <v>46.899993228478813</v>
      </c>
      <c r="AY836" s="31">
        <v>-46.899993228478813</v>
      </c>
    </row>
    <row r="837" spans="31:51" x14ac:dyDescent="0.25">
      <c r="AE837">
        <v>1.222</v>
      </c>
      <c r="AF837">
        <v>1</v>
      </c>
      <c r="AG837">
        <v>2</v>
      </c>
      <c r="AH837">
        <v>2</v>
      </c>
      <c r="AI837">
        <v>2.999999999992724</v>
      </c>
      <c r="AJ837">
        <v>1.2222299999999999</v>
      </c>
      <c r="AK837">
        <v>1.2221299999999999</v>
      </c>
      <c r="AL837">
        <v>0</v>
      </c>
      <c r="AM837">
        <v>0</v>
      </c>
      <c r="AN837">
        <v>0</v>
      </c>
      <c r="AO837">
        <v>-33.279995194963199</v>
      </c>
      <c r="AP837">
        <v>0</v>
      </c>
      <c r="AQ837">
        <v>0</v>
      </c>
      <c r="AR837" t="str">
        <v>32193r1.par</v>
      </c>
      <c r="AV837" t="str">
        <v>255,188,121</v>
      </c>
      <c r="AW837" s="31">
        <v>0</v>
      </c>
      <c r="AX837" s="31">
        <v>33.279995194963199</v>
      </c>
      <c r="AY837" s="31">
        <v>-33.279995194963199</v>
      </c>
    </row>
    <row r="838" spans="31:51" x14ac:dyDescent="0.25">
      <c r="AE838">
        <v>1.2190000000000001</v>
      </c>
      <c r="AF838">
        <v>1</v>
      </c>
      <c r="AG838">
        <v>2</v>
      </c>
      <c r="AH838">
        <v>2</v>
      </c>
      <c r="AI838">
        <v>3.0000000000109139</v>
      </c>
      <c r="AJ838">
        <v>1.21923</v>
      </c>
      <c r="AK838">
        <v>1.21913</v>
      </c>
      <c r="AL838">
        <v>0</v>
      </c>
      <c r="AM838">
        <v>0</v>
      </c>
      <c r="AN838">
        <v>0</v>
      </c>
      <c r="AO838">
        <v>-19.649997162891438</v>
      </c>
      <c r="AP838">
        <v>0</v>
      </c>
      <c r="AQ838">
        <v>0</v>
      </c>
      <c r="AR838" t="str">
        <v>32193r1.par</v>
      </c>
      <c r="AV838" t="str">
        <v>255,188,121</v>
      </c>
      <c r="AW838" s="31">
        <v>0</v>
      </c>
      <c r="AX838" s="31">
        <v>19.649997162891438</v>
      </c>
      <c r="AY838" s="31">
        <v>-19.649997162891438</v>
      </c>
    </row>
    <row r="839" spans="31:51" x14ac:dyDescent="0.25">
      <c r="AE839">
        <v>1.216</v>
      </c>
      <c r="AF839">
        <v>1</v>
      </c>
      <c r="AG839">
        <v>2</v>
      </c>
      <c r="AH839">
        <v>2</v>
      </c>
      <c r="AI839">
        <v>2.999999999992724</v>
      </c>
      <c r="AJ839">
        <v>1.2162299999999999</v>
      </c>
      <c r="AK839">
        <v>1.2161299999999999</v>
      </c>
      <c r="AL839">
        <v>0</v>
      </c>
      <c r="AM839">
        <v>0</v>
      </c>
      <c r="AN839">
        <v>0</v>
      </c>
      <c r="AO839">
        <v>-5.809999161139908</v>
      </c>
      <c r="AP839">
        <v>0</v>
      </c>
      <c r="AQ839">
        <v>0</v>
      </c>
      <c r="AR839" t="str">
        <v>32193r1.par</v>
      </c>
      <c r="AV839" t="str">
        <v>255,188,121</v>
      </c>
      <c r="AW839" s="31">
        <v>0</v>
      </c>
      <c r="AX839" s="31">
        <v>5.809999161139908</v>
      </c>
      <c r="AY839" s="31">
        <v>-5.809999161139908</v>
      </c>
    </row>
    <row r="840" spans="31:51" x14ac:dyDescent="0.25">
      <c r="AE840">
        <v>1.1399999999999999</v>
      </c>
      <c r="AF840">
        <v>1</v>
      </c>
      <c r="AG840">
        <v>1</v>
      </c>
      <c r="AH840">
        <v>2</v>
      </c>
      <c r="AI840">
        <v>2.999999999992724</v>
      </c>
      <c r="AJ840">
        <v>1.1402299999999999</v>
      </c>
      <c r="AK840">
        <v>1.1401299999999999</v>
      </c>
      <c r="AL840">
        <v>0</v>
      </c>
      <c r="AM840">
        <v>0</v>
      </c>
      <c r="AN840">
        <v>0</v>
      </c>
      <c r="AO840">
        <v>-87.999987296345381</v>
      </c>
      <c r="AP840">
        <v>0</v>
      </c>
      <c r="AQ840">
        <v>0</v>
      </c>
      <c r="AR840" t="str">
        <v>1613.par</v>
      </c>
      <c r="AV840" t="str">
        <v>255,127,0</v>
      </c>
      <c r="AW840" s="31">
        <v>0</v>
      </c>
      <c r="AX840" s="31">
        <v>87.999987296345381</v>
      </c>
      <c r="AY840" s="31">
        <v>-87.999987296345381</v>
      </c>
    </row>
    <row r="841" spans="31:51" x14ac:dyDescent="0.25">
      <c r="AE841">
        <v>1.137</v>
      </c>
      <c r="AF841">
        <v>1</v>
      </c>
      <c r="AG841">
        <v>1</v>
      </c>
      <c r="AH841">
        <v>2</v>
      </c>
      <c r="AI841">
        <v>2.999999999992724</v>
      </c>
      <c r="AJ841">
        <v>1.13723</v>
      </c>
      <c r="AK841">
        <v>1.13713</v>
      </c>
      <c r="AL841">
        <v>0</v>
      </c>
      <c r="AM841">
        <v>0</v>
      </c>
      <c r="AN841">
        <v>0</v>
      </c>
      <c r="AO841">
        <v>-85.999987591262339</v>
      </c>
      <c r="AP841">
        <v>0</v>
      </c>
      <c r="AQ841">
        <v>0</v>
      </c>
      <c r="AR841" t="str">
        <v>1613.par</v>
      </c>
      <c r="AV841" t="str">
        <v>255,127,0</v>
      </c>
      <c r="AW841" s="31">
        <v>0</v>
      </c>
      <c r="AX841" s="31">
        <v>85.999987591262339</v>
      </c>
      <c r="AY841" s="31">
        <v>-85.999987591262339</v>
      </c>
    </row>
    <row r="842" spans="31:51" x14ac:dyDescent="0.25">
      <c r="AE842">
        <v>1.1339999999999999</v>
      </c>
      <c r="AF842">
        <v>1</v>
      </c>
      <c r="AG842">
        <v>1</v>
      </c>
      <c r="AH842">
        <v>2</v>
      </c>
      <c r="AI842">
        <v>2.999999999992724</v>
      </c>
      <c r="AJ842">
        <v>1.1342299999999998</v>
      </c>
      <c r="AK842">
        <v>1.1341299999999999</v>
      </c>
      <c r="AL842">
        <v>0</v>
      </c>
      <c r="AM842">
        <v>0</v>
      </c>
      <c r="AN842">
        <v>0</v>
      </c>
      <c r="AO842">
        <v>-80.099988488520111</v>
      </c>
      <c r="AP842">
        <v>0</v>
      </c>
      <c r="AQ842">
        <v>0</v>
      </c>
      <c r="AR842" t="str">
        <v>1613.par</v>
      </c>
      <c r="AV842" t="str">
        <v>255,127,0</v>
      </c>
      <c r="AW842" s="31">
        <v>0</v>
      </c>
      <c r="AX842" s="31">
        <v>80.099988488520111</v>
      </c>
      <c r="AY842" s="31">
        <v>-80.099988488520111</v>
      </c>
    </row>
    <row r="843" spans="31:51" x14ac:dyDescent="0.25">
      <c r="AE843">
        <v>1.131</v>
      </c>
      <c r="AF843">
        <v>1</v>
      </c>
      <c r="AG843">
        <v>1</v>
      </c>
      <c r="AH843">
        <v>2</v>
      </c>
      <c r="AI843">
        <v>2.999999999992724</v>
      </c>
      <c r="AJ843">
        <v>1.13123</v>
      </c>
      <c r="AK843">
        <v>1.13113</v>
      </c>
      <c r="AL843">
        <v>0</v>
      </c>
      <c r="AM843">
        <v>0</v>
      </c>
      <c r="AN843">
        <v>0</v>
      </c>
      <c r="AO843">
        <v>-74.099989446480123</v>
      </c>
      <c r="AP843">
        <v>0</v>
      </c>
      <c r="AQ843">
        <v>0</v>
      </c>
      <c r="AR843" t="str">
        <v>1613.par</v>
      </c>
      <c r="AV843" t="str">
        <v>255,127,0</v>
      </c>
      <c r="AW843" s="31">
        <v>0</v>
      </c>
      <c r="AX843" s="31">
        <v>74.099989446480123</v>
      </c>
      <c r="AY843" s="31">
        <v>-74.099989446480123</v>
      </c>
    </row>
    <row r="844" spans="31:51" x14ac:dyDescent="0.25">
      <c r="AE844">
        <v>1.1279999999999999</v>
      </c>
      <c r="AF844">
        <v>1</v>
      </c>
      <c r="AG844">
        <v>1</v>
      </c>
      <c r="AH844">
        <v>2</v>
      </c>
      <c r="AI844">
        <v>2.999999999992724</v>
      </c>
      <c r="AJ844">
        <v>1.1282299999999998</v>
      </c>
      <c r="AK844">
        <v>1.1281299999999999</v>
      </c>
      <c r="AL844">
        <v>0</v>
      </c>
      <c r="AM844">
        <v>0</v>
      </c>
      <c r="AN844">
        <v>0</v>
      </c>
      <c r="AO844">
        <v>-62.499991427382007</v>
      </c>
      <c r="AP844">
        <v>0</v>
      </c>
      <c r="AQ844">
        <v>0</v>
      </c>
      <c r="AR844" t="str">
        <v>1613.par</v>
      </c>
      <c r="AV844" t="str">
        <v>255,127,0</v>
      </c>
      <c r="AW844" s="31">
        <v>0</v>
      </c>
      <c r="AX844" s="31">
        <v>62.499991427382007</v>
      </c>
      <c r="AY844" s="31">
        <v>-62.499991427382007</v>
      </c>
    </row>
    <row r="845" spans="31:51" x14ac:dyDescent="0.25">
      <c r="AE845">
        <v>1.125</v>
      </c>
      <c r="AF845">
        <v>1</v>
      </c>
      <c r="AG845">
        <v>1</v>
      </c>
      <c r="AH845">
        <v>2</v>
      </c>
      <c r="AI845">
        <v>2.999999999992724</v>
      </c>
      <c r="AJ845">
        <v>1.12523</v>
      </c>
      <c r="AK845">
        <v>1.12513</v>
      </c>
      <c r="AL845">
        <v>0</v>
      </c>
      <c r="AM845">
        <v>0</v>
      </c>
      <c r="AN845">
        <v>0</v>
      </c>
      <c r="AO845">
        <v>-50.699993635276748</v>
      </c>
      <c r="AP845">
        <v>0</v>
      </c>
      <c r="AQ845">
        <v>0</v>
      </c>
      <c r="AR845" t="str">
        <v>1613.par</v>
      </c>
      <c r="AV845" t="str">
        <v>255,127,0</v>
      </c>
      <c r="AW845" s="31">
        <v>0</v>
      </c>
      <c r="AX845" s="31">
        <v>50.699993635276748</v>
      </c>
      <c r="AY845" s="31">
        <v>-50.699993635276748</v>
      </c>
    </row>
    <row r="846" spans="31:51" x14ac:dyDescent="0.25">
      <c r="AE846">
        <v>1.1220000000000001</v>
      </c>
      <c r="AF846">
        <v>1</v>
      </c>
      <c r="AG846">
        <v>1</v>
      </c>
      <c r="AH846">
        <v>2</v>
      </c>
      <c r="AI846">
        <v>3.0000000000109139</v>
      </c>
      <c r="AJ846">
        <v>1.1222300000000001</v>
      </c>
      <c r="AK846">
        <v>1.1221300000000001</v>
      </c>
      <c r="AL846">
        <v>0</v>
      </c>
      <c r="AM846">
        <v>0</v>
      </c>
      <c r="AN846">
        <v>0</v>
      </c>
      <c r="AO846">
        <v>-38.799996044241624</v>
      </c>
      <c r="AP846">
        <v>0</v>
      </c>
      <c r="AQ846">
        <v>0</v>
      </c>
      <c r="AR846" t="str">
        <v>1613.par</v>
      </c>
      <c r="AV846" t="str">
        <v>255,127,0</v>
      </c>
      <c r="AW846" s="31">
        <v>0</v>
      </c>
      <c r="AX846" s="31">
        <v>38.799996044241624</v>
      </c>
      <c r="AY846" s="31">
        <v>-38.799996044241624</v>
      </c>
    </row>
    <row r="847" spans="31:51" x14ac:dyDescent="0.25">
      <c r="AE847">
        <v>1.119</v>
      </c>
      <c r="AF847">
        <v>1</v>
      </c>
      <c r="AG847">
        <v>1</v>
      </c>
      <c r="AH847">
        <v>2</v>
      </c>
      <c r="AI847">
        <v>2.999999999992724</v>
      </c>
      <c r="AJ847">
        <v>1.1192299999999999</v>
      </c>
      <c r="AK847">
        <v>1.11913</v>
      </c>
      <c r="AL847">
        <v>0</v>
      </c>
      <c r="AM847">
        <v>0</v>
      </c>
      <c r="AN847">
        <v>0</v>
      </c>
      <c r="AO847">
        <v>-26.999998577869427</v>
      </c>
      <c r="AP847">
        <v>0</v>
      </c>
      <c r="AQ847">
        <v>0</v>
      </c>
      <c r="AR847" t="str">
        <v>1613.par</v>
      </c>
      <c r="AV847" t="str">
        <v>255,127,0</v>
      </c>
      <c r="AW847" s="31">
        <v>0</v>
      </c>
      <c r="AX847" s="31">
        <v>26.999998577869427</v>
      </c>
      <c r="AY847" s="31">
        <v>-26.999998577869427</v>
      </c>
    </row>
    <row r="848" spans="31:51" x14ac:dyDescent="0.25">
      <c r="AE848">
        <v>1.1160000000000001</v>
      </c>
      <c r="AF848">
        <v>1</v>
      </c>
      <c r="AG848">
        <v>1</v>
      </c>
      <c r="AH848">
        <v>2</v>
      </c>
      <c r="AI848">
        <v>3.0000000000109139</v>
      </c>
      <c r="AJ848">
        <v>1.1162300000000001</v>
      </c>
      <c r="AK848">
        <v>1.1161300000000001</v>
      </c>
      <c r="AL848">
        <v>0</v>
      </c>
      <c r="AM848">
        <v>0</v>
      </c>
      <c r="AN848">
        <v>0</v>
      </c>
      <c r="AO848">
        <v>-15.000001306799158</v>
      </c>
      <c r="AP848">
        <v>0</v>
      </c>
      <c r="AQ848">
        <v>0</v>
      </c>
      <c r="AR848" t="str">
        <v>1613.par</v>
      </c>
      <c r="AV848" t="str">
        <v>255,127,0</v>
      </c>
      <c r="AW848" s="31">
        <v>0</v>
      </c>
      <c r="AX848" s="31">
        <v>15.000001306799158</v>
      </c>
      <c r="AY848" s="31">
        <v>-15.000001306799158</v>
      </c>
    </row>
    <row r="849" spans="31:51" x14ac:dyDescent="0.25">
      <c r="AE849">
        <v>1.113</v>
      </c>
      <c r="AF849">
        <v>1</v>
      </c>
      <c r="AG849">
        <v>1</v>
      </c>
      <c r="AH849">
        <v>2</v>
      </c>
      <c r="AI849">
        <v>2.999999999992724</v>
      </c>
      <c r="AJ849">
        <v>1.1132299999999999</v>
      </c>
      <c r="AK849">
        <v>1.11313</v>
      </c>
      <c r="AL849">
        <v>0</v>
      </c>
      <c r="AM849">
        <v>0</v>
      </c>
      <c r="AN849">
        <v>0</v>
      </c>
      <c r="AO849">
        <v>-3.6000040220107441</v>
      </c>
      <c r="AP849">
        <v>0</v>
      </c>
      <c r="AQ849">
        <v>0</v>
      </c>
      <c r="AR849" t="str">
        <v>1613.par</v>
      </c>
      <c r="AV849" t="str">
        <v>255,127,0</v>
      </c>
      <c r="AW849" s="31">
        <v>0</v>
      </c>
      <c r="AX849" s="31">
        <v>3.6000040220107441</v>
      </c>
      <c r="AY849" s="31">
        <v>-3.6000040220107441</v>
      </c>
    </row>
    <row r="850" spans="31:51" x14ac:dyDescent="0.25">
      <c r="AE850">
        <v>1.1100000000000001</v>
      </c>
      <c r="AF850">
        <v>1</v>
      </c>
      <c r="AG850">
        <v>1</v>
      </c>
      <c r="AH850">
        <v>2</v>
      </c>
      <c r="AI850">
        <v>3.0000000000109139</v>
      </c>
      <c r="AJ850">
        <v>1.1102300000000001</v>
      </c>
      <c r="AK850">
        <v>1.1101300000000001</v>
      </c>
      <c r="AL850">
        <v>0</v>
      </c>
      <c r="AM850">
        <v>0</v>
      </c>
      <c r="AN850">
        <v>0</v>
      </c>
      <c r="AO850">
        <v>2.9999936970089967</v>
      </c>
      <c r="AP850">
        <v>0</v>
      </c>
      <c r="AQ850">
        <v>0</v>
      </c>
      <c r="AR850" t="str">
        <v>1613.par</v>
      </c>
      <c r="AV850" t="str">
        <v>255,127,0</v>
      </c>
      <c r="AW850" s="31">
        <v>0</v>
      </c>
      <c r="AX850" s="31">
        <v>-2.9999936970089967</v>
      </c>
      <c r="AY850" s="31">
        <v>2.9999936970089967</v>
      </c>
    </row>
    <row r="851" spans="31:51" x14ac:dyDescent="0.25">
      <c r="AE851">
        <v>1.107</v>
      </c>
      <c r="AF851">
        <v>1</v>
      </c>
      <c r="AG851">
        <v>1</v>
      </c>
      <c r="AH851">
        <v>2</v>
      </c>
      <c r="AI851">
        <v>2.999999999992724</v>
      </c>
      <c r="AJ851">
        <v>1.1072299999999999</v>
      </c>
      <c r="AK851">
        <v>1.1071299999999999</v>
      </c>
      <c r="AL851">
        <v>0</v>
      </c>
      <c r="AM851">
        <v>0</v>
      </c>
      <c r="AN851">
        <v>0</v>
      </c>
      <c r="AO851">
        <v>2.9999913122339605</v>
      </c>
      <c r="AP851">
        <v>0</v>
      </c>
      <c r="AQ851">
        <v>0</v>
      </c>
      <c r="AR851" t="str">
        <v>1613.par</v>
      </c>
      <c r="AV851" t="str">
        <v>255,127,0</v>
      </c>
      <c r="AW851" s="31">
        <v>0</v>
      </c>
      <c r="AX851" s="31">
        <v>-2.9999913122339605</v>
      </c>
      <c r="AY851" s="31">
        <v>2.9999913122339605</v>
      </c>
    </row>
    <row r="852" spans="31:51" x14ac:dyDescent="0.25">
      <c r="AE852">
        <v>1.1040000000000001</v>
      </c>
      <c r="AF852">
        <v>1</v>
      </c>
      <c r="AG852">
        <v>1</v>
      </c>
      <c r="AH852">
        <v>2</v>
      </c>
      <c r="AI852">
        <v>3.0000000000109139</v>
      </c>
      <c r="AJ852">
        <v>1.10423</v>
      </c>
      <c r="AK852">
        <v>1.1041300000000001</v>
      </c>
      <c r="AL852">
        <v>0</v>
      </c>
      <c r="AM852">
        <v>0</v>
      </c>
      <c r="AN852">
        <v>0</v>
      </c>
      <c r="AO852">
        <v>2.9999857925960174</v>
      </c>
      <c r="AP852">
        <v>0</v>
      </c>
      <c r="AQ852">
        <v>0</v>
      </c>
      <c r="AR852" t="str">
        <v>1613.par</v>
      </c>
      <c r="AV852" t="str">
        <v>255,127,0</v>
      </c>
      <c r="AW852" s="31">
        <v>0</v>
      </c>
      <c r="AX852" s="31">
        <v>-2.9999857925960174</v>
      </c>
      <c r="AY852" s="31">
        <v>2.9999857925960174</v>
      </c>
    </row>
    <row r="853" spans="31:51" x14ac:dyDescent="0.25">
      <c r="AE853">
        <v>1.101</v>
      </c>
      <c r="AF853">
        <v>1</v>
      </c>
      <c r="AG853">
        <v>1</v>
      </c>
      <c r="AH853">
        <v>2</v>
      </c>
      <c r="AI853">
        <v>2.999999999992724</v>
      </c>
      <c r="AJ853">
        <v>1.1012299999999999</v>
      </c>
      <c r="AK853">
        <v>1.1011299999999999</v>
      </c>
      <c r="AL853">
        <v>0</v>
      </c>
      <c r="AM853">
        <v>0</v>
      </c>
      <c r="AN853">
        <v>0</v>
      </c>
      <c r="AO853">
        <v>8.9999588850334611</v>
      </c>
      <c r="AP853">
        <v>0</v>
      </c>
      <c r="AQ853">
        <v>0</v>
      </c>
      <c r="AR853" t="str">
        <v>1613.par</v>
      </c>
      <c r="AV853" t="str">
        <v>255,127,0</v>
      </c>
      <c r="AW853" s="31">
        <v>0</v>
      </c>
      <c r="AX853" s="31">
        <v>-8.9999588850334611</v>
      </c>
      <c r="AY853" s="31">
        <v>8.9999588850334611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71" t="str">
        <f>CONCATENATE(Settings!$C$19," ",Settings!$B$28)</f>
        <v>14.75 6135r00</v>
      </c>
      <c r="D1" s="1271"/>
      <c r="E1" s="1271"/>
      <c r="F1" s="1271"/>
      <c r="G1" s="1271"/>
      <c r="H1" s="1271"/>
      <c r="I1" s="1271"/>
      <c r="J1" s="1271"/>
      <c r="K1" s="1271"/>
      <c r="M1" s="103" t="s">
        <v>310</v>
      </c>
      <c r="N1" s="1389" t="s">
        <v>312</v>
      </c>
      <c r="O1" s="1389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98" t="str">
        <f>Settings!B28</f>
        <v>6135r00</v>
      </c>
      <c r="C2" s="1399"/>
      <c r="D2" s="1399"/>
      <c r="E2" s="1399"/>
      <c r="F2" s="1399"/>
      <c r="G2" s="1399"/>
      <c r="H2" s="1399"/>
      <c r="I2" s="1399"/>
      <c r="J2" s="1399"/>
      <c r="K2" s="1400"/>
      <c r="L2" s="1155" t="str" cm="1">
        <f t="array" ref="L2">IF(OR($K$9:$K$150="Undefined"),"Undefined Element","")</f>
        <v/>
      </c>
      <c r="M2" s="1395" t="s">
        <v>0</v>
      </c>
      <c r="N2" s="1249" t="s">
        <v>1</v>
      </c>
      <c r="O2" s="1250"/>
      <c r="P2" s="1250"/>
      <c r="Q2" s="1250"/>
      <c r="R2" s="1250"/>
      <c r="S2" s="1250"/>
      <c r="T2" s="1250"/>
      <c r="U2" s="1250"/>
      <c r="V2" s="1250"/>
      <c r="W2" s="1250"/>
      <c r="X2" s="1250"/>
      <c r="Y2" s="1324"/>
      <c r="Z2" s="1249" t="s">
        <v>2</v>
      </c>
      <c r="AA2" s="1250"/>
      <c r="AB2" s="1250"/>
      <c r="AC2" s="1250"/>
      <c r="AD2" s="1250"/>
      <c r="AE2" s="1250"/>
      <c r="AF2" s="1250"/>
      <c r="AG2" s="1250"/>
      <c r="AH2" s="1250"/>
      <c r="AI2" s="1250"/>
      <c r="AJ2" s="1250"/>
      <c r="AK2" s="1250"/>
      <c r="AL2" s="1250"/>
      <c r="AM2" s="1250"/>
      <c r="AN2" s="1250"/>
      <c r="AO2" s="1250"/>
      <c r="AP2" s="1250"/>
      <c r="AQ2" s="1251"/>
      <c r="AS2" s="1330" t="s">
        <v>44</v>
      </c>
      <c r="AT2" s="1331"/>
      <c r="AV2" s="1411" t="str">
        <f>M2</f>
        <v>CS-Name</v>
      </c>
      <c r="AW2" s="1425"/>
      <c r="AX2" s="1425"/>
      <c r="AY2" s="1425"/>
      <c r="AZ2" s="1425"/>
      <c r="BA2" s="1425"/>
      <c r="BB2" s="1425"/>
      <c r="BC2" s="1426"/>
      <c r="BF2" s="1418" t="s">
        <v>313</v>
      </c>
      <c r="BG2" s="1419"/>
      <c r="BH2" s="1419"/>
      <c r="BI2" s="1419"/>
      <c r="BJ2" s="1419"/>
      <c r="BK2" s="1420"/>
      <c r="BM2" s="1435" t="s">
        <v>270</v>
      </c>
      <c r="BN2" s="1369"/>
      <c r="BO2" s="1369"/>
      <c r="BP2" s="1370"/>
      <c r="BR2" s="1435" t="s">
        <v>270</v>
      </c>
      <c r="BS2" s="1369"/>
      <c r="BT2" s="1369"/>
      <c r="BU2" s="137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273"/>
      <c r="C3" s="1274"/>
      <c r="D3" s="1274"/>
      <c r="E3" s="1274"/>
      <c r="F3" s="1274"/>
      <c r="G3" s="1274"/>
      <c r="H3" s="1274"/>
      <c r="I3" s="1274"/>
      <c r="J3" s="1274"/>
      <c r="K3" s="1275"/>
      <c r="L3" s="1155"/>
      <c r="M3" s="1396"/>
      <c r="N3" s="1325"/>
      <c r="O3" s="1326"/>
      <c r="P3" s="1326"/>
      <c r="Q3" s="1326"/>
      <c r="R3" s="1326"/>
      <c r="S3" s="1326"/>
      <c r="T3" s="1326"/>
      <c r="U3" s="1326"/>
      <c r="V3" s="1326"/>
      <c r="W3" s="1326"/>
      <c r="X3" s="1326"/>
      <c r="Y3" s="1327"/>
      <c r="Z3" s="1133"/>
      <c r="AA3" s="1134"/>
      <c r="AB3" s="1134"/>
      <c r="AC3" s="1134"/>
      <c r="AD3" s="1134"/>
      <c r="AE3" s="1134"/>
      <c r="AF3" s="1134"/>
      <c r="AG3" s="1134"/>
      <c r="AH3" s="1134"/>
      <c r="AI3" s="1134"/>
      <c r="AJ3" s="1134"/>
      <c r="AK3" s="1134"/>
      <c r="AL3" s="1134"/>
      <c r="AM3" s="1134"/>
      <c r="AN3" s="1134"/>
      <c r="AO3" s="1134"/>
      <c r="AP3" s="1134"/>
      <c r="AQ3" s="1252"/>
      <c r="AS3" s="415">
        <v>100</v>
      </c>
      <c r="AT3" s="412" t="s">
        <v>45</v>
      </c>
      <c r="AV3" s="1412"/>
      <c r="AW3" s="1427"/>
      <c r="AX3" s="1427"/>
      <c r="AY3" s="1427"/>
      <c r="AZ3" s="1427"/>
      <c r="BA3" s="1427"/>
      <c r="BB3" s="1427"/>
      <c r="BC3" s="1428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0" t="s">
        <v>307</v>
      </c>
      <c r="C4" s="1022"/>
      <c r="D4" s="1022"/>
      <c r="E4" s="1022"/>
      <c r="F4" s="1022"/>
      <c r="G4" s="1022"/>
      <c r="H4" s="1022"/>
      <c r="I4" s="1022"/>
      <c r="J4" s="1022"/>
      <c r="K4" s="1401"/>
      <c r="L4" s="1155"/>
      <c r="M4" s="1396"/>
      <c r="N4" s="1292" t="s">
        <v>3</v>
      </c>
      <c r="O4" s="1289"/>
      <c r="P4" s="1289"/>
      <c r="Q4" s="1288" t="s">
        <v>4</v>
      </c>
      <c r="R4" s="1289"/>
      <c r="S4" s="1307"/>
      <c r="T4" s="1301" t="str">
        <f>N4</f>
        <v>Cartesian Coordinates</v>
      </c>
      <c r="U4" s="1256"/>
      <c r="V4" s="1302"/>
      <c r="W4" s="1256" t="str">
        <f>Q4</f>
        <v>Polar XY; Cartesian Z</v>
      </c>
      <c r="X4" s="1256"/>
      <c r="Y4" s="1272"/>
      <c r="Z4" s="1391" t="s">
        <v>3</v>
      </c>
      <c r="AA4" s="1392"/>
      <c r="AB4" s="1392"/>
      <c r="AC4" s="1392"/>
      <c r="AD4" s="1392"/>
      <c r="AE4" s="1392"/>
      <c r="AF4" s="1392"/>
      <c r="AG4" s="1431" t="s">
        <v>31</v>
      </c>
      <c r="AH4" s="1392"/>
      <c r="AI4" s="1392"/>
      <c r="AJ4" s="1432"/>
      <c r="AK4" s="1438" t="s">
        <v>32</v>
      </c>
      <c r="AL4" s="1439"/>
      <c r="AM4" s="1439"/>
      <c r="AN4" s="1439"/>
      <c r="AO4" s="1439"/>
      <c r="AP4" s="1439"/>
      <c r="AQ4" s="1440"/>
      <c r="AS4" s="416">
        <v>0</v>
      </c>
      <c r="AT4" s="413" t="s">
        <v>46</v>
      </c>
      <c r="AV4" s="1412"/>
      <c r="AW4" s="1429"/>
      <c r="AX4" s="1429"/>
      <c r="AY4" s="1429"/>
      <c r="AZ4" s="1430"/>
      <c r="BA4" s="1429" t="str">
        <f>Z2</f>
        <v>PDC Orientation</v>
      </c>
      <c r="BB4" s="1429"/>
      <c r="BC4" s="1430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9" t="s">
        <v>372</v>
      </c>
      <c r="IF4" s="100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273" t="str">
        <f>CONCATENATE(B7," ; ",E7," ; ",H8)</f>
        <v>Absolute-Point ; Incremental-Vector Point ; Radius</v>
      </c>
      <c r="C5" s="1274"/>
      <c r="D5" s="1274"/>
      <c r="E5" s="1274"/>
      <c r="F5" s="1274"/>
      <c r="G5" s="1274"/>
      <c r="H5" s="1274"/>
      <c r="I5" s="1274"/>
      <c r="J5" s="1274"/>
      <c r="K5" s="1275"/>
      <c r="L5" s="813" t="str" cm="1">
        <f t="array" ref="L5">IF(OR(IF(LEFT($K$9:$K$150,4)="&lt;&gt;CS",TRUE,FALSE)),"Wrong CS","")</f>
        <v/>
      </c>
      <c r="M5" s="1396"/>
      <c r="N5" s="1312" t="s">
        <v>5</v>
      </c>
      <c r="O5" s="1313"/>
      <c r="P5" s="1313"/>
      <c r="Q5" s="1365" t="s">
        <v>6</v>
      </c>
      <c r="R5" s="1313"/>
      <c r="S5" s="1351"/>
      <c r="T5" s="1318" t="str">
        <f>CONCATENATE("Relative to ",M8,"'s θ &amp; Z; Z Axis")</f>
        <v>Relative to 's θ &amp; Z; Z Axis</v>
      </c>
      <c r="U5" s="1263"/>
      <c r="V5" s="1342"/>
      <c r="W5" s="1263" t="str">
        <f>CONCATENATE("Relative to ",M8,"'s θ &amp; Z; Z Axis")</f>
        <v>Relative to 's θ &amp; Z; Z Axis</v>
      </c>
      <c r="X5" s="1263"/>
      <c r="Y5" s="1303"/>
      <c r="Z5" s="1293" t="str">
        <f>N5</f>
        <v>Relative to World_CS</v>
      </c>
      <c r="AA5" s="1263"/>
      <c r="AB5" s="1263"/>
      <c r="AC5" s="1263"/>
      <c r="AD5" s="1263"/>
      <c r="AE5" s="1263"/>
      <c r="AF5" s="1263"/>
      <c r="AG5" s="1318" t="str">
        <f>N5</f>
        <v>Relative to World_CS</v>
      </c>
      <c r="AH5" s="1263"/>
      <c r="AI5" s="1263"/>
      <c r="AJ5" s="1264"/>
      <c r="AK5" s="1350" t="s">
        <v>7</v>
      </c>
      <c r="AL5" s="1313"/>
      <c r="AM5" s="1313"/>
      <c r="AN5" s="1313"/>
      <c r="AO5" s="1313"/>
      <c r="AP5" s="1313"/>
      <c r="AQ5" s="1351"/>
      <c r="AS5" s="167">
        <f>(((AS4*12)/60)/AS3)</f>
        <v>0</v>
      </c>
      <c r="AT5" s="413" t="s">
        <v>47</v>
      </c>
      <c r="AV5" s="1412"/>
      <c r="AW5" s="1301" t="str">
        <f>W4</f>
        <v>Polar XY; Cartesian Z</v>
      </c>
      <c r="AX5" s="1256"/>
      <c r="AY5" s="1256"/>
      <c r="AZ5" s="1156" t="s">
        <v>104</v>
      </c>
      <c r="BA5" s="1256" t="str">
        <f>AK4</f>
        <v>Polar Z Projection → XZ Plane</v>
      </c>
      <c r="BB5" s="1256"/>
      <c r="BC5" s="125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76"/>
      <c r="C6" s="1277"/>
      <c r="D6" s="1277"/>
      <c r="E6" s="1277"/>
      <c r="F6" s="1277"/>
      <c r="G6" s="1277"/>
      <c r="H6" s="1277"/>
      <c r="I6" s="1277"/>
      <c r="J6" s="1277"/>
      <c r="K6" s="1278"/>
      <c r="L6" s="1155" t="str" cm="1">
        <f t="array" ref="L6">IF(OR($K$9:$K$150="Inactive"),"Inactive Element","")</f>
        <v/>
      </c>
      <c r="M6" s="1396"/>
      <c r="N6" s="1308" t="s">
        <v>8</v>
      </c>
      <c r="O6" s="1310" t="s">
        <v>9</v>
      </c>
      <c r="P6" s="1363" t="s">
        <v>10</v>
      </c>
      <c r="Q6" s="1314" t="s">
        <v>11</v>
      </c>
      <c r="R6" s="1315"/>
      <c r="S6" s="1304" t="s">
        <v>10</v>
      </c>
      <c r="T6" s="1338" t="str">
        <f>N6</f>
        <v>X</v>
      </c>
      <c r="U6" s="1340" t="str">
        <f>O6</f>
        <v>Y</v>
      </c>
      <c r="V6" s="1299" t="str">
        <f>P6</f>
        <v>Z</v>
      </c>
      <c r="W6" s="1258" t="str">
        <f>Q6</f>
        <v>Projected XY</v>
      </c>
      <c r="X6" s="1259"/>
      <c r="Y6" s="1336" t="str">
        <f>S6</f>
        <v>Z</v>
      </c>
      <c r="Z6" s="1320" t="s">
        <v>12</v>
      </c>
      <c r="AA6" s="1283"/>
      <c r="AB6" s="1283"/>
      <c r="AC6" s="1321"/>
      <c r="AD6" s="1288" t="s">
        <v>13</v>
      </c>
      <c r="AE6" s="1289"/>
      <c r="AF6" s="1289"/>
      <c r="AG6" s="1319" t="s">
        <v>7</v>
      </c>
      <c r="AH6" s="1289"/>
      <c r="AI6" s="1288" t="s">
        <v>14</v>
      </c>
      <c r="AJ6" s="1307"/>
      <c r="AK6" s="1301" t="str">
        <f>AD6</f>
        <v>Unit Vector</v>
      </c>
      <c r="AL6" s="1256"/>
      <c r="AM6" s="1257"/>
      <c r="AN6" s="34" t="s">
        <v>15</v>
      </c>
      <c r="AO6" s="35" t="s">
        <v>16</v>
      </c>
      <c r="AP6" s="680" t="s">
        <v>17</v>
      </c>
      <c r="AQ6" s="1393" t="s">
        <v>108</v>
      </c>
      <c r="AS6" s="168">
        <f>(AS5/360)</f>
        <v>0</v>
      </c>
      <c r="AT6" s="414" t="s">
        <v>48</v>
      </c>
      <c r="AV6" s="1412"/>
      <c r="AW6" s="1318" t="str">
        <f>W5</f>
        <v>Relative to 's θ &amp; Z; Z Axis</v>
      </c>
      <c r="AX6" s="1263"/>
      <c r="AY6" s="1263"/>
      <c r="AZ6" s="1408"/>
      <c r="BA6" s="1263" t="str">
        <f>AK5</f>
        <v>Vector Along X Axis</v>
      </c>
      <c r="BB6" s="1263"/>
      <c r="BC6" s="1264"/>
      <c r="BD6" s="417"/>
      <c r="BF6" s="410">
        <f>SUM(AZ9:AZ150)</f>
        <v>0</v>
      </c>
      <c r="BG6" s="1390" t="s">
        <v>309</v>
      </c>
      <c r="BH6" s="1390"/>
      <c r="BI6" s="1390"/>
      <c r="BJ6" s="1390"/>
      <c r="BK6" s="1390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94" t="s">
        <v>40</v>
      </c>
      <c r="C7" s="1295"/>
      <c r="D7" s="1296"/>
      <c r="E7" s="1297" t="s">
        <v>41</v>
      </c>
      <c r="F7" s="1295"/>
      <c r="G7" s="1298"/>
      <c r="H7" s="989" t="s">
        <v>305</v>
      </c>
      <c r="I7" s="987"/>
      <c r="J7" s="988"/>
      <c r="K7" s="488"/>
      <c r="L7" s="1155"/>
      <c r="M7" s="1397"/>
      <c r="N7" s="1309"/>
      <c r="O7" s="1311"/>
      <c r="P7" s="1364"/>
      <c r="Q7" s="36" t="s">
        <v>18</v>
      </c>
      <c r="R7" s="2" t="s">
        <v>19</v>
      </c>
      <c r="S7" s="1305"/>
      <c r="T7" s="1339"/>
      <c r="U7" s="1341"/>
      <c r="V7" s="1300"/>
      <c r="W7" s="37" t="str">
        <f>Q7</f>
        <v>&lt; θ°</v>
      </c>
      <c r="X7" s="27" t="str">
        <f>R7</f>
        <v>r</v>
      </c>
      <c r="Y7" s="133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94"/>
      <c r="AS7" s="1433" t="s">
        <v>54</v>
      </c>
      <c r="AT7" s="1436" t="s">
        <v>53</v>
      </c>
      <c r="AV7" s="1412"/>
      <c r="AW7" s="1407" t="str">
        <f>$W$6</f>
        <v>Projected XY</v>
      </c>
      <c r="AX7" s="1259"/>
      <c r="AY7" s="1409" t="str">
        <f>$Y$6</f>
        <v>Z</v>
      </c>
      <c r="AZ7" s="1408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90"/>
      <c r="BH7" s="1390"/>
      <c r="BI7" s="1390"/>
      <c r="BJ7" s="1390"/>
      <c r="BK7" s="1390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995" t="s">
        <v>33</v>
      </c>
      <c r="IH7" s="1170" t="s">
        <v>376</v>
      </c>
      <c r="II7" s="991" t="s">
        <v>324</v>
      </c>
      <c r="IJ7" s="992"/>
      <c r="IK7" s="992"/>
      <c r="IL7" s="987"/>
      <c r="IM7" s="987"/>
      <c r="IN7" s="987"/>
      <c r="IO7" s="988"/>
      <c r="IP7" s="989" t="s">
        <v>320</v>
      </c>
      <c r="IQ7" s="987"/>
      <c r="IR7" s="987"/>
      <c r="IS7" s="987"/>
      <c r="IT7" s="987"/>
      <c r="IU7" s="989" t="s">
        <v>319</v>
      </c>
      <c r="IV7" s="987"/>
      <c r="IW7" s="987"/>
      <c r="IX7" s="987"/>
      <c r="IY7" s="988"/>
      <c r="JA7" s="725"/>
      <c r="JB7" s="1441" t="s">
        <v>355</v>
      </c>
      <c r="JC7" s="1366"/>
      <c r="JD7" s="1366"/>
      <c r="JE7" s="136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155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34"/>
      <c r="AT8" s="1437"/>
      <c r="AV8" s="1413"/>
      <c r="AW8" s="46" t="str">
        <f>$W$7</f>
        <v>&lt; θ°</v>
      </c>
      <c r="AX8" s="27" t="str">
        <f>$X$7</f>
        <v>r</v>
      </c>
      <c r="AY8" s="1410"/>
      <c r="AZ8" s="1157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172"/>
      <c r="IH8" s="1171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368" t="s">
        <v>356</v>
      </c>
      <c r="JC19" s="1369"/>
      <c r="JD19" s="1369"/>
      <c r="JE19" s="1369"/>
      <c r="JF19" s="1369"/>
      <c r="JG19" s="1369"/>
      <c r="JH19" s="1369"/>
      <c r="JI19" s="137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371" t="s">
        <v>360</v>
      </c>
      <c r="JC20" s="1372"/>
      <c r="JD20" s="1372"/>
      <c r="JE20" s="1372"/>
      <c r="JF20" s="1150" t="s">
        <v>361</v>
      </c>
      <c r="JG20" s="1151"/>
      <c r="JH20" s="1151"/>
      <c r="JI20" s="1152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224"/>
      <c r="JC21" s="1225"/>
      <c r="JD21" s="1225"/>
      <c r="JE21" s="1225"/>
      <c r="JF21" s="1153" t="s">
        <v>349</v>
      </c>
      <c r="JG21" s="1154"/>
      <c r="JH21" s="1373" t="s">
        <v>362</v>
      </c>
      <c r="JI21" s="1374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05" t="str">
        <f>$W$6</f>
        <v>Projected XY</v>
      </c>
      <c r="AX152" s="1406"/>
      <c r="AY152" s="1423" t="str">
        <f>$Y$6</f>
        <v>Z</v>
      </c>
      <c r="AZ152" s="1421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24"/>
      <c r="AZ153" s="1422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279" t="s">
        <v>42</v>
      </c>
      <c r="C157" s="1280"/>
      <c r="D157" s="1280"/>
      <c r="E157" s="1280"/>
      <c r="F157" s="1280"/>
      <c r="G157" s="1280"/>
      <c r="H157" s="1280"/>
      <c r="I157" s="1280"/>
      <c r="J157" s="1280"/>
      <c r="K157" s="1281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282"/>
      <c r="C158" s="1283"/>
      <c r="D158" s="1283"/>
      <c r="E158" s="1283"/>
      <c r="F158" s="1283"/>
      <c r="G158" s="1283"/>
      <c r="H158" s="1283"/>
      <c r="I158" s="1283"/>
      <c r="J158" s="1283"/>
      <c r="K158" s="1284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285"/>
      <c r="C159" s="1286"/>
      <c r="D159" s="1286"/>
      <c r="E159" s="1286"/>
      <c r="F159" s="1286"/>
      <c r="G159" s="1286"/>
      <c r="H159" s="1286"/>
      <c r="I159" s="1286"/>
      <c r="J159" s="1286"/>
      <c r="K159" s="1287"/>
      <c r="AQ159" s="162"/>
      <c r="BD159" s="417"/>
    </row>
    <row r="160" spans="1:259" ht="15" customHeight="1" x14ac:dyDescent="0.25">
      <c r="B160" s="1273" t="str">
        <f>CONCATENATE(B162," ; ",E162," ; ",H163)</f>
        <v>Absolute-Point ; Incremental-Vector Point ; Radius</v>
      </c>
      <c r="C160" s="1274"/>
      <c r="D160" s="1274"/>
      <c r="E160" s="1274"/>
      <c r="F160" s="1274"/>
      <c r="G160" s="1274"/>
      <c r="H160" s="1274"/>
      <c r="I160" s="1274"/>
      <c r="J160" s="1274"/>
      <c r="K160" s="1275"/>
      <c r="AQ160" s="162"/>
      <c r="BD160" s="417"/>
    </row>
    <row r="161" spans="2:56" ht="15" customHeight="1" x14ac:dyDescent="0.25">
      <c r="B161" s="1276"/>
      <c r="C161" s="1277"/>
      <c r="D161" s="1277"/>
      <c r="E161" s="1277"/>
      <c r="F161" s="1277"/>
      <c r="G161" s="1277"/>
      <c r="H161" s="1277"/>
      <c r="I161" s="1277"/>
      <c r="J161" s="1277"/>
      <c r="K161" s="1278"/>
      <c r="AQ161" s="162"/>
      <c r="BD161" s="417"/>
    </row>
    <row r="162" spans="2:56" ht="15" customHeight="1" x14ac:dyDescent="0.25">
      <c r="B162" s="1294" t="s">
        <v>40</v>
      </c>
      <c r="C162" s="1295"/>
      <c r="D162" s="1296"/>
      <c r="E162" s="1297" t="s">
        <v>41</v>
      </c>
      <c r="F162" s="1295"/>
      <c r="G162" s="1298"/>
      <c r="H162" s="989" t="s">
        <v>305</v>
      </c>
      <c r="I162" s="987"/>
      <c r="J162" s="988"/>
      <c r="K162" s="488"/>
      <c r="M162" s="1115" t="s">
        <v>304</v>
      </c>
      <c r="N162" s="1402"/>
      <c r="O162" s="1414" t="s">
        <v>283</v>
      </c>
      <c r="P162" s="1415"/>
      <c r="Q162" s="1416"/>
      <c r="R162" s="1417" t="s">
        <v>41</v>
      </c>
      <c r="S162" s="1415"/>
      <c r="T162" s="1416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03"/>
      <c r="N163" s="140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1.113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1.1160000000000001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1.119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1.1220000000000001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1.125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1.1279999999999999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1.131</v>
      </c>
      <c r="N174" s="810">
        <f>Assy.Model!K19</f>
        <v>1613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1.1339999999999999</v>
      </c>
      <c r="N175" s="810">
        <f>Assy.Model!K20</f>
        <v>1613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1.137</v>
      </c>
      <c r="N176" s="810">
        <f>Assy.Model!K21</f>
        <v>1613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1.1399999999999999</v>
      </c>
      <c r="N177" s="810">
        <f>Assy.Model!K22</f>
        <v>1613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1.216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1.2190000000000001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1.222</v>
      </c>
      <c r="N180" s="810" t="str">
        <f>Assy.Model!K25</f>
        <v>CPS-32193r1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1.2250000000000001</v>
      </c>
      <c r="N181" s="810" t="str">
        <f>Assy.Model!K26</f>
        <v>CPS-32193r1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1.228</v>
      </c>
      <c r="N182" s="810" t="str">
        <f>Assy.Model!K27</f>
        <v>CPS-32193r1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1.2310000000000001</v>
      </c>
      <c r="N183" s="810" t="str">
        <f>Assy.Model!K28</f>
        <v>CPS-32193r1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1.234</v>
      </c>
      <c r="N184" s="810" t="str">
        <f>Assy.Model!K29</f>
        <v>CPS-32193r1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1.2370000000000001</v>
      </c>
      <c r="N185" s="810" t="str">
        <f>Assy.Model!K30</f>
        <v>CPS-32193r1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2.1139999999999999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2.117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2.12</v>
      </c>
      <c r="N188" s="810">
        <f>Assy.Model!K33</f>
        <v>1613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2.1230000000000002</v>
      </c>
      <c r="N189" s="810">
        <f>Assy.Model!K34</f>
        <v>1613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2.1259999999999999</v>
      </c>
      <c r="N190" s="810">
        <f>Assy.Model!K35</f>
        <v>1613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2.129</v>
      </c>
      <c r="N191" s="810">
        <f>Assy.Model!K36</f>
        <v>1613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2.1320000000000001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2.1349999999999998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2.1379999999999999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2.2170000000000001</v>
      </c>
      <c r="N195" s="810" t="str">
        <f>Assy.Model!K40</f>
        <v>CPS-32193r1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2.2200000000000002</v>
      </c>
      <c r="N196" s="810" t="str">
        <f>Assy.Model!K41</f>
        <v>CPS-32193r1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2.2229999999999999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2.226</v>
      </c>
      <c r="N198" s="810" t="str">
        <f>Assy.Model!K43</f>
        <v>CPS-32193r1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2.2290000000000001</v>
      </c>
      <c r="N199" s="810" t="str">
        <f>Assy.Model!K44</f>
        <v>CPS-32193r1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2.2320000000000002</v>
      </c>
      <c r="N200" s="810" t="str">
        <f>Assy.Model!K45</f>
        <v>CPS-32193r1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2.2349999999999999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3.1030000000000002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3.1059999999999999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3.109</v>
      </c>
      <c r="N204" s="810">
        <f>Assy.Model!K49</f>
        <v>1613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3.1120000000000001</v>
      </c>
      <c r="N205" s="810">
        <f>Assy.Model!K50</f>
        <v>1613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3.1150000000000002</v>
      </c>
      <c r="N206" s="810">
        <f>Assy.Model!K51</f>
        <v>1613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3.1179999999999999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3.121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3.1240000000000001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3.1269999999999998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3.13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3.133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3.1360000000000001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3.1389999999999998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3.2149999999999999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3.218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3.2210000000000001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3.2240000000000002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3.2269999999999999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3.23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3.2330000000000001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3.2360000000000002</v>
      </c>
      <c r="N222" s="810" t="str">
        <f>Assy.Model!K67</f>
        <v>CPS-32193r1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4.1130000000000004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4.1159999999999997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4.1189999999999998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4.1219999999999999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4.125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4.1280000000000001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4.1310000000000002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4.1340000000000003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4.1369999999999996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4.1399999999999997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4.2160000000000002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4.2190000000000003</v>
      </c>
      <c r="N234" s="810" t="str">
        <f>Assy.Model!K79</f>
        <v>CPS-32193r1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4.2220000000000004</v>
      </c>
      <c r="N235" s="810" t="str">
        <f>Assy.Model!K80</f>
        <v>CPS-32193r1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4.2249999999999996</v>
      </c>
      <c r="N236" s="810" t="str">
        <f>Assy.Model!K81</f>
        <v>CPS-32193r1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4.2279999999999998</v>
      </c>
      <c r="N237" s="810" t="str">
        <f>Assy.Model!K82</f>
        <v>CPS-32193r1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4.2309999999999999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4.234</v>
      </c>
      <c r="N239" s="810" t="str">
        <f>Assy.Model!K84</f>
        <v>CPS-32193r1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4.2370000000000001</v>
      </c>
      <c r="N240" s="810" t="str">
        <f>Assy.Model!K85</f>
        <v>CPS-32193r1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5.1020000000000003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5.1050000000000004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5.1079999999999997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5.1109999999999998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5.1139999999999999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5.117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5.12</v>
      </c>
      <c r="N247" s="810">
        <f>Assy.Model!K92</f>
        <v>1613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5.1230000000000002</v>
      </c>
      <c r="N248" s="810">
        <f>Assy.Model!K93</f>
        <v>1613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5.1260000000000003</v>
      </c>
      <c r="N249" s="810">
        <f>Assy.Model!K94</f>
        <v>1613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5.1289999999999996</v>
      </c>
      <c r="N250" s="810">
        <f>Assy.Model!K95</f>
        <v>1613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5.1319999999999997</v>
      </c>
      <c r="N251" s="810">
        <f>Assy.Model!K96</f>
        <v>1613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5.1349999999999998</v>
      </c>
      <c r="N252" s="810">
        <f>Assy.Model!K97</f>
        <v>1613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5.1379999999999999</v>
      </c>
      <c r="N253" s="810">
        <f>Assy.Model!K98</f>
        <v>1613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>
        <f>Assy.Model!$M99</f>
        <v>5.2169999999999996</v>
      </c>
      <c r="N254" s="810" t="str">
        <f>Assy.Model!K99</f>
        <v>CPS-32193r1</v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>
        <f>Assy.Model!$M100</f>
        <v>5.22</v>
      </c>
      <c r="N255" s="810" t="str">
        <f>Assy.Model!K100</f>
        <v>CPS-32193r1</v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>
        <f>Assy.Model!$M101</f>
        <v>5.2229999999999999</v>
      </c>
      <c r="N256" s="810" t="str">
        <f>Assy.Model!K101</f>
        <v>CPS-32193r1</v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>
        <f>Assy.Model!$M102</f>
        <v>5.226</v>
      </c>
      <c r="N257" s="810" t="str">
        <f>Assy.Model!K102</f>
        <v>CPS-32193r1</v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>
        <f>Assy.Model!$M103</f>
        <v>5.2290000000000001</v>
      </c>
      <c r="N258" s="810" t="str">
        <f>Assy.Model!K103</f>
        <v>CPS-32193r1</v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>
        <f>Assy.Model!$M104</f>
        <v>5.2320000000000002</v>
      </c>
      <c r="N259" s="810" t="str">
        <f>Assy.Model!K104</f>
        <v>CPS-32193r1</v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>
        <f>Assy.Model!$M105</f>
        <v>5.2350000000000003</v>
      </c>
      <c r="N260" s="810" t="str">
        <f>Assy.Model!K105</f>
        <v>CPS-32193r1</v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>
        <f>Assy.Model!$M106</f>
        <v>6.1120000000000001</v>
      </c>
      <c r="N261" s="810">
        <f>Assy.Model!K106</f>
        <v>1613</v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>
        <f>Assy.Model!$M107</f>
        <v>6.1150000000000002</v>
      </c>
      <c r="N262" s="810">
        <f>Assy.Model!K107</f>
        <v>1613</v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>
        <f>Assy.Model!$M108</f>
        <v>6.1180000000000003</v>
      </c>
      <c r="N263" s="810">
        <f>Assy.Model!K108</f>
        <v>1613</v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>
        <f>Assy.Model!$M109</f>
        <v>6.1210000000000004</v>
      </c>
      <c r="N264" s="810">
        <f>Assy.Model!K109</f>
        <v>1613</v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>
        <f>Assy.Model!$M110</f>
        <v>6.1239999999999997</v>
      </c>
      <c r="N265" s="810">
        <f>Assy.Model!K110</f>
        <v>1613</v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>
        <f>Assy.Model!$M111</f>
        <v>6.1269999999999998</v>
      </c>
      <c r="N266" s="810">
        <f>Assy.Model!K111</f>
        <v>1613</v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>
        <f>Assy.Model!$M112</f>
        <v>6.13</v>
      </c>
      <c r="N267" s="810">
        <f>Assy.Model!K112</f>
        <v>1613</v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>
        <f>Assy.Model!$M113</f>
        <v>6.133</v>
      </c>
      <c r="N268" s="810">
        <f>Assy.Model!K113</f>
        <v>1613</v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>
        <f>Assy.Model!$M114</f>
        <v>6.1360000000000001</v>
      </c>
      <c r="N269" s="810">
        <f>Assy.Model!K114</f>
        <v>1613</v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>
        <f>Assy.Model!$M115</f>
        <v>6.1390000000000002</v>
      </c>
      <c r="N270" s="810">
        <f>Assy.Model!K115</f>
        <v>1613</v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>
        <f>Assy.Model!$M116</f>
        <v>6.2149999999999999</v>
      </c>
      <c r="N271" s="810" t="str">
        <f>Assy.Model!K116</f>
        <v>CPS-32193r1</v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>
        <f>Assy.Model!$M117</f>
        <v>6.218</v>
      </c>
      <c r="N272" s="810" t="str">
        <f>Assy.Model!K117</f>
        <v>CPS-32193r1</v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>
        <f>Assy.Model!$M118</f>
        <v>6.2210000000000001</v>
      </c>
      <c r="N273" s="810" t="str">
        <f>Assy.Model!K118</f>
        <v>CPS-32193r1</v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>
        <f>Assy.Model!$M119</f>
        <v>6.2240000000000002</v>
      </c>
      <c r="N274" s="810" t="str">
        <f>Assy.Model!K119</f>
        <v>CPS-32193r1</v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>
        <f>Assy.Model!$M120</f>
        <v>6.2270000000000003</v>
      </c>
      <c r="N275" s="810" t="str">
        <f>Assy.Model!K120</f>
        <v>CPS-32193r1</v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>
        <f>Assy.Model!$M121</f>
        <v>6.23</v>
      </c>
      <c r="N276" s="810" t="str">
        <f>Assy.Model!K121</f>
        <v>CPS-32193r1</v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>
        <f>Assy.Model!$M122</f>
        <v>6.2329999999999997</v>
      </c>
      <c r="N277" s="810" t="str">
        <f>Assy.Model!K122</f>
        <v>CPS-32193r1</v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>
        <f>Assy.Model!$M123</f>
        <v>6.2359999999999998</v>
      </c>
      <c r="N278" s="810" t="str">
        <f>Assy.Model!K123</f>
        <v>CPS-32193r1</v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4" t="s">
        <v>33</v>
      </c>
      <c r="C7" s="1442" t="s">
        <v>105</v>
      </c>
      <c r="D7" s="1443"/>
      <c r="E7" s="1446" t="s">
        <v>110</v>
      </c>
    </row>
    <row r="8" spans="1:5" ht="15.75" thickBot="1" x14ac:dyDescent="0.3">
      <c r="A8" s="31" t="s">
        <v>420</v>
      </c>
      <c r="B8" s="1445"/>
      <c r="C8" s="955" t="s">
        <v>8</v>
      </c>
      <c r="D8" s="956" t="s">
        <v>9</v>
      </c>
      <c r="E8" s="1447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2025-06-10T15:55:51Z</dcterms:modified>
</cp:coreProperties>
</file>