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urtis.stephens\Documents\GitHub\Bit Applications Tool\Bit Designs\2746\"/>
    </mc:Choice>
  </mc:AlternateContent>
  <xr:revisionPtr revIDLastSave="0" documentId="13_ncr:1_{91799FF4-1F1D-4BD8-B157-75EA5576B044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6" i="1" l="1"/>
  <c r="Z305" i="1" l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Z272" i="1"/>
  <c r="W272" i="1" s="1"/>
  <c r="H117" i="1" s="1"/>
  <c r="X272" i="1"/>
  <c r="I117" i="1" s="1"/>
  <c r="V272" i="1"/>
  <c r="G117" i="1" s="1"/>
  <c r="U272" i="1"/>
  <c r="F117" i="1" s="1"/>
  <c r="T272" i="1"/>
  <c r="E117" i="1" s="1"/>
  <c r="S272" i="1"/>
  <c r="R272" i="1"/>
  <c r="Q272" i="1"/>
  <c r="Z271" i="1"/>
  <c r="W271" i="1" s="1"/>
  <c r="H116" i="1" s="1"/>
  <c r="X271" i="1"/>
  <c r="I116" i="1" s="1"/>
  <c r="V271" i="1"/>
  <c r="G116" i="1" s="1"/>
  <c r="U271" i="1"/>
  <c r="F116" i="1" s="1"/>
  <c r="T271" i="1"/>
  <c r="E116" i="1" s="1"/>
  <c r="S271" i="1"/>
  <c r="R271" i="1"/>
  <c r="Q271" i="1"/>
  <c r="Z270" i="1"/>
  <c r="W270" i="1" s="1"/>
  <c r="H115" i="1" s="1"/>
  <c r="X270" i="1"/>
  <c r="I115" i="1" s="1"/>
  <c r="V270" i="1"/>
  <c r="G115" i="1" s="1"/>
  <c r="U270" i="1"/>
  <c r="F115" i="1" s="1"/>
  <c r="T270" i="1"/>
  <c r="E115" i="1" s="1"/>
  <c r="S270" i="1"/>
  <c r="R270" i="1"/>
  <c r="Q270" i="1"/>
  <c r="Z269" i="1"/>
  <c r="K114" i="1" s="1"/>
  <c r="A114" i="1" s="1"/>
  <c r="X269" i="1"/>
  <c r="I114" i="1" s="1"/>
  <c r="V269" i="1"/>
  <c r="G114" i="1" s="1"/>
  <c r="U269" i="1"/>
  <c r="F114" i="1" s="1"/>
  <c r="T269" i="1"/>
  <c r="E114" i="1" s="1"/>
  <c r="S269" i="1"/>
  <c r="R269" i="1"/>
  <c r="Q269" i="1"/>
  <c r="Z268" i="1"/>
  <c r="W268" i="1" s="1"/>
  <c r="H113" i="1" s="1"/>
  <c r="X268" i="1"/>
  <c r="I113" i="1" s="1"/>
  <c r="V268" i="1"/>
  <c r="G113" i="1" s="1"/>
  <c r="U268" i="1"/>
  <c r="F113" i="1" s="1"/>
  <c r="T268" i="1"/>
  <c r="E113" i="1" s="1"/>
  <c r="S268" i="1"/>
  <c r="R268" i="1"/>
  <c r="Q268" i="1"/>
  <c r="Z267" i="1"/>
  <c r="W267" i="1" s="1"/>
  <c r="H112" i="1" s="1"/>
  <c r="X267" i="1"/>
  <c r="I112" i="1" s="1"/>
  <c r="V267" i="1"/>
  <c r="G112" i="1" s="1"/>
  <c r="U267" i="1"/>
  <c r="F112" i="1" s="1"/>
  <c r="T267" i="1"/>
  <c r="E112" i="1" s="1"/>
  <c r="S267" i="1"/>
  <c r="R267" i="1"/>
  <c r="Q267" i="1"/>
  <c r="Z266" i="1"/>
  <c r="W266" i="1" s="1"/>
  <c r="H111" i="1" s="1"/>
  <c r="X266" i="1"/>
  <c r="I111" i="1" s="1"/>
  <c r="V266" i="1"/>
  <c r="G111" i="1" s="1"/>
  <c r="U266" i="1"/>
  <c r="F111" i="1" s="1"/>
  <c r="T266" i="1"/>
  <c r="E111" i="1" s="1"/>
  <c r="S266" i="1"/>
  <c r="R266" i="1"/>
  <c r="Q266" i="1"/>
  <c r="Z265" i="1"/>
  <c r="W265" i="1" s="1"/>
  <c r="H110" i="1" s="1"/>
  <c r="X265" i="1"/>
  <c r="I110" i="1" s="1"/>
  <c r="V265" i="1"/>
  <c r="G110" i="1" s="1"/>
  <c r="U265" i="1"/>
  <c r="F110" i="1" s="1"/>
  <c r="T265" i="1"/>
  <c r="E110" i="1" s="1"/>
  <c r="S265" i="1"/>
  <c r="R265" i="1"/>
  <c r="Q265" i="1"/>
  <c r="Z264" i="1"/>
  <c r="W264" i="1" s="1"/>
  <c r="H109" i="1" s="1"/>
  <c r="X264" i="1"/>
  <c r="I109" i="1" s="1"/>
  <c r="V264" i="1"/>
  <c r="G109" i="1" s="1"/>
  <c r="U264" i="1"/>
  <c r="F109" i="1" s="1"/>
  <c r="T264" i="1"/>
  <c r="E109" i="1" s="1"/>
  <c r="S264" i="1"/>
  <c r="R264" i="1"/>
  <c r="Q264" i="1"/>
  <c r="Z263" i="1"/>
  <c r="W263" i="1" s="1"/>
  <c r="H108" i="1" s="1"/>
  <c r="X263" i="1"/>
  <c r="I108" i="1" s="1"/>
  <c r="V263" i="1"/>
  <c r="G108" i="1" s="1"/>
  <c r="U263" i="1"/>
  <c r="F108" i="1" s="1"/>
  <c r="T263" i="1"/>
  <c r="E108" i="1" s="1"/>
  <c r="S263" i="1"/>
  <c r="R263" i="1"/>
  <c r="Q263" i="1"/>
  <c r="Z262" i="1"/>
  <c r="W262" i="1" s="1"/>
  <c r="H107" i="1" s="1"/>
  <c r="X262" i="1"/>
  <c r="I107" i="1" s="1"/>
  <c r="V262" i="1"/>
  <c r="G107" i="1" s="1"/>
  <c r="U262" i="1"/>
  <c r="F107" i="1" s="1"/>
  <c r="T262" i="1"/>
  <c r="E107" i="1" s="1"/>
  <c r="S262" i="1"/>
  <c r="R262" i="1"/>
  <c r="Q262" i="1"/>
  <c r="Z261" i="1"/>
  <c r="K106" i="1" s="1"/>
  <c r="A106" i="1" s="1"/>
  <c r="X261" i="1"/>
  <c r="I106" i="1" s="1"/>
  <c r="V261" i="1"/>
  <c r="G106" i="1" s="1"/>
  <c r="U261" i="1"/>
  <c r="F106" i="1" s="1"/>
  <c r="T261" i="1"/>
  <c r="E106" i="1" s="1"/>
  <c r="S261" i="1"/>
  <c r="R261" i="1"/>
  <c r="Q261" i="1"/>
  <c r="Z260" i="1"/>
  <c r="W260" i="1" s="1"/>
  <c r="H105" i="1" s="1"/>
  <c r="X260" i="1"/>
  <c r="I105" i="1" s="1"/>
  <c r="V260" i="1"/>
  <c r="G105" i="1" s="1"/>
  <c r="U260" i="1"/>
  <c r="F105" i="1" s="1"/>
  <c r="T260" i="1"/>
  <c r="E105" i="1" s="1"/>
  <c r="S260" i="1"/>
  <c r="R260" i="1"/>
  <c r="Q260" i="1"/>
  <c r="Z259" i="1"/>
  <c r="W259" i="1" s="1"/>
  <c r="H104" i="1" s="1"/>
  <c r="X259" i="1"/>
  <c r="I104" i="1" s="1"/>
  <c r="V259" i="1"/>
  <c r="G104" i="1" s="1"/>
  <c r="U259" i="1"/>
  <c r="F104" i="1" s="1"/>
  <c r="T259" i="1"/>
  <c r="E104" i="1" s="1"/>
  <c r="S259" i="1"/>
  <c r="R259" i="1"/>
  <c r="Q259" i="1"/>
  <c r="Z258" i="1"/>
  <c r="K103" i="1" s="1"/>
  <c r="A103" i="1" s="1"/>
  <c r="X258" i="1"/>
  <c r="I103" i="1" s="1"/>
  <c r="V258" i="1"/>
  <c r="G103" i="1" s="1"/>
  <c r="U258" i="1"/>
  <c r="F103" i="1" s="1"/>
  <c r="T258" i="1"/>
  <c r="E103" i="1" s="1"/>
  <c r="S258" i="1"/>
  <c r="R258" i="1"/>
  <c r="Q258" i="1"/>
  <c r="Z257" i="1"/>
  <c r="W257" i="1" s="1"/>
  <c r="H102" i="1" s="1"/>
  <c r="X257" i="1"/>
  <c r="I102" i="1" s="1"/>
  <c r="V257" i="1"/>
  <c r="G102" i="1" s="1"/>
  <c r="U257" i="1"/>
  <c r="F102" i="1" s="1"/>
  <c r="T257" i="1"/>
  <c r="E102" i="1" s="1"/>
  <c r="S257" i="1"/>
  <c r="R257" i="1"/>
  <c r="Q257" i="1"/>
  <c r="Z256" i="1"/>
  <c r="W256" i="1" s="1"/>
  <c r="H101" i="1" s="1"/>
  <c r="X256" i="1"/>
  <c r="I101" i="1" s="1"/>
  <c r="V256" i="1"/>
  <c r="G101" i="1" s="1"/>
  <c r="U256" i="1"/>
  <c r="F101" i="1" s="1"/>
  <c r="T256" i="1"/>
  <c r="E101" i="1" s="1"/>
  <c r="S256" i="1"/>
  <c r="R256" i="1"/>
  <c r="Q256" i="1"/>
  <c r="Z255" i="1"/>
  <c r="K100" i="1" s="1"/>
  <c r="A100" i="1" s="1"/>
  <c r="X255" i="1"/>
  <c r="I100" i="1" s="1"/>
  <c r="V255" i="1"/>
  <c r="G100" i="1" s="1"/>
  <c r="U255" i="1"/>
  <c r="F100" i="1" s="1"/>
  <c r="T255" i="1"/>
  <c r="E100" i="1" s="1"/>
  <c r="S255" i="1"/>
  <c r="R255" i="1"/>
  <c r="Q255" i="1"/>
  <c r="Z254" i="1"/>
  <c r="W254" i="1" s="1"/>
  <c r="H99" i="1" s="1"/>
  <c r="X254" i="1"/>
  <c r="I99" i="1" s="1"/>
  <c r="V254" i="1"/>
  <c r="G99" i="1" s="1"/>
  <c r="U254" i="1"/>
  <c r="F99" i="1" s="1"/>
  <c r="T254" i="1"/>
  <c r="E99" i="1" s="1"/>
  <c r="S254" i="1"/>
  <c r="R254" i="1"/>
  <c r="Q254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K150" i="1" l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108" i="1"/>
  <c r="A108" i="1" s="1"/>
  <c r="D108" i="1" s="1"/>
  <c r="K117" i="1"/>
  <c r="A117" i="1" s="1"/>
  <c r="C117" i="1" s="1"/>
  <c r="K102" i="1"/>
  <c r="A102" i="1" s="1"/>
  <c r="B102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05" i="1"/>
  <c r="A105" i="1" s="1"/>
  <c r="C105" i="1" s="1"/>
  <c r="K115" i="1"/>
  <c r="A115" i="1" s="1"/>
  <c r="B115" i="1" s="1"/>
  <c r="K136" i="1"/>
  <c r="A136" i="1" s="1"/>
  <c r="C136" i="1" s="1"/>
  <c r="K99" i="1"/>
  <c r="A99" i="1" s="1"/>
  <c r="D99" i="1" s="1"/>
  <c r="K121" i="1"/>
  <c r="A121" i="1" s="1"/>
  <c r="B121" i="1" s="1"/>
  <c r="K129" i="1"/>
  <c r="A129" i="1" s="1"/>
  <c r="C129" i="1" s="1"/>
  <c r="K132" i="1"/>
  <c r="A132" i="1" s="1"/>
  <c r="D132" i="1" s="1"/>
  <c r="K109" i="1"/>
  <c r="A109" i="1" s="1"/>
  <c r="C109" i="1" s="1"/>
  <c r="K137" i="1"/>
  <c r="A137" i="1" s="1"/>
  <c r="B137" i="1" s="1"/>
  <c r="K144" i="1"/>
  <c r="A144" i="1" s="1"/>
  <c r="C144" i="1" s="1"/>
  <c r="K149" i="1"/>
  <c r="A149" i="1" s="1"/>
  <c r="D149" i="1" s="1"/>
  <c r="K118" i="1"/>
  <c r="A118" i="1" s="1"/>
  <c r="B118" i="1" s="1"/>
  <c r="K113" i="1"/>
  <c r="A113" i="1" s="1"/>
  <c r="D113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04" i="1"/>
  <c r="A104" i="1" s="1"/>
  <c r="C104" i="1" s="1"/>
  <c r="K107" i="1"/>
  <c r="A107" i="1" s="1"/>
  <c r="D107" i="1" s="1"/>
  <c r="K116" i="1"/>
  <c r="A116" i="1" s="1"/>
  <c r="B116" i="1" s="1"/>
  <c r="K122" i="1"/>
  <c r="A122" i="1" s="1"/>
  <c r="D122" i="1" s="1"/>
  <c r="K142" i="1"/>
  <c r="A142" i="1" s="1"/>
  <c r="D142" i="1" s="1"/>
  <c r="K101" i="1"/>
  <c r="A101" i="1" s="1"/>
  <c r="D101" i="1" s="1"/>
  <c r="K110" i="1"/>
  <c r="A110" i="1" s="1"/>
  <c r="D110" i="1" s="1"/>
  <c r="K128" i="1"/>
  <c r="A128" i="1" s="1"/>
  <c r="B128" i="1" s="1"/>
  <c r="K131" i="1"/>
  <c r="A131" i="1" s="1"/>
  <c r="D131" i="1" s="1"/>
  <c r="K138" i="1"/>
  <c r="A138" i="1" s="1"/>
  <c r="D138" i="1" s="1"/>
  <c r="W255" i="1"/>
  <c r="H100" i="1" s="1"/>
  <c r="K133" i="1"/>
  <c r="A133" i="1" s="1"/>
  <c r="D133" i="1" s="1"/>
  <c r="K112" i="1"/>
  <c r="A112" i="1" s="1"/>
  <c r="B112" i="1" s="1"/>
  <c r="K126" i="1"/>
  <c r="A126" i="1" s="1"/>
  <c r="B126" i="1" s="1"/>
  <c r="D100" i="1"/>
  <c r="D103" i="1"/>
  <c r="D119" i="1"/>
  <c r="B100" i="1"/>
  <c r="K143" i="1"/>
  <c r="A143" i="1" s="1"/>
  <c r="D143" i="1" s="1"/>
  <c r="K146" i="1"/>
  <c r="A146" i="1" s="1"/>
  <c r="C146" i="1" s="1"/>
  <c r="W261" i="1"/>
  <c r="H106" i="1" s="1"/>
  <c r="W269" i="1"/>
  <c r="H114" i="1" s="1"/>
  <c r="W285" i="1"/>
  <c r="H130" i="1" s="1"/>
  <c r="K127" i="1"/>
  <c r="A127" i="1" s="1"/>
  <c r="D127" i="1" s="1"/>
  <c r="K111" i="1"/>
  <c r="A111" i="1" s="1"/>
  <c r="D111" i="1" s="1"/>
  <c r="W258" i="1"/>
  <c r="H103" i="1" s="1"/>
  <c r="W274" i="1"/>
  <c r="H119" i="1" s="1"/>
  <c r="D130" i="1"/>
  <c r="C130" i="1"/>
  <c r="B130" i="1"/>
  <c r="D114" i="1"/>
  <c r="C114" i="1"/>
  <c r="B114" i="1"/>
  <c r="D106" i="1"/>
  <c r="C106" i="1"/>
  <c r="B106" i="1"/>
  <c r="C100" i="1"/>
  <c r="B103" i="1"/>
  <c r="B119" i="1"/>
  <c r="C103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C150" i="1" l="1"/>
  <c r="D150" i="1"/>
  <c r="C107" i="1"/>
  <c r="B145" i="1"/>
  <c r="C148" i="1"/>
  <c r="C145" i="1"/>
  <c r="B105" i="1"/>
  <c r="B107" i="1"/>
  <c r="C137" i="1"/>
  <c r="D137" i="1"/>
  <c r="B129" i="1"/>
  <c r="C102" i="1"/>
  <c r="D125" i="1"/>
  <c r="D109" i="1"/>
  <c r="D121" i="1"/>
  <c r="C115" i="1"/>
  <c r="B113" i="1"/>
  <c r="B109" i="1"/>
  <c r="B125" i="1"/>
  <c r="C140" i="1"/>
  <c r="C108" i="1"/>
  <c r="C141" i="1"/>
  <c r="D117" i="1"/>
  <c r="C116" i="1"/>
  <c r="D118" i="1"/>
  <c r="D129" i="1"/>
  <c r="B117" i="1"/>
  <c r="C132" i="1"/>
  <c r="C143" i="1"/>
  <c r="B141" i="1"/>
  <c r="B131" i="1"/>
  <c r="C149" i="1"/>
  <c r="C131" i="1"/>
  <c r="B123" i="1"/>
  <c r="B122" i="1"/>
  <c r="C123" i="1"/>
  <c r="C113" i="1"/>
  <c r="C122" i="1"/>
  <c r="C118" i="1"/>
  <c r="B139" i="1"/>
  <c r="B143" i="1"/>
  <c r="B110" i="1"/>
  <c r="C139" i="1"/>
  <c r="B147" i="1"/>
  <c r="B138" i="1"/>
  <c r="C138" i="1"/>
  <c r="C124" i="1"/>
  <c r="D134" i="1"/>
  <c r="C142" i="1"/>
  <c r="B99" i="1"/>
  <c r="C99" i="1"/>
  <c r="C134" i="1"/>
  <c r="C121" i="1"/>
  <c r="C110" i="1"/>
  <c r="C135" i="1"/>
  <c r="B135" i="1"/>
  <c r="B140" i="1"/>
  <c r="B127" i="1"/>
  <c r="B142" i="1"/>
  <c r="C147" i="1"/>
  <c r="B136" i="1"/>
  <c r="B108" i="1"/>
  <c r="C111" i="1"/>
  <c r="C127" i="1"/>
  <c r="B149" i="1"/>
  <c r="B148" i="1"/>
  <c r="C101" i="1"/>
  <c r="D126" i="1"/>
  <c r="B132" i="1"/>
  <c r="C126" i="1"/>
  <c r="B120" i="1"/>
  <c r="B101" i="1"/>
  <c r="B104" i="1"/>
  <c r="D120" i="1"/>
  <c r="D105" i="1"/>
  <c r="D124" i="1"/>
  <c r="D104" i="1"/>
  <c r="D136" i="1"/>
  <c r="D102" i="1"/>
  <c r="D116" i="1"/>
  <c r="D128" i="1"/>
  <c r="B146" i="1"/>
  <c r="D115" i="1"/>
  <c r="C128" i="1"/>
  <c r="B133" i="1"/>
  <c r="D146" i="1"/>
  <c r="C133" i="1"/>
  <c r="D144" i="1"/>
  <c r="B144" i="1"/>
  <c r="C112" i="1"/>
  <c r="D112" i="1"/>
  <c r="B111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253" i="1" l="1"/>
  <c r="X253" i="1"/>
  <c r="I98" i="1" s="1"/>
  <c r="V253" i="1"/>
  <c r="G98" i="1" s="1"/>
  <c r="U253" i="1"/>
  <c r="F98" i="1" s="1"/>
  <c r="T253" i="1"/>
  <c r="E98" i="1" s="1"/>
  <c r="J98" i="1"/>
  <c r="Q253" i="1"/>
  <c r="S253" i="1"/>
  <c r="R253" i="1"/>
  <c r="X252" i="1"/>
  <c r="I97" i="1" s="1"/>
  <c r="V252" i="1"/>
  <c r="G97" i="1" s="1"/>
  <c r="U252" i="1"/>
  <c r="F97" i="1" s="1"/>
  <c r="Z252" i="1"/>
  <c r="T252" i="1"/>
  <c r="E97" i="1" s="1"/>
  <c r="S252" i="1"/>
  <c r="J97" i="1"/>
  <c r="R252" i="1"/>
  <c r="Q252" i="1"/>
  <c r="X251" i="1"/>
  <c r="I96" i="1" s="1"/>
  <c r="V251" i="1"/>
  <c r="G96" i="1" s="1"/>
  <c r="U251" i="1"/>
  <c r="F96" i="1" s="1"/>
  <c r="T251" i="1"/>
  <c r="E96" i="1" s="1"/>
  <c r="S251" i="1"/>
  <c r="R251" i="1"/>
  <c r="J96" i="1"/>
  <c r="Z251" i="1"/>
  <c r="Q251" i="1"/>
  <c r="X250" i="1"/>
  <c r="I95" i="1" s="1"/>
  <c r="V250" i="1"/>
  <c r="G95" i="1" s="1"/>
  <c r="Z250" i="1"/>
  <c r="U250" i="1"/>
  <c r="F95" i="1" s="1"/>
  <c r="T250" i="1"/>
  <c r="E95" i="1" s="1"/>
  <c r="S250" i="1"/>
  <c r="R250" i="1"/>
  <c r="Q250" i="1"/>
  <c r="J95" i="1"/>
  <c r="Z249" i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W175" i="1" s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53" i="1" l="1"/>
  <c r="H98" i="1" s="1"/>
  <c r="K98" i="1"/>
  <c r="A98" i="1" s="1"/>
  <c r="D98" i="1" s="1"/>
  <c r="W252" i="1"/>
  <c r="H97" i="1" s="1"/>
  <c r="K97" i="1"/>
  <c r="A97" i="1" s="1"/>
  <c r="B97" i="1" s="1"/>
  <c r="W251" i="1"/>
  <c r="H96" i="1" s="1"/>
  <c r="K96" i="1"/>
  <c r="A96" i="1" s="1"/>
  <c r="D96" i="1" s="1"/>
  <c r="W250" i="1"/>
  <c r="H95" i="1" s="1"/>
  <c r="K95" i="1"/>
  <c r="A95" i="1" s="1"/>
  <c r="B95" i="1" s="1"/>
  <c r="W246" i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H20" i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C98" i="1" l="1"/>
  <c r="B98" i="1"/>
  <c r="D97" i="1"/>
  <c r="C97" i="1"/>
  <c r="B96" i="1"/>
  <c r="C96" i="1"/>
  <c r="D95" i="1"/>
  <c r="C95" i="1"/>
  <c r="AJ164" i="1"/>
  <c r="AF164" i="1" s="1" a="1"/>
  <c r="AF164" i="1" s="1"/>
  <c r="C94" i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D9" i="1"/>
  <c r="C9" i="1"/>
  <c r="AQ34" i="4"/>
  <c r="AI34" i="4"/>
  <c r="AU34" i="4"/>
  <c r="AW34" i="4" s="1"/>
  <c r="AH164" i="1" l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K164" i="1" l="1" a="1"/>
  <c r="AK164" i="1" s="1"/>
  <c r="AC164" i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21" i="1" l="1"/>
  <c r="IM59" i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JC9" i="1" l="1"/>
  <c r="JD9" i="1" s="1" a="1"/>
  <c r="JD9" i="1" s="1"/>
  <c r="JD12" i="1" a="1"/>
  <c r="JD12" i="1" s="1"/>
  <c r="Y36" i="1"/>
  <c r="V36" i="1" s="1"/>
  <c r="Y15" i="1"/>
  <c r="V15" i="1" s="1"/>
  <c r="Y52" i="1"/>
  <c r="V52" i="1" s="1"/>
  <c r="DD40" i="1"/>
  <c r="DF37" i="1"/>
  <c r="GL43" i="1"/>
  <c r="HI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Z51" i="1"/>
  <c r="AA51" i="1"/>
  <c r="N51" i="1"/>
  <c r="BF51" i="1" s="1"/>
  <c r="BI51" i="1" s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N207" i="7"/>
  <c r="AV52" i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BG37" i="1" s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BD40" i="1"/>
  <c r="DH40" i="1" s="1"/>
  <c r="AZ51" i="1"/>
  <c r="GM51" i="1" s="1"/>
  <c r="DF51" i="1"/>
  <c r="GL51" i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X52" i="1" l="1"/>
  <c r="JD16" i="1" a="1"/>
  <c r="JD16" i="1" s="1"/>
  <c r="DK40" i="1"/>
  <c r="JD15" i="1" a="1"/>
  <c r="JD15" i="1" s="1"/>
  <c r="DJ37" i="1"/>
  <c r="IX36" i="1"/>
  <c r="BG19" i="1"/>
  <c r="Y42" i="1"/>
  <c r="V42" i="1" s="1"/>
  <c r="X9" i="1"/>
  <c r="AQ9" i="1" s="1"/>
  <c r="X36" i="1"/>
  <c r="AQ36" i="1" s="1"/>
  <c r="Y35" i="1"/>
  <c r="V35" i="1" s="1"/>
  <c r="Y54" i="1"/>
  <c r="IS59" i="1" s="1"/>
  <c r="Y22" i="1"/>
  <c r="IX22" i="1" s="1"/>
  <c r="Y16" i="1"/>
  <c r="V16" i="1" s="1"/>
  <c r="Y49" i="1"/>
  <c r="V49" i="1" s="1"/>
  <c r="Y29" i="1"/>
  <c r="V29" i="1" s="1"/>
  <c r="Y21" i="1"/>
  <c r="IX21" i="1" s="1"/>
  <c r="Y25" i="1"/>
  <c r="V25" i="1" s="1"/>
  <c r="Y12" i="1"/>
  <c r="V12" i="1" s="1"/>
  <c r="Y38" i="1"/>
  <c r="IX38" i="1" s="1"/>
  <c r="Y46" i="1"/>
  <c r="IX46" i="1" s="1"/>
  <c r="Y43" i="1"/>
  <c r="V43" i="1" s="1"/>
  <c r="Y50" i="1"/>
  <c r="V50" i="1" s="1"/>
  <c r="Y13" i="1"/>
  <c r="V13" i="1" s="1"/>
  <c r="Y20" i="1"/>
  <c r="IX20" i="1" s="1"/>
  <c r="Y51" i="1"/>
  <c r="V51" i="1" s="1"/>
  <c r="Y47" i="1"/>
  <c r="V47" i="1" s="1"/>
  <c r="Y33" i="1"/>
  <c r="V33" i="1" s="1"/>
  <c r="Y26" i="1"/>
  <c r="V26" i="1" s="1"/>
  <c r="Y18" i="1"/>
  <c r="V18" i="1" s="1"/>
  <c r="Y40" i="1"/>
  <c r="V40" i="1" s="1"/>
  <c r="Y32" i="1"/>
  <c r="IX32" i="1" s="1"/>
  <c r="Y24" i="1"/>
  <c r="V24" i="1" s="1"/>
  <c r="Y28" i="1"/>
  <c r="V28" i="1" s="1"/>
  <c r="Y34" i="1"/>
  <c r="V34" i="1" s="1"/>
  <c r="Y17" i="1"/>
  <c r="V17" i="1" s="1"/>
  <c r="Y14" i="1"/>
  <c r="Y53" i="1"/>
  <c r="V53" i="1" s="1"/>
  <c r="Y44" i="1"/>
  <c r="V44" i="1" s="1"/>
  <c r="Y31" i="1"/>
  <c r="V31" i="1" s="1"/>
  <c r="Y45" i="1"/>
  <c r="IX45" i="1" s="1"/>
  <c r="Y37" i="1"/>
  <c r="V37" i="1" s="1"/>
  <c r="Y30" i="1"/>
  <c r="V30" i="1" s="1"/>
  <c r="Y27" i="1"/>
  <c r="IX27" i="1" s="1"/>
  <c r="Y41" i="1"/>
  <c r="IX41" i="1" s="1"/>
  <c r="Y48" i="1"/>
  <c r="V48" i="1" s="1"/>
  <c r="Y11" i="1"/>
  <c r="V11" i="1" s="1"/>
  <c r="Y39" i="1"/>
  <c r="V39" i="1" s="1"/>
  <c r="Y23" i="1"/>
  <c r="IX23" i="1" s="1"/>
  <c r="Y19" i="1"/>
  <c r="V19" i="1" s="1"/>
  <c r="GV43" i="1"/>
  <c r="GX43" i="1" s="1"/>
  <c r="DJ21" i="1"/>
  <c r="GM114" i="1"/>
  <c r="BP114" i="1"/>
  <c r="FX82" i="1"/>
  <c r="BP82" i="1"/>
  <c r="GL18" i="1"/>
  <c r="GS97" i="1"/>
  <c r="BP97" i="1"/>
  <c r="DG65" i="1"/>
  <c r="DV96" i="1"/>
  <c r="BP96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BB125" i="1"/>
  <c r="BP125" i="1"/>
  <c r="CD93" i="1"/>
  <c r="BP93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GW99" i="1"/>
  <c r="BP99" i="1"/>
  <c r="CR101" i="1"/>
  <c r="BP101" i="1"/>
  <c r="CW108" i="1"/>
  <c r="BP108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83" i="1"/>
  <c r="IS109" i="1"/>
  <c r="IX94" i="1"/>
  <c r="IX64" i="1"/>
  <c r="V97" i="1"/>
  <c r="IX60" i="1"/>
  <c r="IX73" i="1"/>
  <c r="IX91" i="1"/>
  <c r="IS87" i="1"/>
  <c r="IX68" i="1"/>
  <c r="IX82" i="1"/>
  <c r="V102" i="1"/>
  <c r="IS106" i="1"/>
  <c r="IX61" i="1"/>
  <c r="IX95" i="1"/>
  <c r="IS75" i="1"/>
  <c r="IS110" i="1"/>
  <c r="IX59" i="1"/>
  <c r="IX92" i="1"/>
  <c r="IS107" i="1"/>
  <c r="AD102" i="1"/>
  <c r="AH102" i="1" s="1"/>
  <c r="AC102" i="1"/>
  <c r="AF102" i="1"/>
  <c r="AI102" i="1" s="1"/>
  <c r="IS73" i="1"/>
  <c r="IS74" i="1"/>
  <c r="R91" i="1"/>
  <c r="X91" i="1" s="1"/>
  <c r="AQ91" i="1" s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64" i="1"/>
  <c r="IX55" i="1"/>
  <c r="AC25" i="1"/>
  <c r="AC86" i="1"/>
  <c r="Q90" i="1"/>
  <c r="Q96" i="1"/>
  <c r="IS60" i="1"/>
  <c r="Y16" i="4"/>
  <c r="Y15" i="4"/>
  <c r="X14" i="4"/>
  <c r="X15" i="4"/>
  <c r="V15" i="4"/>
  <c r="IS81" i="1"/>
  <c r="IX67" i="1"/>
  <c r="V93" i="1"/>
  <c r="IX93" i="1"/>
  <c r="IX118" i="1"/>
  <c r="IX80" i="1"/>
  <c r="IS101" i="1"/>
  <c r="IS80" i="1"/>
  <c r="IX66" i="1"/>
  <c r="IS116" i="1"/>
  <c r="IX100" i="1"/>
  <c r="IS117" i="1"/>
  <c r="IX101" i="1"/>
  <c r="AQ102" i="1"/>
  <c r="IW102" i="1"/>
  <c r="IG102" i="1" s="1"/>
  <c r="IR118" i="1"/>
  <c r="AQ101" i="1"/>
  <c r="IW101" i="1"/>
  <c r="IG101" i="1" s="1"/>
  <c r="IS63" i="1"/>
  <c r="IS100" i="1"/>
  <c r="IX79" i="1"/>
  <c r="AQ97" i="1"/>
  <c r="IW97" i="1"/>
  <c r="IG97" i="1" s="1"/>
  <c r="AQ82" i="1"/>
  <c r="IX117" i="1"/>
  <c r="IS118" i="1"/>
  <c r="IX102" i="1"/>
  <c r="IS66" i="1"/>
  <c r="V65" i="1"/>
  <c r="IS79" i="1"/>
  <c r="IX65" i="1"/>
  <c r="IS67" i="1"/>
  <c r="AQ111" i="1"/>
  <c r="IW111" i="1"/>
  <c r="IG111" i="1" s="1"/>
  <c r="IS62" i="1"/>
  <c r="DY118" i="1"/>
  <c r="GF118" i="1"/>
  <c r="Q15" i="1"/>
  <c r="BD118" i="1"/>
  <c r="CO13" i="1"/>
  <c r="EP118" i="1"/>
  <c r="CZ118" i="1"/>
  <c r="GB118" i="1"/>
  <c r="AE54" i="1"/>
  <c r="ET54" i="1" s="1"/>
  <c r="Q17" i="1"/>
  <c r="CQ122" i="1"/>
  <c r="BG70" i="1"/>
  <c r="DB70" i="1"/>
  <c r="DC102" i="1"/>
  <c r="Q40" i="1"/>
  <c r="AQ57" i="1"/>
  <c r="Q38" i="1"/>
  <c r="R32" i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DK70" i="1" s="1"/>
  <c r="BT70" i="1"/>
  <c r="FJ78" i="1"/>
  <c r="EQ112" i="1"/>
  <c r="BZ70" i="1"/>
  <c r="CV102" i="1"/>
  <c r="AZ70" i="1"/>
  <c r="GM70" i="1" s="1"/>
  <c r="DR102" i="1"/>
  <c r="GJ70" i="1"/>
  <c r="GK70" i="1" s="1"/>
  <c r="DD70" i="1"/>
  <c r="BE78" i="1"/>
  <c r="BW102" i="1"/>
  <c r="BZ102" i="1"/>
  <c r="HI70" i="1"/>
  <c r="Q45" i="1"/>
  <c r="CD86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AF95" i="1"/>
  <c r="AM95" i="1" s="1"/>
  <c r="GL86" i="1"/>
  <c r="FK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AF46" i="1"/>
  <c r="AI46" i="1" s="1"/>
  <c r="Q108" i="1"/>
  <c r="BM86" i="1"/>
  <c r="GJ86" i="1"/>
  <c r="AZ54" i="1"/>
  <c r="GM54" i="1" s="1"/>
  <c r="V68" i="1"/>
  <c r="V101" i="1"/>
  <c r="AD46" i="1"/>
  <c r="AH46" i="1" s="1"/>
  <c r="DK86" i="1"/>
  <c r="GU86" i="1"/>
  <c r="BT86" i="1"/>
  <c r="DE86" i="1"/>
  <c r="BZ86" i="1"/>
  <c r="CI86" i="1"/>
  <c r="AJ102" i="1"/>
  <c r="Q100" i="1"/>
  <c r="AC46" i="1"/>
  <c r="EY86" i="1"/>
  <c r="DD86" i="1"/>
  <c r="DB86" i="1"/>
  <c r="DJ86" i="1"/>
  <c r="AC32" i="1"/>
  <c r="AE112" i="1"/>
  <c r="BK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ET86" i="1"/>
  <c r="DH86" i="1"/>
  <c r="DI86" i="1"/>
  <c r="GK86" i="1"/>
  <c r="V70" i="1"/>
  <c r="BG86" i="1"/>
  <c r="GM86" i="1"/>
  <c r="HI86" i="1"/>
  <c r="DT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G54" i="1"/>
  <c r="BZ52" i="1"/>
  <c r="GW52" i="1"/>
  <c r="BY52" i="1"/>
  <c r="HI52" i="1"/>
  <c r="BG52" i="1"/>
  <c r="AZ52" i="1"/>
  <c r="GM52" i="1" s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CO52" i="1"/>
  <c r="CI52" i="1"/>
  <c r="BH60" i="1"/>
  <c r="Q43" i="1"/>
  <c r="BZ13" i="1"/>
  <c r="BS13" i="1"/>
  <c r="DE13" i="1"/>
  <c r="DD13" i="1"/>
  <c r="DD59" i="1"/>
  <c r="GL54" i="1"/>
  <c r="BF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BZ54" i="1"/>
  <c r="BH54" i="1"/>
  <c r="DF54" i="1"/>
  <c r="BY54" i="1"/>
  <c r="DC54" i="1"/>
  <c r="AD53" i="1"/>
  <c r="AH53" i="1" s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BG74" i="1"/>
  <c r="GJ74" i="1"/>
  <c r="HI74" i="1"/>
  <c r="DG74" i="1"/>
  <c r="FB115" i="1"/>
  <c r="DO115" i="1"/>
  <c r="BN83" i="1"/>
  <c r="BP83" i="1" s="1"/>
  <c r="AZ74" i="1"/>
  <c r="GM74" i="1" s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M71" i="1" s="1"/>
  <c r="GJ71" i="1"/>
  <c r="GK71" i="1" s="1"/>
  <c r="DG71" i="1"/>
  <c r="BG71" i="1"/>
  <c r="DF71" i="1"/>
  <c r="BH71" i="1"/>
  <c r="GL71" i="1"/>
  <c r="BD71" i="1"/>
  <c r="DH71" i="1" s="1"/>
  <c r="GW71" i="1"/>
  <c r="DC71" i="1"/>
  <c r="BF71" i="1"/>
  <c r="BI71" i="1" s="1"/>
  <c r="DE71" i="1"/>
  <c r="BV71" i="1"/>
  <c r="BZ71" i="1"/>
  <c r="BW71" i="1"/>
  <c r="CO71" i="1"/>
  <c r="BT71" i="1"/>
  <c r="BS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I68" i="1" s="1"/>
  <c r="BZ68" i="1"/>
  <c r="DE68" i="1"/>
  <c r="CO68" i="1"/>
  <c r="BY68" i="1"/>
  <c r="DG68" i="1"/>
  <c r="BG68" i="1"/>
  <c r="DC68" i="1"/>
  <c r="BD68" i="1"/>
  <c r="DH68" i="1" s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AC38" i="1"/>
  <c r="AD38" i="1"/>
  <c r="AH38" i="1" s="1"/>
  <c r="AE38" i="1"/>
  <c r="ET38" i="1" s="1"/>
  <c r="AF38" i="1"/>
  <c r="AM38" i="1" s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 s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FT88" i="1"/>
  <c r="HB88" i="1"/>
  <c r="HD129" i="1"/>
  <c r="EW106" i="1"/>
  <c r="CP106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DH74" i="1" s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CQ125" i="1"/>
  <c r="HE106" i="1"/>
  <c r="EV106" i="1"/>
  <c r="FE106" i="1"/>
  <c r="DK106" i="1"/>
  <c r="BH106" i="1"/>
  <c r="BV106" i="1"/>
  <c r="GW74" i="1"/>
  <c r="GV74" i="1" s="1"/>
  <c r="GX74" i="1" s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R49" i="1"/>
  <c r="AD43" i="1"/>
  <c r="V59" i="1"/>
  <c r="V60" i="1"/>
  <c r="Q12" i="1"/>
  <c r="CR122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AZ67" i="1"/>
  <c r="GM67" i="1" s="1"/>
  <c r="CI67" i="1"/>
  <c r="GJ67" i="1"/>
  <c r="GK67" i="1" s="1"/>
  <c r="HI67" i="1"/>
  <c r="GL67" i="1"/>
  <c r="DF67" i="1"/>
  <c r="DD67" i="1"/>
  <c r="BS67" i="1"/>
  <c r="BV67" i="1"/>
  <c r="DB67" i="1"/>
  <c r="BW67" i="1"/>
  <c r="DC67" i="1"/>
  <c r="BH67" i="1"/>
  <c r="BD67" i="1"/>
  <c r="DH67" i="1" s="1"/>
  <c r="BY67" i="1"/>
  <c r="GW67" i="1"/>
  <c r="BF67" i="1"/>
  <c r="BI67" i="1" s="1"/>
  <c r="BZ67" i="1"/>
  <c r="CO67" i="1"/>
  <c r="DE67" i="1"/>
  <c r="GL58" i="1"/>
  <c r="BG58" i="1"/>
  <c r="DE58" i="1"/>
  <c r="DF58" i="1"/>
  <c r="BV58" i="1"/>
  <c r="BT58" i="1"/>
  <c r="BY58" i="1"/>
  <c r="CO58" i="1"/>
  <c r="DC58" i="1"/>
  <c r="BH58" i="1"/>
  <c r="GW58" i="1"/>
  <c r="AZ58" i="1"/>
  <c r="GM58" i="1" s="1"/>
  <c r="BD58" i="1"/>
  <c r="DH58" i="1" s="1"/>
  <c r="DB58" i="1"/>
  <c r="GJ58" i="1"/>
  <c r="GK58" i="1" s="1"/>
  <c r="DG58" i="1"/>
  <c r="HI58" i="1"/>
  <c r="CI58" i="1"/>
  <c r="DD58" i="1"/>
  <c r="DG33" i="1"/>
  <c r="BF32" i="1"/>
  <c r="DE32" i="1"/>
  <c r="GM87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I58" i="1" s="1"/>
  <c r="EP77" i="1"/>
  <c r="EJ77" i="1"/>
  <c r="DB109" i="1"/>
  <c r="CT109" i="1"/>
  <c r="ET77" i="1"/>
  <c r="BV77" i="1"/>
  <c r="CH7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P87" i="1" s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BY121" i="1"/>
  <c r="BH117" i="1"/>
  <c r="CG117" i="1"/>
  <c r="HI98" i="1"/>
  <c r="EN98" i="1"/>
  <c r="AZ66" i="1"/>
  <c r="GM66" i="1" s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C73" i="1"/>
  <c r="BT73" i="1"/>
  <c r="BV73" i="1"/>
  <c r="BS73" i="1"/>
  <c r="BF73" i="1"/>
  <c r="DE73" i="1"/>
  <c r="CI73" i="1"/>
  <c r="GW73" i="1"/>
  <c r="BG73" i="1"/>
  <c r="CO73" i="1"/>
  <c r="BH73" i="1"/>
  <c r="BZ73" i="1"/>
  <c r="DB73" i="1"/>
  <c r="GJ73" i="1"/>
  <c r="GK73" i="1" s="1"/>
  <c r="DF73" i="1"/>
  <c r="AZ73" i="1"/>
  <c r="GM73" i="1" s="1"/>
  <c r="DD73" i="1"/>
  <c r="BY73" i="1"/>
  <c r="BD73" i="1"/>
  <c r="DH73" i="1" s="1"/>
  <c r="BW73" i="1"/>
  <c r="GL73" i="1"/>
  <c r="HI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CO72" i="1"/>
  <c r="BT72" i="1"/>
  <c r="BG72" i="1"/>
  <c r="HI72" i="1"/>
  <c r="DE72" i="1"/>
  <c r="BD72" i="1"/>
  <c r="DH72" i="1" s="1"/>
  <c r="GJ72" i="1"/>
  <c r="GK72" i="1" s="1"/>
  <c r="BH72" i="1"/>
  <c r="GL72" i="1"/>
  <c r="BW72" i="1"/>
  <c r="DF72" i="1"/>
  <c r="GW72" i="1"/>
  <c r="AZ72" i="1"/>
  <c r="GM72" i="1" s="1"/>
  <c r="DC72" i="1"/>
  <c r="DG72" i="1"/>
  <c r="DB72" i="1"/>
  <c r="CI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AC53" i="1"/>
  <c r="AF59" i="1"/>
  <c r="EU59" i="1" s="1"/>
  <c r="EY59" i="1" s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L87" i="1"/>
  <c r="BT87" i="1"/>
  <c r="BK87" i="1"/>
  <c r="BG87" i="1"/>
  <c r="BS87" i="1"/>
  <c r="FK87" i="1"/>
  <c r="HI87" i="1"/>
  <c r="GX87" i="1"/>
  <c r="DG87" i="1"/>
  <c r="BY87" i="1"/>
  <c r="GW87" i="1"/>
  <c r="BZ87" i="1"/>
  <c r="ET87" i="1"/>
  <c r="DH87" i="1"/>
  <c r="BJ87" i="1"/>
  <c r="CO87" i="1"/>
  <c r="BD87" i="1"/>
  <c r="CI87" i="1"/>
  <c r="GV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ET53" i="1" s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N86" i="1"/>
  <c r="BP86" i="1" s="1"/>
  <c r="BS86" i="1"/>
  <c r="BJ86" i="1"/>
  <c r="BO86" i="1" s="1"/>
  <c r="CH86" i="1" s="1"/>
  <c r="CO86" i="1"/>
  <c r="BF86" i="1"/>
  <c r="BI86" i="1"/>
  <c r="BY86" i="1"/>
  <c r="BH86" i="1"/>
  <c r="BD86" i="1"/>
  <c r="DD54" i="1"/>
  <c r="DK54" i="1" s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BD70" i="1"/>
  <c r="DH70" i="1" s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EU112" i="1"/>
  <c r="EM112" i="1"/>
  <c r="CR112" i="1"/>
  <c r="DC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DE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EZ112" i="1"/>
  <c r="BK112" i="1"/>
  <c r="ES112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CH78" i="1"/>
  <c r="EO112" i="1"/>
  <c r="CH112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GU87" i="1"/>
  <c r="DT87" i="1"/>
  <c r="DJ87" i="1"/>
  <c r="AZ87" i="1"/>
  <c r="BM87" i="1"/>
  <c r="BR87" i="1" s="1"/>
  <c r="EY87" i="1"/>
  <c r="ES87" i="1"/>
  <c r="AE86" i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Q69" i="1"/>
  <c r="GL68" i="1"/>
  <c r="BT68" i="1"/>
  <c r="DF68" i="1"/>
  <c r="BV68" i="1"/>
  <c r="BH68" i="1"/>
  <c r="DB68" i="1"/>
  <c r="DI68" i="1" s="1"/>
  <c r="GJ68" i="1"/>
  <c r="GK68" i="1" s="1"/>
  <c r="Q64" i="1"/>
  <c r="AE45" i="1"/>
  <c r="ET45" i="1" s="1"/>
  <c r="AE35" i="1"/>
  <c r="ET35" i="1" s="1"/>
  <c r="AE18" i="1"/>
  <c r="ET18" i="1" s="1"/>
  <c r="Q14" i="1"/>
  <c r="AF13" i="1"/>
  <c r="EU13" i="1" s="1"/>
  <c r="EY13" i="1" s="1"/>
  <c r="AH10" i="1"/>
  <c r="DK94" i="1"/>
  <c r="DD2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GL62" i="1"/>
  <c r="BK94" i="1"/>
  <c r="DD94" i="1"/>
  <c r="GW62" i="1"/>
  <c r="ES62" i="1"/>
  <c r="DD62" i="1"/>
  <c r="BS62" i="1"/>
  <c r="BH62" i="1"/>
  <c r="BT62" i="1"/>
  <c r="BD62" i="1"/>
  <c r="DH62" i="1" s="1"/>
  <c r="CO62" i="1"/>
  <c r="AZ62" i="1"/>
  <c r="GM62" i="1" s="1"/>
  <c r="BW62" i="1"/>
  <c r="DG62" i="1"/>
  <c r="DC62" i="1"/>
  <c r="BZ62" i="1"/>
  <c r="BF62" i="1"/>
  <c r="BL62" i="1" s="1"/>
  <c r="BY62" i="1"/>
  <c r="HI62" i="1"/>
  <c r="BG62" i="1"/>
  <c r="ET62" i="1"/>
  <c r="DB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CV94" i="1"/>
  <c r="BH94" i="1"/>
  <c r="AD37" i="1"/>
  <c r="AE37" i="1"/>
  <c r="ET37" i="1" s="1"/>
  <c r="BF30" i="1"/>
  <c r="CO30" i="1"/>
  <c r="R14" i="1"/>
  <c r="BV62" i="1"/>
  <c r="GJ62" i="1"/>
  <c r="GK62" i="1" s="1"/>
  <c r="FO94" i="1"/>
  <c r="CB94" i="1"/>
  <c r="GJ30" i="1"/>
  <c r="GK30" i="1" s="1"/>
  <c r="AF30" i="1"/>
  <c r="AI30" i="1" s="1"/>
  <c r="BF22" i="1"/>
  <c r="DF62" i="1"/>
  <c r="FE94" i="1"/>
  <c r="HD94" i="1"/>
  <c r="GJ44" i="1"/>
  <c r="GK44" i="1" s="1"/>
  <c r="DD44" i="1"/>
  <c r="DC30" i="1"/>
  <c r="BH30" i="1"/>
  <c r="BV22" i="1"/>
  <c r="BD22" i="1"/>
  <c r="DH22" i="1" s="1"/>
  <c r="FT94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GW66" i="1"/>
  <c r="EQ95" i="1"/>
  <c r="CH100" i="1"/>
  <c r="DH100" i="1"/>
  <c r="BX100" i="1"/>
  <c r="EH80" i="1"/>
  <c r="DD75" i="1"/>
  <c r="BD75" i="1"/>
  <c r="DH75" i="1" s="1"/>
  <c r="BS75" i="1"/>
  <c r="DB75" i="1"/>
  <c r="BT75" i="1"/>
  <c r="BH75" i="1"/>
  <c r="BF75" i="1"/>
  <c r="DC75" i="1"/>
  <c r="CI75" i="1"/>
  <c r="BY75" i="1"/>
  <c r="ET75" i="1"/>
  <c r="BZ75" i="1"/>
  <c r="HI75" i="1"/>
  <c r="EU75" i="1"/>
  <c r="EY75" i="1" s="1"/>
  <c r="DF75" i="1"/>
  <c r="DG75" i="1"/>
  <c r="GJ75" i="1"/>
  <c r="GK75" i="1" s="1"/>
  <c r="CO75" i="1"/>
  <c r="BV75" i="1"/>
  <c r="DE75" i="1"/>
  <c r="ES75" i="1"/>
  <c r="GW75" i="1"/>
  <c r="BW75" i="1"/>
  <c r="GL75" i="1"/>
  <c r="AZ75" i="1"/>
  <c r="GM75" i="1" s="1"/>
  <c r="BG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BY31" i="1"/>
  <c r="BR81" i="1"/>
  <c r="BQ100" i="1"/>
  <c r="HG80" i="1"/>
  <c r="DS81" i="1"/>
  <c r="EJ81" i="1"/>
  <c r="EK95" i="1"/>
  <c r="DD34" i="1"/>
  <c r="DE34" i="1"/>
  <c r="DB63" i="1"/>
  <c r="GL63" i="1"/>
  <c r="DD63" i="1"/>
  <c r="BH63" i="1"/>
  <c r="DE63" i="1"/>
  <c r="GJ63" i="1"/>
  <c r="GK63" i="1" s="1"/>
  <c r="GW63" i="1"/>
  <c r="BF63" i="1"/>
  <c r="BI63" i="1" s="1"/>
  <c r="AZ63" i="1"/>
  <c r="BT63" i="1"/>
  <c r="BG63" i="1"/>
  <c r="BY63" i="1"/>
  <c r="HI63" i="1"/>
  <c r="BS63" i="1"/>
  <c r="CI63" i="1"/>
  <c r="CO63" i="1"/>
  <c r="BD63" i="1"/>
  <c r="DH63" i="1" s="1"/>
  <c r="BZ63" i="1"/>
  <c r="BW63" i="1"/>
  <c r="BN85" i="1"/>
  <c r="BP85" i="1" s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BS31" i="1"/>
  <c r="CU80" i="1"/>
  <c r="DI85" i="1"/>
  <c r="BS85" i="1"/>
  <c r="BH81" i="1"/>
  <c r="HB100" i="1"/>
  <c r="CT100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GW31" i="1"/>
  <c r="GD98" i="1"/>
  <c r="CQ81" i="1"/>
  <c r="BY81" i="1"/>
  <c r="DE81" i="1"/>
  <c r="EB81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DC66" i="1"/>
  <c r="BH31" i="1"/>
  <c r="BZ31" i="1"/>
  <c r="BZ95" i="1"/>
  <c r="FB81" i="1"/>
  <c r="CM100" i="1"/>
  <c r="GM80" i="1"/>
  <c r="GV81" i="1"/>
  <c r="DF66" i="1"/>
  <c r="BH66" i="1"/>
  <c r="DE66" i="1"/>
  <c r="BF66" i="1"/>
  <c r="BI66" i="1" s="1"/>
  <c r="DG66" i="1"/>
  <c r="DB66" i="1"/>
  <c r="BD66" i="1"/>
  <c r="DH66" i="1" s="1"/>
  <c r="CI66" i="1"/>
  <c r="BS66" i="1"/>
  <c r="BY66" i="1"/>
  <c r="DD66" i="1"/>
  <c r="GJ66" i="1"/>
  <c r="BZ66" i="1"/>
  <c r="HI66" i="1"/>
  <c r="BT66" i="1"/>
  <c r="CO66" i="1"/>
  <c r="BW66" i="1"/>
  <c r="GL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CS80" i="1"/>
  <c r="CZ80" i="1"/>
  <c r="DG31" i="1"/>
  <c r="DK80" i="1"/>
  <c r="EF81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BG66" i="1"/>
  <c r="BV66" i="1"/>
  <c r="DF63" i="1"/>
  <c r="BK85" i="1"/>
  <c r="CQ80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CI53" i="1"/>
  <c r="DG53" i="1"/>
  <c r="BG53" i="1"/>
  <c r="DF53" i="1"/>
  <c r="AZ53" i="1"/>
  <c r="CO53" i="1"/>
  <c r="BY53" i="1"/>
  <c r="BD53" i="1"/>
  <c r="DH53" i="1" s="1"/>
  <c r="BZ53" i="1"/>
  <c r="BF53" i="1"/>
  <c r="BI53" i="1" s="1"/>
  <c r="BS53" i="1"/>
  <c r="BH53" i="1"/>
  <c r="GW53" i="1"/>
  <c r="DD53" i="1"/>
  <c r="DC53" i="1"/>
  <c r="HI53" i="1"/>
  <c r="DB53" i="1"/>
  <c r="BV53" i="1"/>
  <c r="DE53" i="1"/>
  <c r="GJ53" i="1"/>
  <c r="GL53" i="1"/>
  <c r="R51" i="1"/>
  <c r="Q49" i="1"/>
  <c r="Q48" i="1"/>
  <c r="R37" i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DH69" i="1" s="1"/>
  <c r="CJ101" i="1"/>
  <c r="DC101" i="1"/>
  <c r="DG69" i="1"/>
  <c r="BY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DM79" i="1"/>
  <c r="CC123" i="1"/>
  <c r="CT123" i="1"/>
  <c r="ET59" i="1"/>
  <c r="GW59" i="1"/>
  <c r="BZ59" i="1"/>
  <c r="DG59" i="1"/>
  <c r="AZ59" i="1"/>
  <c r="GM59" i="1" s="1"/>
  <c r="GJ59" i="1"/>
  <c r="GK59" i="1" s="1"/>
  <c r="DF59" i="1"/>
  <c r="DB59" i="1"/>
  <c r="GL59" i="1"/>
  <c r="BW59" i="1"/>
  <c r="CO59" i="1"/>
  <c r="BY59" i="1"/>
  <c r="CI59" i="1"/>
  <c r="BS59" i="1"/>
  <c r="BV59" i="1"/>
  <c r="HI59" i="1"/>
  <c r="BD59" i="1"/>
  <c r="DH59" i="1" s="1"/>
  <c r="BH59" i="1"/>
  <c r="DC59" i="1"/>
  <c r="BG59" i="1"/>
  <c r="BF59" i="1"/>
  <c r="DE59" i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BT69" i="1"/>
  <c r="BF69" i="1"/>
  <c r="BI69" i="1" s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BD14" i="1"/>
  <c r="DH14" i="1" s="1"/>
  <c r="EE79" i="1"/>
  <c r="EA123" i="1"/>
  <c r="HC123" i="1"/>
  <c r="BY123" i="1"/>
  <c r="BI123" i="1"/>
  <c r="DC123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BZ69" i="1"/>
  <c r="DY96" i="1"/>
  <c r="ED108" i="1"/>
  <c r="EU108" i="1"/>
  <c r="BL108" i="1"/>
  <c r="EM108" i="1"/>
  <c r="BY108" i="1"/>
  <c r="AZ108" i="1"/>
  <c r="BH108" i="1"/>
  <c r="BF108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DG64" i="1"/>
  <c r="CI64" i="1"/>
  <c r="DB64" i="1"/>
  <c r="BS64" i="1"/>
  <c r="HI64" i="1"/>
  <c r="DE64" i="1"/>
  <c r="BY64" i="1"/>
  <c r="DD64" i="1"/>
  <c r="BD64" i="1"/>
  <c r="DH64" i="1" s="1"/>
  <c r="GL64" i="1"/>
  <c r="BW64" i="1"/>
  <c r="CO64" i="1"/>
  <c r="DF64" i="1"/>
  <c r="GW64" i="1"/>
  <c r="DC64" i="1"/>
  <c r="BT64" i="1"/>
  <c r="GJ64" i="1"/>
  <c r="GK64" i="1" s="1"/>
  <c r="BV64" i="1"/>
  <c r="BZ64" i="1"/>
  <c r="BF64" i="1"/>
  <c r="AZ64" i="1"/>
  <c r="GM64" i="1" s="1"/>
  <c r="BH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ET96" i="1"/>
  <c r="HC108" i="1"/>
  <c r="GM108" i="1"/>
  <c r="GK108" i="1"/>
  <c r="GD108" i="1"/>
  <c r="FJ108" i="1"/>
  <c r="EI108" i="1"/>
  <c r="GU108" i="1"/>
  <c r="FR108" i="1"/>
  <c r="BU108" i="1"/>
  <c r="BZ108" i="1"/>
  <c r="CG108" i="1"/>
  <c r="DI111" i="1"/>
  <c r="BN111" i="1"/>
  <c r="GZ111" i="1"/>
  <c r="HF111" i="1"/>
  <c r="GC111" i="1"/>
  <c r="DC111" i="1"/>
  <c r="BH111" i="1"/>
  <c r="DR97" i="1"/>
  <c r="DH97" i="1"/>
  <c r="FP123" i="1"/>
  <c r="FR123" i="1"/>
  <c r="CV123" i="1"/>
  <c r="BG64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FP108" i="1"/>
  <c r="EW108" i="1"/>
  <c r="HA108" i="1"/>
  <c r="ER108" i="1"/>
  <c r="DK108" i="1"/>
  <c r="BA111" i="1"/>
  <c r="EO111" i="1"/>
  <c r="CO111" i="1"/>
  <c r="FJ111" i="1"/>
  <c r="GE111" i="1"/>
  <c r="FW111" i="1"/>
  <c r="CC111" i="1"/>
  <c r="BX111" i="1"/>
  <c r="CX97" i="1"/>
  <c r="BQ97" i="1"/>
  <c r="DP108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K69" i="1" s="1"/>
  <c r="HI69" i="1"/>
  <c r="GW69" i="1"/>
  <c r="GL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S69" i="1"/>
  <c r="EZ96" i="1"/>
  <c r="GJ18" i="1"/>
  <c r="GK18" i="1" s="1"/>
  <c r="BQ108" i="1"/>
  <c r="GH108" i="1"/>
  <c r="EA108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BN79" i="1"/>
  <c r="EC123" i="1"/>
  <c r="FY123" i="1"/>
  <c r="GR123" i="1"/>
  <c r="AZ65" i="1"/>
  <c r="GM65" i="1" s="1"/>
  <c r="BY65" i="1"/>
  <c r="BF65" i="1"/>
  <c r="BI65" i="1" s="1"/>
  <c r="CO65" i="1"/>
  <c r="BV65" i="1"/>
  <c r="DE65" i="1"/>
  <c r="BD65" i="1"/>
  <c r="DH65" i="1" s="1"/>
  <c r="BH65" i="1"/>
  <c r="BG65" i="1"/>
  <c r="CI65" i="1"/>
  <c r="DF65" i="1"/>
  <c r="BS65" i="1"/>
  <c r="DD65" i="1"/>
  <c r="DK65" i="1" s="1"/>
  <c r="BW65" i="1"/>
  <c r="BT65" i="1"/>
  <c r="DC65" i="1"/>
  <c r="GJ65" i="1"/>
  <c r="GK65" i="1" s="1"/>
  <c r="GW65" i="1"/>
  <c r="HI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DB60" i="1"/>
  <c r="AZ60" i="1"/>
  <c r="GM60" i="1" s="1"/>
  <c r="CI60" i="1"/>
  <c r="GW60" i="1"/>
  <c r="DD60" i="1"/>
  <c r="BD60" i="1"/>
  <c r="DH60" i="1" s="1"/>
  <c r="DG60" i="1"/>
  <c r="DF60" i="1"/>
  <c r="BG60" i="1"/>
  <c r="GL60" i="1"/>
  <c r="BY60" i="1"/>
  <c r="HI60" i="1"/>
  <c r="CO60" i="1"/>
  <c r="DC60" i="1"/>
  <c r="BV60" i="1"/>
  <c r="DC14" i="1"/>
  <c r="DF14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CT108" i="1"/>
  <c r="CX108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Z74" i="1"/>
  <c r="BS74" i="1"/>
  <c r="DE74" i="1"/>
  <c r="DF74" i="1"/>
  <c r="CI74" i="1"/>
  <c r="BW74" i="1"/>
  <c r="BF74" i="1"/>
  <c r="BI74" i="1" s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CI61" i="1"/>
  <c r="BH61" i="1"/>
  <c r="DF61" i="1"/>
  <c r="BD61" i="1"/>
  <c r="DH61" i="1" s="1"/>
  <c r="GW61" i="1"/>
  <c r="BG61" i="1"/>
  <c r="BZ61" i="1"/>
  <c r="BS61" i="1"/>
  <c r="BW61" i="1"/>
  <c r="GJ61" i="1"/>
  <c r="GK61" i="1" s="1"/>
  <c r="DC61" i="1"/>
  <c r="BV61" i="1"/>
  <c r="DD61" i="1"/>
  <c r="BF61" i="1"/>
  <c r="BI61" i="1" s="1"/>
  <c r="GL61" i="1"/>
  <c r="DE61" i="1"/>
  <c r="BT61" i="1"/>
  <c r="HI61" i="1"/>
  <c r="DB61" i="1"/>
  <c r="DG61" i="1"/>
  <c r="CO61" i="1"/>
  <c r="AZ61" i="1"/>
  <c r="BY61" i="1"/>
  <c r="GW68" i="1"/>
  <c r="HI68" i="1"/>
  <c r="AZ68" i="1"/>
  <c r="GM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GM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O87" i="1"/>
  <c r="CH87" i="1" s="1"/>
  <c r="BH87" i="1"/>
  <c r="DF87" i="1"/>
  <c r="DI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AZ69" i="1"/>
  <c r="GM69" i="1" s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DE60" i="1"/>
  <c r="BT60" i="1"/>
  <c r="BW60" i="1"/>
  <c r="GJ60" i="1"/>
  <c r="GK60" i="1" s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ET60" i="1" s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ES60" i="1" s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ET72" i="1" s="1"/>
  <c r="AE67" i="1"/>
  <c r="ET67" i="1" s="1"/>
  <c r="AE66" i="1"/>
  <c r="ET66" i="1" s="1"/>
  <c r="R64" i="1"/>
  <c r="X64" i="1" s="1"/>
  <c r="AE63" i="1"/>
  <c r="ET63" i="1" s="1"/>
  <c r="AD63" i="1"/>
  <c r="AH63" i="1" s="1"/>
  <c r="AC63" i="1"/>
  <c r="AF63" i="1"/>
  <c r="EU63" i="1" s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EU74" i="1" s="1"/>
  <c r="EY74" i="1" s="1"/>
  <c r="AE74" i="1"/>
  <c r="ET74" i="1" s="1"/>
  <c r="R74" i="1"/>
  <c r="X74" i="1" s="1"/>
  <c r="IW74" i="1" s="1"/>
  <c r="IG74" i="1" s="1"/>
  <c r="Q74" i="1"/>
  <c r="V73" i="1"/>
  <c r="AC73" i="1"/>
  <c r="AE73" i="1"/>
  <c r="ET73" i="1" s="1"/>
  <c r="AF73" i="1"/>
  <c r="EU73" i="1" s="1"/>
  <c r="EY73" i="1" s="1"/>
  <c r="AD73" i="1"/>
  <c r="AH73" i="1" s="1"/>
  <c r="V72" i="1"/>
  <c r="AF72" i="1"/>
  <c r="EU72" i="1" s="1"/>
  <c r="EY72" i="1" s="1"/>
  <c r="AC72" i="1"/>
  <c r="AD72" i="1"/>
  <c r="AH72" i="1" s="1"/>
  <c r="Q72" i="1"/>
  <c r="R72" i="1"/>
  <c r="X72" i="1" s="1"/>
  <c r="IW72" i="1" s="1"/>
  <c r="IG72" i="1" s="1"/>
  <c r="AF71" i="1"/>
  <c r="EU71" i="1" s="1"/>
  <c r="EY71" i="1" s="1"/>
  <c r="Q71" i="1"/>
  <c r="R71" i="1"/>
  <c r="X71" i="1" s="1"/>
  <c r="IW71" i="1" s="1"/>
  <c r="IG71" i="1" s="1"/>
  <c r="AE71" i="1"/>
  <c r="ET71" i="1" s="1"/>
  <c r="AD71" i="1"/>
  <c r="AH71" i="1" s="1"/>
  <c r="BL71" i="1" s="1"/>
  <c r="AC71" i="1"/>
  <c r="AD70" i="1"/>
  <c r="AH70" i="1" s="1"/>
  <c r="AE70" i="1"/>
  <c r="ET70" i="1" s="1"/>
  <c r="AC70" i="1"/>
  <c r="AF70" i="1"/>
  <c r="EU70" i="1" s="1"/>
  <c r="EY70" i="1" s="1"/>
  <c r="AC69" i="1"/>
  <c r="AD69" i="1"/>
  <c r="AH69" i="1" s="1"/>
  <c r="AF69" i="1"/>
  <c r="EU69" i="1" s="1"/>
  <c r="EY69" i="1" s="1"/>
  <c r="AF68" i="1"/>
  <c r="EU68" i="1" s="1"/>
  <c r="EY68" i="1" s="1"/>
  <c r="AD68" i="1"/>
  <c r="AH68" i="1" s="1"/>
  <c r="AE68" i="1"/>
  <c r="ET68" i="1" s="1"/>
  <c r="AC68" i="1"/>
  <c r="V67" i="1"/>
  <c r="AC67" i="1"/>
  <c r="Q67" i="1"/>
  <c r="AC66" i="1"/>
  <c r="AD66" i="1"/>
  <c r="AH66" i="1" s="1"/>
  <c r="AF66" i="1"/>
  <c r="EU66" i="1" s="1"/>
  <c r="R66" i="1"/>
  <c r="X66" i="1" s="1"/>
  <c r="Q66" i="1"/>
  <c r="AE65" i="1"/>
  <c r="ET65" i="1" s="1"/>
  <c r="AC65" i="1"/>
  <c r="AF65" i="1"/>
  <c r="EU65" i="1" s="1"/>
  <c r="AD65" i="1"/>
  <c r="AH65" i="1" s="1"/>
  <c r="V64" i="1"/>
  <c r="AF64" i="1"/>
  <c r="EU64" i="1" s="1"/>
  <c r="AE64" i="1"/>
  <c r="ET64" i="1" s="1"/>
  <c r="AC64" i="1"/>
  <c r="AD64" i="1"/>
  <c r="AH64" i="1" s="1"/>
  <c r="R63" i="1"/>
  <c r="X63" i="1" s="1"/>
  <c r="Q63" i="1"/>
  <c r="V61" i="1"/>
  <c r="AE61" i="1"/>
  <c r="ET61" i="1" s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EU58" i="1" s="1"/>
  <c r="EY58" i="1" s="1"/>
  <c r="R58" i="1"/>
  <c r="X58" i="1" s="1"/>
  <c r="Q58" i="1"/>
  <c r="AC58" i="1"/>
  <c r="AE58" i="1"/>
  <c r="ET58" i="1" s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54" i="1" l="1"/>
  <c r="IX39" i="1"/>
  <c r="IS55" i="1"/>
  <c r="IS57" i="1"/>
  <c r="IS37" i="1"/>
  <c r="IS17" i="1"/>
  <c r="IS38" i="1"/>
  <c r="IS39" i="1"/>
  <c r="IX42" i="1"/>
  <c r="IX16" i="1"/>
  <c r="IX43" i="1"/>
  <c r="IS52" i="1"/>
  <c r="IX25" i="1"/>
  <c r="IX24" i="1"/>
  <c r="IS26" i="1"/>
  <c r="IS24" i="1"/>
  <c r="IS16" i="1"/>
  <c r="IX17" i="1"/>
  <c r="IX26" i="1"/>
  <c r="IS44" i="1"/>
  <c r="DI70" i="1"/>
  <c r="DT70" i="1" s="1"/>
  <c r="IS41" i="1"/>
  <c r="DJ70" i="1"/>
  <c r="GV70" i="1"/>
  <c r="GX70" i="1" s="1"/>
  <c r="CD70" i="1"/>
  <c r="BL70" i="1"/>
  <c r="BI70" i="1"/>
  <c r="ES70" i="1"/>
  <c r="FK70" i="1" s="1"/>
  <c r="IS43" i="1"/>
  <c r="IS42" i="1"/>
  <c r="IX29" i="1"/>
  <c r="V54" i="1"/>
  <c r="DK71" i="1"/>
  <c r="IX54" i="1"/>
  <c r="IS23" i="1"/>
  <c r="V38" i="1"/>
  <c r="GV71" i="1"/>
  <c r="GU71" i="1" s="1"/>
  <c r="DK63" i="1"/>
  <c r="DJ74" i="1"/>
  <c r="DK75" i="1"/>
  <c r="DJ75" i="1"/>
  <c r="DI75" i="1"/>
  <c r="CD75" i="1"/>
  <c r="GV75" i="1"/>
  <c r="GU75" i="1" s="1"/>
  <c r="FK75" i="1"/>
  <c r="BL75" i="1"/>
  <c r="BI75" i="1"/>
  <c r="CD74" i="1"/>
  <c r="GU74" i="1"/>
  <c r="DI74" i="1"/>
  <c r="DJ73" i="1"/>
  <c r="ES74" i="1"/>
  <c r="FK74" i="1" s="1"/>
  <c r="BL74" i="1"/>
  <c r="GV73" i="1"/>
  <c r="GX73" i="1" s="1"/>
  <c r="DJ72" i="1"/>
  <c r="CD73" i="1"/>
  <c r="DK73" i="1"/>
  <c r="DI73" i="1"/>
  <c r="BL73" i="1"/>
  <c r="BI73" i="1"/>
  <c r="ES73" i="1"/>
  <c r="FK73" i="1" s="1"/>
  <c r="GV72" i="1"/>
  <c r="GX72" i="1" s="1"/>
  <c r="DK72" i="1"/>
  <c r="DJ71" i="1"/>
  <c r="DI71" i="1"/>
  <c r="CD72" i="1"/>
  <c r="GX71" i="1"/>
  <c r="DI72" i="1"/>
  <c r="BL72" i="1"/>
  <c r="BI72" i="1"/>
  <c r="ES72" i="1"/>
  <c r="FK72" i="1" s="1"/>
  <c r="CD71" i="1"/>
  <c r="ES71" i="1"/>
  <c r="FK71" i="1" s="1"/>
  <c r="BL59" i="1"/>
  <c r="BL68" i="1"/>
  <c r="ES59" i="1"/>
  <c r="FK59" i="1" s="1"/>
  <c r="IS45" i="1"/>
  <c r="IX44" i="1"/>
  <c r="DK59" i="1"/>
  <c r="EU60" i="1"/>
  <c r="EY60" i="1" s="1"/>
  <c r="GV68" i="1"/>
  <c r="GU68" i="1" s="1"/>
  <c r="GV69" i="1"/>
  <c r="GX69" i="1" s="1"/>
  <c r="GV54" i="1"/>
  <c r="GX54" i="1" s="1"/>
  <c r="DJ68" i="1"/>
  <c r="BL65" i="1"/>
  <c r="DK68" i="1"/>
  <c r="V22" i="1"/>
  <c r="IS21" i="1"/>
  <c r="EU53" i="1"/>
  <c r="EY53" i="1" s="1"/>
  <c r="DK67" i="1"/>
  <c r="IX40" i="1"/>
  <c r="DI59" i="1"/>
  <c r="ES53" i="1"/>
  <c r="FK53" i="1" s="1"/>
  <c r="BI59" i="1"/>
  <c r="CD69" i="1"/>
  <c r="GV66" i="1"/>
  <c r="GX66" i="1" s="1"/>
  <c r="GV67" i="1"/>
  <c r="GX67" i="1" s="1"/>
  <c r="GU69" i="1"/>
  <c r="DJ67" i="1"/>
  <c r="BL66" i="1"/>
  <c r="CD67" i="1"/>
  <c r="DK60" i="1"/>
  <c r="DK66" i="1"/>
  <c r="CD58" i="1"/>
  <c r="GU67" i="1"/>
  <c r="DI66" i="1"/>
  <c r="DK69" i="1"/>
  <c r="GV59" i="1"/>
  <c r="GX59" i="1" s="1"/>
  <c r="CD68" i="1"/>
  <c r="GV60" i="1"/>
  <c r="GX60" i="1" s="1"/>
  <c r="CD59" i="1"/>
  <c r="CD66" i="1"/>
  <c r="DJ59" i="1"/>
  <c r="DJ66" i="1"/>
  <c r="DK58" i="1"/>
  <c r="GV58" i="1"/>
  <c r="GU58" i="1" s="1"/>
  <c r="DJ58" i="1"/>
  <c r="DI58" i="1"/>
  <c r="DJ69" i="1"/>
  <c r="DI67" i="1"/>
  <c r="DJ60" i="1"/>
  <c r="DI69" i="1"/>
  <c r="DI60" i="1"/>
  <c r="ES69" i="1"/>
  <c r="FK69" i="1" s="1"/>
  <c r="FK60" i="1"/>
  <c r="BL69" i="1"/>
  <c r="BL58" i="1"/>
  <c r="CD60" i="1"/>
  <c r="DJ54" i="1"/>
  <c r="IS51" i="1"/>
  <c r="BI60" i="1"/>
  <c r="EU67" i="1"/>
  <c r="EY67" i="1" s="1"/>
  <c r="ES67" i="1"/>
  <c r="FK67" i="1" s="1"/>
  <c r="BL67" i="1"/>
  <c r="ES68" i="1"/>
  <c r="FK68" i="1" s="1"/>
  <c r="ES58" i="1"/>
  <c r="FK58" i="1" s="1"/>
  <c r="EY66" i="1"/>
  <c r="GK66" i="1"/>
  <c r="ES66" i="1"/>
  <c r="FK66" i="1" s="1"/>
  <c r="IS27" i="1"/>
  <c r="EU62" i="1"/>
  <c r="EY62" i="1" s="1"/>
  <c r="IS29" i="1"/>
  <c r="GV65" i="1"/>
  <c r="GX65" i="1" s="1"/>
  <c r="DJ65" i="1"/>
  <c r="DI64" i="1"/>
  <c r="GV64" i="1"/>
  <c r="GU64" i="1" s="1"/>
  <c r="DI63" i="1"/>
  <c r="DI65" i="1"/>
  <c r="EY65" i="1"/>
  <c r="CD65" i="1"/>
  <c r="ES65" i="1"/>
  <c r="FK65" i="1" s="1"/>
  <c r="CD63" i="1"/>
  <c r="DK64" i="1"/>
  <c r="DJ64" i="1"/>
  <c r="CD64" i="1"/>
  <c r="EY64" i="1"/>
  <c r="BL64" i="1"/>
  <c r="BL61" i="1"/>
  <c r="BI64" i="1"/>
  <c r="ES64" i="1"/>
  <c r="FK64" i="1" s="1"/>
  <c r="GV63" i="1"/>
  <c r="GU63" i="1" s="1"/>
  <c r="DJ63" i="1"/>
  <c r="EY63" i="1"/>
  <c r="DI61" i="1"/>
  <c r="ES63" i="1"/>
  <c r="FK63" i="1" s="1"/>
  <c r="BL63" i="1"/>
  <c r="DJ62" i="1"/>
  <c r="DK61" i="1"/>
  <c r="DI62" i="1"/>
  <c r="FK62" i="1"/>
  <c r="DK62" i="1"/>
  <c r="GV62" i="1"/>
  <c r="GX62" i="1" s="1"/>
  <c r="BI62" i="1"/>
  <c r="CD62" i="1"/>
  <c r="CD61" i="1"/>
  <c r="GV61" i="1"/>
  <c r="GU61" i="1" s="1"/>
  <c r="DJ61" i="1"/>
  <c r="GM61" i="1"/>
  <c r="EU61" i="1"/>
  <c r="ES61" i="1"/>
  <c r="FK61" i="1" s="1"/>
  <c r="DI54" i="1"/>
  <c r="IS47" i="1"/>
  <c r="CD54" i="1"/>
  <c r="ES54" i="1"/>
  <c r="FK54" i="1" s="1"/>
  <c r="BL53" i="1"/>
  <c r="BL54" i="1"/>
  <c r="GV53" i="1"/>
  <c r="GX53" i="1" s="1"/>
  <c r="BI54" i="1"/>
  <c r="DJ53" i="1"/>
  <c r="DK53" i="1"/>
  <c r="DI53" i="1"/>
  <c r="GV52" i="1"/>
  <c r="GX52" i="1" s="1"/>
  <c r="DT51" i="1"/>
  <c r="IS40" i="1"/>
  <c r="EU35" i="1"/>
  <c r="EY35" i="1" s="1"/>
  <c r="IX28" i="1"/>
  <c r="IS20" i="1"/>
  <c r="V21" i="1"/>
  <c r="V41" i="1"/>
  <c r="V23" i="1"/>
  <c r="V45" i="1"/>
  <c r="V14" i="1"/>
  <c r="IS56" i="1"/>
  <c r="IS32" i="1"/>
  <c r="IS35" i="1"/>
  <c r="IX30" i="1"/>
  <c r="IS33" i="1"/>
  <c r="IS30" i="1"/>
  <c r="IS48" i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IX18" i="1"/>
  <c r="IS53" i="1"/>
  <c r="IX37" i="1"/>
  <c r="IX53" i="1"/>
  <c r="IS65" i="1"/>
  <c r="IS22" i="1"/>
  <c r="IX19" i="1"/>
  <c r="IS58" i="1"/>
  <c r="IX48" i="1"/>
  <c r="IS49" i="1"/>
  <c r="IS31" i="1"/>
  <c r="IX51" i="1"/>
  <c r="IW36" i="1"/>
  <c r="IG36" i="1" s="1"/>
  <c r="IS34" i="1"/>
  <c r="AG44" i="1"/>
  <c r="BK44" i="1" s="1"/>
  <c r="X35" i="1"/>
  <c r="IW35" i="1" s="1"/>
  <c r="IG35" i="1" s="1"/>
  <c r="X39" i="1"/>
  <c r="AQ39" i="1" s="1"/>
  <c r="X30" i="1"/>
  <c r="AQ30" i="1" s="1"/>
  <c r="X43" i="1"/>
  <c r="IW43" i="1" s="1"/>
  <c r="IG43" i="1" s="1"/>
  <c r="X50" i="1"/>
  <c r="AQ50" i="1" s="1"/>
  <c r="X49" i="1"/>
  <c r="AQ49" i="1" s="1"/>
  <c r="X38" i="1"/>
  <c r="IW38" i="1" s="1"/>
  <c r="IG38" i="1" s="1"/>
  <c r="X54" i="1"/>
  <c r="AQ54" i="1" s="1"/>
  <c r="X17" i="1"/>
  <c r="IW17" i="1" s="1"/>
  <c r="IG17" i="1" s="1"/>
  <c r="X11" i="1"/>
  <c r="AQ11" i="1" s="1"/>
  <c r="X46" i="1"/>
  <c r="IW46" i="1" s="1"/>
  <c r="IG46" i="1" s="1"/>
  <c r="X47" i="1"/>
  <c r="AQ47" i="1" s="1"/>
  <c r="X26" i="1"/>
  <c r="IW26" i="1" s="1"/>
  <c r="IG26" i="1" s="1"/>
  <c r="X14" i="1"/>
  <c r="AQ14" i="1" s="1"/>
  <c r="X27" i="1"/>
  <c r="AQ27" i="1" s="1"/>
  <c r="X21" i="1"/>
  <c r="AQ21" i="1" s="1"/>
  <c r="X18" i="1"/>
  <c r="AQ18" i="1" s="1"/>
  <c r="X24" i="1"/>
  <c r="IW24" i="1" s="1"/>
  <c r="IG24" i="1" s="1"/>
  <c r="X34" i="1"/>
  <c r="IW34" i="1" s="1"/>
  <c r="IG34" i="1" s="1"/>
  <c r="X42" i="1"/>
  <c r="IW42" i="1" s="1"/>
  <c r="IG42" i="1" s="1"/>
  <c r="X53" i="1"/>
  <c r="IR58" i="1" s="1"/>
  <c r="X10" i="1"/>
  <c r="AQ10" i="1" s="1"/>
  <c r="X15" i="1"/>
  <c r="AQ15" i="1" s="1"/>
  <c r="X48" i="1"/>
  <c r="AQ48" i="1" s="1"/>
  <c r="X37" i="1"/>
  <c r="IW37" i="1" s="1"/>
  <c r="IG37" i="1" s="1"/>
  <c r="X19" i="1"/>
  <c r="AQ19" i="1" s="1"/>
  <c r="X40" i="1"/>
  <c r="AQ40" i="1" s="1"/>
  <c r="X45" i="1"/>
  <c r="AQ45" i="1" s="1"/>
  <c r="X51" i="1"/>
  <c r="IW51" i="1" s="1"/>
  <c r="IG51" i="1" s="1"/>
  <c r="X31" i="1"/>
  <c r="AQ31" i="1" s="1"/>
  <c r="X23" i="1"/>
  <c r="AQ23" i="1" s="1"/>
  <c r="X32" i="1"/>
  <c r="IW32" i="1" s="1"/>
  <c r="IG32" i="1" s="1"/>
  <c r="X20" i="1"/>
  <c r="AQ20" i="1" s="1"/>
  <c r="X44" i="1"/>
  <c r="AQ44" i="1" s="1"/>
  <c r="X16" i="1"/>
  <c r="IW16" i="1" s="1"/>
  <c r="IG16" i="1" s="1"/>
  <c r="X13" i="1"/>
  <c r="AQ13" i="1" s="1"/>
  <c r="X33" i="1"/>
  <c r="AQ33" i="1" s="1"/>
  <c r="X22" i="1"/>
  <c r="AQ22" i="1" s="1"/>
  <c r="X12" i="1"/>
  <c r="AQ12" i="1" s="1"/>
  <c r="X29" i="1"/>
  <c r="AQ29" i="1" s="1"/>
  <c r="X28" i="1"/>
  <c r="AQ28" i="1" s="1"/>
  <c r="X25" i="1"/>
  <c r="IW25" i="1" s="1"/>
  <c r="IG25" i="1" s="1"/>
  <c r="X52" i="1"/>
  <c r="IW52" i="1" s="1"/>
  <c r="IG52" i="1" s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F86" i="1"/>
  <c r="CL86" i="1" s="1"/>
  <c r="BO83" i="1"/>
  <c r="CH83" i="1" s="1"/>
  <c r="BQ85" i="1"/>
  <c r="CG85" i="1" s="1"/>
  <c r="BQ84" i="1"/>
  <c r="CG84" i="1" s="1"/>
  <c r="BQ86" i="1"/>
  <c r="CG86" i="1" s="1"/>
  <c r="BO85" i="1"/>
  <c r="CH85" i="1" s="1"/>
  <c r="BQ87" i="1"/>
  <c r="CG87" i="1" s="1"/>
  <c r="BR83" i="1"/>
  <c r="CJ83" i="1" s="1"/>
  <c r="CJ85" i="1"/>
  <c r="BR84" i="1"/>
  <c r="CJ84" i="1" s="1"/>
  <c r="BR86" i="1"/>
  <c r="CJ86" i="1" s="1"/>
  <c r="CM86" i="1" s="1"/>
  <c r="BQ83" i="1"/>
  <c r="CG83" i="1" s="1"/>
  <c r="CM85" i="1"/>
  <c r="CM84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FK52" i="1" s="1"/>
  <c r="CD53" i="1"/>
  <c r="GK53" i="1"/>
  <c r="GM53" i="1"/>
  <c r="DK52" i="1"/>
  <c r="BL50" i="1"/>
  <c r="DI52" i="1"/>
  <c r="DJ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W91" i="1"/>
  <c r="IG91" i="1" s="1"/>
  <c r="AI95" i="1"/>
  <c r="AG86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U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BM75" i="1" s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102" i="1"/>
  <c r="IR89" i="1"/>
  <c r="AQ83" i="1"/>
  <c r="IR91" i="1"/>
  <c r="AQ103" i="1"/>
  <c r="IW103" i="1"/>
  <c r="IG103" i="1" s="1"/>
  <c r="IR68" i="1"/>
  <c r="AQ68" i="1"/>
  <c r="IW68" i="1"/>
  <c r="IG68" i="1" s="1"/>
  <c r="AQ73" i="1"/>
  <c r="IW73" i="1"/>
  <c r="IG73" i="1" s="1"/>
  <c r="IR71" i="1"/>
  <c r="IS19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R62" i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AQ67" i="1"/>
  <c r="IR81" i="1"/>
  <c r="IW67" i="1"/>
  <c r="IG67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98" i="1"/>
  <c r="IW98" i="1"/>
  <c r="IG98" i="1" s="1"/>
  <c r="AQ65" i="1"/>
  <c r="IW65" i="1"/>
  <c r="IG65" i="1" s="1"/>
  <c r="IR79" i="1"/>
  <c r="AQ85" i="1"/>
  <c r="IR94" i="1"/>
  <c r="AQ117" i="1"/>
  <c r="IW117" i="1"/>
  <c r="IG117" i="1" s="1"/>
  <c r="AQ88" i="1"/>
  <c r="IR97" i="1"/>
  <c r="AQ77" i="1"/>
  <c r="IW77" i="1"/>
  <c r="IG77" i="1" s="1"/>
  <c r="AQ115" i="1"/>
  <c r="IW115" i="1"/>
  <c r="IG115" i="1" s="1"/>
  <c r="AQ78" i="1"/>
  <c r="IW78" i="1"/>
  <c r="IG78" i="1" s="1"/>
  <c r="AQ113" i="1"/>
  <c r="IW113" i="1"/>
  <c r="IG113" i="1" s="1"/>
  <c r="IR60" i="1"/>
  <c r="AQ63" i="1"/>
  <c r="IW63" i="1"/>
  <c r="IG63" i="1" s="1"/>
  <c r="AQ108" i="1"/>
  <c r="IR115" i="1"/>
  <c r="IR61" i="1"/>
  <c r="IW58" i="1"/>
  <c r="IG58" i="1" s="1"/>
  <c r="AQ89" i="1"/>
  <c r="IR98" i="1"/>
  <c r="AQ118" i="1"/>
  <c r="IW118" i="1"/>
  <c r="IG118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J54" i="1" s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BM62" i="1" s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BM59" i="1" s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BJ53" i="1" s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BJ60" i="1" s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75" i="1" s="1"/>
  <c r="GN75" i="1" s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BL60" i="1" s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BK63" i="1" s="1"/>
  <c r="AI63" i="1"/>
  <c r="AG61" i="1"/>
  <c r="BK61" i="1" s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BJ65" i="1" s="1"/>
  <c r="AI65" i="1"/>
  <c r="AM65" i="1"/>
  <c r="AI64" i="1"/>
  <c r="AG64" i="1"/>
  <c r="BJ64" i="1" s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52" i="1" l="1"/>
  <c r="IR63" i="1"/>
  <c r="IR37" i="1"/>
  <c r="IR39" i="1"/>
  <c r="IR41" i="1"/>
  <c r="IR26" i="1"/>
  <c r="IR16" i="1"/>
  <c r="IR25" i="1"/>
  <c r="IR17" i="1"/>
  <c r="IR24" i="1"/>
  <c r="GU70" i="1"/>
  <c r="BJ70" i="1"/>
  <c r="BM70" i="1"/>
  <c r="BN70" i="1"/>
  <c r="BK70" i="1"/>
  <c r="IR56" i="1"/>
  <c r="GX75" i="1"/>
  <c r="DT74" i="1"/>
  <c r="DT75" i="1"/>
  <c r="IW54" i="1"/>
  <c r="IG54" i="1" s="1"/>
  <c r="DT71" i="1"/>
  <c r="BK75" i="1"/>
  <c r="GU73" i="1"/>
  <c r="BJ75" i="1"/>
  <c r="BN75" i="1"/>
  <c r="BJ74" i="1"/>
  <c r="BM74" i="1"/>
  <c r="BN74" i="1"/>
  <c r="BK74" i="1"/>
  <c r="DT73" i="1"/>
  <c r="GU72" i="1"/>
  <c r="BN73" i="1"/>
  <c r="BJ73" i="1"/>
  <c r="BM73" i="1"/>
  <c r="BK73" i="1"/>
  <c r="DT72" i="1"/>
  <c r="BK72" i="1"/>
  <c r="BM72" i="1"/>
  <c r="BJ72" i="1"/>
  <c r="BN72" i="1"/>
  <c r="BK71" i="1"/>
  <c r="BJ71" i="1"/>
  <c r="BM71" i="1"/>
  <c r="BN71" i="1"/>
  <c r="IR55" i="1"/>
  <c r="IW53" i="1"/>
  <c r="IG53" i="1" s="1"/>
  <c r="IR54" i="1"/>
  <c r="GU52" i="1"/>
  <c r="IW44" i="1"/>
  <c r="IG44" i="1" s="1"/>
  <c r="IR43" i="1"/>
  <c r="IR45" i="1"/>
  <c r="GX68" i="1"/>
  <c r="GU54" i="1"/>
  <c r="DT68" i="1"/>
  <c r="IR42" i="1"/>
  <c r="DT59" i="1"/>
  <c r="GU53" i="1"/>
  <c r="GU60" i="1"/>
  <c r="DT67" i="1"/>
  <c r="GU66" i="1"/>
  <c r="DT60" i="1"/>
  <c r="DT66" i="1"/>
  <c r="DT69" i="1"/>
  <c r="DT58" i="1"/>
  <c r="GX58" i="1"/>
  <c r="GU65" i="1"/>
  <c r="GU59" i="1"/>
  <c r="BA66" i="1"/>
  <c r="GN66" i="1" s="1"/>
  <c r="BA60" i="1"/>
  <c r="GN60" i="1" s="1"/>
  <c r="BJ44" i="1"/>
  <c r="BJ69" i="1"/>
  <c r="BM69" i="1"/>
  <c r="BK69" i="1"/>
  <c r="BN68" i="1"/>
  <c r="BJ68" i="1"/>
  <c r="BK68" i="1"/>
  <c r="BM68" i="1"/>
  <c r="BN69" i="1"/>
  <c r="BN67" i="1"/>
  <c r="BM67" i="1"/>
  <c r="BK67" i="1"/>
  <c r="BJ67" i="1"/>
  <c r="BN44" i="1"/>
  <c r="BP44" i="1" s="1"/>
  <c r="DT54" i="1"/>
  <c r="BM58" i="1"/>
  <c r="BJ58" i="1"/>
  <c r="BK58" i="1"/>
  <c r="BN58" i="1"/>
  <c r="BK60" i="1"/>
  <c r="BN60" i="1"/>
  <c r="BM60" i="1"/>
  <c r="BQ60" i="1" s="1"/>
  <c r="BK59" i="1"/>
  <c r="BN59" i="1"/>
  <c r="BJ59" i="1"/>
  <c r="BK66" i="1"/>
  <c r="BM66" i="1"/>
  <c r="BN66" i="1"/>
  <c r="BJ66" i="1"/>
  <c r="IR29" i="1"/>
  <c r="IW28" i="1"/>
  <c r="IG28" i="1" s="1"/>
  <c r="DT65" i="1"/>
  <c r="BM44" i="1"/>
  <c r="GX64" i="1"/>
  <c r="DT63" i="1"/>
  <c r="DT64" i="1"/>
  <c r="GX63" i="1"/>
  <c r="IW29" i="1"/>
  <c r="IG29" i="1" s="1"/>
  <c r="BA64" i="1"/>
  <c r="GN64" i="1" s="1"/>
  <c r="BA65" i="1"/>
  <c r="GN65" i="1" s="1"/>
  <c r="BM65" i="1"/>
  <c r="BQ65" i="1" s="1"/>
  <c r="BN65" i="1"/>
  <c r="BK65" i="1"/>
  <c r="IR38" i="1"/>
  <c r="IR40" i="1"/>
  <c r="DT61" i="1"/>
  <c r="BK64" i="1"/>
  <c r="BN64" i="1"/>
  <c r="BM64" i="1"/>
  <c r="BQ64" i="1" s="1"/>
  <c r="GU62" i="1"/>
  <c r="DT62" i="1"/>
  <c r="BJ63" i="1"/>
  <c r="BM63" i="1"/>
  <c r="BA54" i="1"/>
  <c r="GN54" i="1" s="1"/>
  <c r="BA63" i="1"/>
  <c r="GN63" i="1" s="1"/>
  <c r="BN63" i="1"/>
  <c r="BP63" i="1" s="1"/>
  <c r="GX61" i="1"/>
  <c r="BA62" i="1"/>
  <c r="GN62" i="1" s="1"/>
  <c r="BJ62" i="1"/>
  <c r="BN62" i="1"/>
  <c r="BK62" i="1"/>
  <c r="BA61" i="1"/>
  <c r="GN61" i="1" s="1"/>
  <c r="BJ61" i="1"/>
  <c r="BN61" i="1"/>
  <c r="BP61" i="1" s="1"/>
  <c r="BM61" i="1"/>
  <c r="EY61" i="1"/>
  <c r="GX56" i="1"/>
  <c r="IW40" i="1"/>
  <c r="IG40" i="1" s="1"/>
  <c r="DT53" i="1"/>
  <c r="BM54" i="1"/>
  <c r="BQ54" i="1" s="1"/>
  <c r="BK54" i="1"/>
  <c r="BN54" i="1"/>
  <c r="BK53" i="1"/>
  <c r="BN53" i="1"/>
  <c r="BM53" i="1"/>
  <c r="BQ53" i="1" s="1"/>
  <c r="BN51" i="1"/>
  <c r="IR27" i="1"/>
  <c r="IW39" i="1"/>
  <c r="IG39" i="1" s="1"/>
  <c r="IW27" i="1"/>
  <c r="IG27" i="1" s="1"/>
  <c r="IR28" i="1"/>
  <c r="IR57" i="1"/>
  <c r="IR44" i="1"/>
  <c r="IW30" i="1"/>
  <c r="IG30" i="1" s="1"/>
  <c r="IW45" i="1"/>
  <c r="IG45" i="1" s="1"/>
  <c r="IR30" i="1"/>
  <c r="IR19" i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7" i="1"/>
  <c r="CL87" i="1" s="1"/>
  <c r="CJ87" i="1"/>
  <c r="CF84" i="1"/>
  <c r="CL84" i="1" s="1"/>
  <c r="CF83" i="1"/>
  <c r="CL83" i="1" s="1"/>
  <c r="CM83" i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GX15" i="1"/>
  <c r="GU15" i="1"/>
  <c r="GX18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P50" i="1" s="1"/>
  <c r="BN52" i="1"/>
  <c r="BM50" i="1"/>
  <c r="BJ50" i="1"/>
  <c r="BJ52" i="1"/>
  <c r="BQ52" i="1" s="1"/>
  <c r="BK52" i="1"/>
  <c r="BJ51" i="1"/>
  <c r="BM51" i="1"/>
  <c r="BK51" i="1"/>
  <c r="DT52" i="1"/>
  <c r="BA51" i="1"/>
  <c r="GN51" i="1" s="1"/>
  <c r="BA52" i="1"/>
  <c r="GN52" i="1" s="1"/>
  <c r="DT50" i="1"/>
  <c r="BA46" i="1"/>
  <c r="GN46" i="1" s="1"/>
  <c r="BA50" i="1"/>
  <c r="GN50" i="1" s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GX55" i="1"/>
  <c r="GU31" i="1"/>
  <c r="GX49" i="1"/>
  <c r="GU20" i="1"/>
  <c r="GU28" i="1"/>
  <c r="DT23" i="1"/>
  <c r="GU13" i="1"/>
  <c r="GX22" i="1"/>
  <c r="GU48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70" i="1" l="1"/>
  <c r="BQ70" i="1"/>
  <c r="BO70" i="1"/>
  <c r="BR70" i="1"/>
  <c r="BP75" i="1"/>
  <c r="BO75" i="1"/>
  <c r="BQ75" i="1"/>
  <c r="BR75" i="1"/>
  <c r="BP74" i="1"/>
  <c r="BO74" i="1"/>
  <c r="BR74" i="1"/>
  <c r="BQ74" i="1"/>
  <c r="BO73" i="1"/>
  <c r="BQ73" i="1"/>
  <c r="BR73" i="1"/>
  <c r="BP73" i="1"/>
  <c r="BP72" i="1"/>
  <c r="BQ72" i="1"/>
  <c r="BO72" i="1"/>
  <c r="BR72" i="1"/>
  <c r="BP71" i="1"/>
  <c r="BO71" i="1"/>
  <c r="BR71" i="1"/>
  <c r="BQ71" i="1"/>
  <c r="BP51" i="1"/>
  <c r="BQ44" i="1"/>
  <c r="BR44" i="1"/>
  <c r="BP58" i="1"/>
  <c r="BO44" i="1"/>
  <c r="BP68" i="1"/>
  <c r="BP69" i="1"/>
  <c r="BQ69" i="1"/>
  <c r="BO69" i="1"/>
  <c r="BR69" i="1"/>
  <c r="BP60" i="1"/>
  <c r="BO67" i="1"/>
  <c r="BQ67" i="1"/>
  <c r="BR67" i="1"/>
  <c r="BR68" i="1"/>
  <c r="BO68" i="1"/>
  <c r="BQ68" i="1"/>
  <c r="BO59" i="1"/>
  <c r="BQ59" i="1"/>
  <c r="BR59" i="1"/>
  <c r="BP59" i="1"/>
  <c r="BP67" i="1"/>
  <c r="BR60" i="1"/>
  <c r="BO58" i="1"/>
  <c r="BR58" i="1"/>
  <c r="BQ58" i="1"/>
  <c r="BO60" i="1"/>
  <c r="BR66" i="1"/>
  <c r="BQ66" i="1"/>
  <c r="BO66" i="1"/>
  <c r="BP66" i="1"/>
  <c r="BP65" i="1"/>
  <c r="BR65" i="1"/>
  <c r="BO65" i="1"/>
  <c r="BP64" i="1"/>
  <c r="BR64" i="1"/>
  <c r="BO64" i="1"/>
  <c r="BQ63" i="1"/>
  <c r="BR63" i="1"/>
  <c r="BO63" i="1"/>
  <c r="BP62" i="1"/>
  <c r="BO62" i="1"/>
  <c r="BR62" i="1"/>
  <c r="BQ62" i="1"/>
  <c r="BO61" i="1"/>
  <c r="BQ61" i="1"/>
  <c r="BR61" i="1"/>
  <c r="BP57" i="1"/>
  <c r="BP53" i="1"/>
  <c r="BR53" i="1"/>
  <c r="BP55" i="1"/>
  <c r="BP54" i="1"/>
  <c r="BO54" i="1"/>
  <c r="BR54" i="1"/>
  <c r="BO53" i="1"/>
  <c r="BP52" i="1"/>
  <c r="BQ50" i="1"/>
  <c r="JJ22" i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87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M251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M247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M252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M253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M238" i="1" s="1"/>
  <c r="AW83" i="7"/>
  <c r="AY32" i="7"/>
  <c r="V32" i="7"/>
  <c r="AY84" i="7"/>
  <c r="V84" i="7"/>
  <c r="T41" i="1"/>
  <c r="AW41" i="7"/>
  <c r="AL61" i="1"/>
  <c r="AN61" i="1" s="1"/>
  <c r="M216" i="1" s="1"/>
  <c r="AW61" i="7"/>
  <c r="AL69" i="1"/>
  <c r="AN69" i="1" s="1"/>
  <c r="M224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M218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M245" i="1" s="1"/>
  <c r="U90" i="1"/>
  <c r="U89" i="1"/>
  <c r="AL89" i="1"/>
  <c r="AN89" i="1" s="1"/>
  <c r="M244" i="1" s="1"/>
  <c r="T89" i="1"/>
  <c r="T88" i="1"/>
  <c r="AL88" i="1"/>
  <c r="AN88" i="1" s="1"/>
  <c r="M243" i="1" s="1"/>
  <c r="AK88" i="1"/>
  <c r="U88" i="1"/>
  <c r="T87" i="1"/>
  <c r="AK87" i="1"/>
  <c r="AL87" i="1"/>
  <c r="AN87" i="1" s="1"/>
  <c r="M242" i="1" s="1"/>
  <c r="U85" i="1"/>
  <c r="AL86" i="1"/>
  <c r="AN86" i="1" s="1"/>
  <c r="M241" i="1" s="1"/>
  <c r="U86" i="1"/>
  <c r="AK86" i="1"/>
  <c r="T86" i="1"/>
  <c r="T85" i="1"/>
  <c r="AL85" i="1"/>
  <c r="AN85" i="1" s="1"/>
  <c r="M240" i="1" s="1"/>
  <c r="AK83" i="1"/>
  <c r="AL84" i="1"/>
  <c r="AN84" i="1" s="1"/>
  <c r="M239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M236" i="1" s="1"/>
  <c r="AK81" i="1"/>
  <c r="T81" i="1"/>
  <c r="AL79" i="1"/>
  <c r="AN79" i="1" s="1"/>
  <c r="M234" i="1" s="1"/>
  <c r="U80" i="1"/>
  <c r="AL80" i="1"/>
  <c r="AN80" i="1" s="1"/>
  <c r="M235" i="1" s="1"/>
  <c r="AK80" i="1"/>
  <c r="T80" i="1"/>
  <c r="U79" i="1"/>
  <c r="AK79" i="1"/>
  <c r="U78" i="1"/>
  <c r="T78" i="1"/>
  <c r="AK78" i="1"/>
  <c r="AL78" i="1"/>
  <c r="AN78" i="1" s="1"/>
  <c r="M233" i="1" s="1"/>
  <c r="U77" i="1"/>
  <c r="AK77" i="1"/>
  <c r="AL77" i="1"/>
  <c r="AN77" i="1" s="1"/>
  <c r="M232" i="1" s="1"/>
  <c r="AK76" i="1"/>
  <c r="T76" i="1"/>
  <c r="AL76" i="1"/>
  <c r="AN76" i="1" s="1"/>
  <c r="M231" i="1" s="1"/>
  <c r="U76" i="1"/>
  <c r="AK75" i="1"/>
  <c r="T75" i="1"/>
  <c r="AL75" i="1"/>
  <c r="AN75" i="1" s="1"/>
  <c r="M230" i="1" s="1"/>
  <c r="AK74" i="1"/>
  <c r="T74" i="1"/>
  <c r="U74" i="1"/>
  <c r="AL74" i="1"/>
  <c r="AN74" i="1" s="1"/>
  <c r="M229" i="1" s="1"/>
  <c r="AL73" i="1"/>
  <c r="AN73" i="1" s="1"/>
  <c r="M228" i="1" s="1"/>
  <c r="T73" i="1"/>
  <c r="AK73" i="1"/>
  <c r="U73" i="1"/>
  <c r="T71" i="1"/>
  <c r="AK71" i="1"/>
  <c r="AO71" i="1" s="1"/>
  <c r="AL71" i="1"/>
  <c r="AN71" i="1" s="1"/>
  <c r="M226" i="1" s="1"/>
  <c r="AK72" i="1"/>
  <c r="T72" i="1"/>
  <c r="U72" i="1"/>
  <c r="AL72" i="1"/>
  <c r="AN72" i="1" s="1"/>
  <c r="M227" i="1" s="1"/>
  <c r="AK70" i="1"/>
  <c r="T70" i="1"/>
  <c r="U70" i="1"/>
  <c r="AL70" i="1"/>
  <c r="AN70" i="1" s="1"/>
  <c r="M225" i="1" s="1"/>
  <c r="T69" i="1"/>
  <c r="AK69" i="1"/>
  <c r="U69" i="1"/>
  <c r="U68" i="1"/>
  <c r="T68" i="1"/>
  <c r="AK68" i="1"/>
  <c r="AL68" i="1"/>
  <c r="AN68" i="1" s="1"/>
  <c r="M223" i="1" s="1"/>
  <c r="AK67" i="1"/>
  <c r="U67" i="1"/>
  <c r="AL67" i="1"/>
  <c r="AN67" i="1" s="1"/>
  <c r="M222" i="1" s="1"/>
  <c r="T67" i="1"/>
  <c r="T66" i="1"/>
  <c r="AK66" i="1"/>
  <c r="U66" i="1"/>
  <c r="AL66" i="1"/>
  <c r="AN66" i="1" s="1"/>
  <c r="M221" i="1" s="1"/>
  <c r="U65" i="1"/>
  <c r="T65" i="1"/>
  <c r="AL65" i="1"/>
  <c r="AN65" i="1" s="1"/>
  <c r="M220" i="1" s="1"/>
  <c r="AK65" i="1"/>
  <c r="AK64" i="1"/>
  <c r="U64" i="1"/>
  <c r="T64" i="1"/>
  <c r="AL64" i="1"/>
  <c r="AN64" i="1" s="1"/>
  <c r="M219" i="1" s="1"/>
  <c r="T63" i="1"/>
  <c r="U63" i="1"/>
  <c r="AK63" i="1"/>
  <c r="AK61" i="1"/>
  <c r="U62" i="1"/>
  <c r="T62" i="1"/>
  <c r="AK62" i="1"/>
  <c r="AL62" i="1"/>
  <c r="AN62" i="1" s="1"/>
  <c r="M217" i="1" s="1"/>
  <c r="U61" i="1"/>
  <c r="T61" i="1"/>
  <c r="AL60" i="1"/>
  <c r="AN60" i="1" s="1"/>
  <c r="M215" i="1" s="1"/>
  <c r="AK60" i="1"/>
  <c r="T60" i="1"/>
  <c r="U60" i="1"/>
  <c r="U59" i="1"/>
  <c r="T59" i="1"/>
  <c r="AL59" i="1"/>
  <c r="AN59" i="1" s="1"/>
  <c r="M214" i="1" s="1"/>
  <c r="AK59" i="1"/>
  <c r="AK57" i="1"/>
  <c r="AO57" i="1" s="1"/>
  <c r="AL58" i="1"/>
  <c r="AN58" i="1" s="1"/>
  <c r="M213" i="1" s="1"/>
  <c r="U58" i="1"/>
  <c r="T58" i="1"/>
  <c r="AK58" i="1"/>
  <c r="T57" i="1"/>
  <c r="AL57" i="1"/>
  <c r="U55" i="1"/>
  <c r="AL56" i="1"/>
  <c r="AN56" i="1" s="1"/>
  <c r="M211" i="1" s="1"/>
  <c r="T56" i="1"/>
  <c r="U56" i="1"/>
  <c r="AK56" i="1"/>
  <c r="T55" i="1"/>
  <c r="AL55" i="1"/>
  <c r="AN55" i="1" s="1"/>
  <c r="M210" i="1" s="1"/>
  <c r="AL54" i="1"/>
  <c r="AN54" i="1" s="1"/>
  <c r="M209" i="1" s="1"/>
  <c r="AK54" i="1"/>
  <c r="U54" i="1"/>
  <c r="T54" i="1"/>
  <c r="AL53" i="1"/>
  <c r="AN53" i="1" s="1"/>
  <c r="M208" i="1" s="1"/>
  <c r="AK53" i="1"/>
  <c r="T53" i="1"/>
  <c r="U53" i="1"/>
  <c r="AL52" i="1"/>
  <c r="AN52" i="1" s="1"/>
  <c r="M207" i="1" s="1"/>
  <c r="T52" i="1"/>
  <c r="U52" i="1"/>
  <c r="AK52" i="1"/>
  <c r="AL51" i="1"/>
  <c r="AN51" i="1" s="1"/>
  <c r="M206" i="1" s="1"/>
  <c r="T51" i="1"/>
  <c r="AK51" i="1"/>
  <c r="U51" i="1"/>
  <c r="AL49" i="1"/>
  <c r="AN49" i="1" s="1"/>
  <c r="M204" i="1" s="1"/>
  <c r="AK50" i="1"/>
  <c r="AL50" i="1"/>
  <c r="AN50" i="1" s="1"/>
  <c r="M205" i="1" s="1"/>
  <c r="U50" i="1"/>
  <c r="T50" i="1"/>
  <c r="T49" i="1"/>
  <c r="AK49" i="1"/>
  <c r="AO49" i="1" s="1"/>
  <c r="AK48" i="1"/>
  <c r="U48" i="1"/>
  <c r="AL48" i="1"/>
  <c r="AN48" i="1" s="1"/>
  <c r="M203" i="1" s="1"/>
  <c r="T48" i="1"/>
  <c r="AL47" i="1"/>
  <c r="T47" i="1"/>
  <c r="U47" i="1"/>
  <c r="AL46" i="1"/>
  <c r="AN46" i="1" s="1"/>
  <c r="M201" i="1" s="1"/>
  <c r="T46" i="1"/>
  <c r="U46" i="1"/>
  <c r="AK46" i="1"/>
  <c r="U45" i="1"/>
  <c r="AL45" i="1"/>
  <c r="AN45" i="1" s="1"/>
  <c r="M200" i="1" s="1"/>
  <c r="AK45" i="1"/>
  <c r="T45" i="1"/>
  <c r="U43" i="1"/>
  <c r="AL43" i="1"/>
  <c r="AN43" i="1" s="1"/>
  <c r="M198" i="1" s="1"/>
  <c r="AK43" i="1"/>
  <c r="AO43" i="1" s="1"/>
  <c r="T44" i="1"/>
  <c r="U44" i="1"/>
  <c r="AK44" i="1"/>
  <c r="AL44" i="1"/>
  <c r="AN44" i="1" s="1"/>
  <c r="M199" i="1" s="1"/>
  <c r="U41" i="1"/>
  <c r="AK41" i="1"/>
  <c r="AO41" i="1" s="1"/>
  <c r="AL41" i="1"/>
  <c r="AN41" i="1" s="1"/>
  <c r="M196" i="1" s="1"/>
  <c r="AL42" i="1"/>
  <c r="AN42" i="1" s="1"/>
  <c r="M197" i="1" s="1"/>
  <c r="U42" i="1"/>
  <c r="T42" i="1"/>
  <c r="AK42" i="1"/>
  <c r="AK39" i="1"/>
  <c r="AK40" i="1"/>
  <c r="AL40" i="1"/>
  <c r="AN40" i="1" s="1"/>
  <c r="M195" i="1" s="1"/>
  <c r="U40" i="1"/>
  <c r="T40" i="1"/>
  <c r="T39" i="1"/>
  <c r="AL39" i="1"/>
  <c r="AN39" i="1" s="1"/>
  <c r="M194" i="1" s="1"/>
  <c r="AL38" i="1"/>
  <c r="AN38" i="1" s="1"/>
  <c r="M193" i="1" s="1"/>
  <c r="AK38" i="1"/>
  <c r="T38" i="1"/>
  <c r="U38" i="1"/>
  <c r="AL37" i="1"/>
  <c r="AN37" i="1" s="1"/>
  <c r="M192" i="1" s="1"/>
  <c r="U37" i="1"/>
  <c r="T37" i="1"/>
  <c r="AK37" i="1"/>
  <c r="AK36" i="1"/>
  <c r="AL36" i="1"/>
  <c r="AN36" i="1" s="1"/>
  <c r="M191" i="1" s="1"/>
  <c r="T36" i="1"/>
  <c r="U36" i="1"/>
  <c r="U35" i="1"/>
  <c r="AL35" i="1"/>
  <c r="AN35" i="1" s="1"/>
  <c r="M190" i="1" s="1"/>
  <c r="AK35" i="1"/>
  <c r="T35" i="1"/>
  <c r="U34" i="1"/>
  <c r="AL34" i="1"/>
  <c r="AN34" i="1" s="1"/>
  <c r="M189" i="1" s="1"/>
  <c r="AK34" i="1"/>
  <c r="T34" i="1"/>
  <c r="AK33" i="1"/>
  <c r="AL33" i="1"/>
  <c r="AN33" i="1" s="1"/>
  <c r="M188" i="1" s="1"/>
  <c r="T33" i="1"/>
  <c r="U33" i="1"/>
  <c r="AL32" i="1"/>
  <c r="AN32" i="1" s="1"/>
  <c r="M187" i="1" s="1"/>
  <c r="T32" i="1"/>
  <c r="U32" i="1"/>
  <c r="AK32" i="1"/>
  <c r="U31" i="1"/>
  <c r="T31" i="1"/>
  <c r="AK31" i="1"/>
  <c r="AL31" i="1"/>
  <c r="AN31" i="1" s="1"/>
  <c r="M186" i="1" s="1"/>
  <c r="AL30" i="1"/>
  <c r="AN30" i="1" s="1"/>
  <c r="M185" i="1" s="1"/>
  <c r="U30" i="1"/>
  <c r="T30" i="1"/>
  <c r="U29" i="1"/>
  <c r="AK29" i="1"/>
  <c r="T29" i="1"/>
  <c r="AL29" i="1"/>
  <c r="AN29" i="1" s="1"/>
  <c r="M184" i="1" s="1"/>
  <c r="AL28" i="1"/>
  <c r="AN28" i="1" s="1"/>
  <c r="M183" i="1" s="1"/>
  <c r="AK28" i="1"/>
  <c r="U28" i="1"/>
  <c r="T28" i="1"/>
  <c r="AL27" i="1"/>
  <c r="AN27" i="1" s="1"/>
  <c r="M182" i="1" s="1"/>
  <c r="AK27" i="1"/>
  <c r="T27" i="1"/>
  <c r="U27" i="1"/>
  <c r="AL26" i="1"/>
  <c r="AN26" i="1" s="1"/>
  <c r="M181" i="1" s="1"/>
  <c r="AK26" i="1"/>
  <c r="U26" i="1"/>
  <c r="T26" i="1"/>
  <c r="U25" i="1"/>
  <c r="AL25" i="1"/>
  <c r="AN25" i="1" s="1"/>
  <c r="M180" i="1" s="1"/>
  <c r="AK25" i="1"/>
  <c r="AO25" i="1" s="1"/>
  <c r="AL24" i="1"/>
  <c r="AN24" i="1" s="1"/>
  <c r="M179" i="1" s="1"/>
  <c r="U24" i="1"/>
  <c r="T24" i="1"/>
  <c r="AK23" i="1"/>
  <c r="U23" i="1"/>
  <c r="T23" i="1"/>
  <c r="AL23" i="1"/>
  <c r="AN23" i="1" s="1"/>
  <c r="M178" i="1" s="1"/>
  <c r="AL22" i="1"/>
  <c r="AN22" i="1" s="1"/>
  <c r="M177" i="1" s="1"/>
  <c r="U22" i="1"/>
  <c r="AK22" i="1"/>
  <c r="T22" i="1"/>
  <c r="AK21" i="1"/>
  <c r="AO21" i="1" s="1"/>
  <c r="T21" i="1"/>
  <c r="AL21" i="1"/>
  <c r="AN21" i="1" s="1"/>
  <c r="M176" i="1" s="1"/>
  <c r="U21" i="1"/>
  <c r="T20" i="1"/>
  <c r="AL20" i="1"/>
  <c r="AN20" i="1" s="1"/>
  <c r="M175" i="1" s="1"/>
  <c r="U20" i="1"/>
  <c r="AK20" i="1"/>
  <c r="AK19" i="1"/>
  <c r="AL19" i="1"/>
  <c r="AN19" i="1" s="1"/>
  <c r="M174" i="1" s="1"/>
  <c r="T19" i="1"/>
  <c r="U19" i="1"/>
  <c r="AL18" i="1"/>
  <c r="AN18" i="1" s="1"/>
  <c r="M173" i="1" s="1"/>
  <c r="U18" i="1"/>
  <c r="T18" i="1"/>
  <c r="AK18" i="1"/>
  <c r="U17" i="1"/>
  <c r="AL17" i="1"/>
  <c r="AN17" i="1" s="1"/>
  <c r="M172" i="1" s="1"/>
  <c r="T17" i="1"/>
  <c r="T16" i="1"/>
  <c r="AK16" i="1"/>
  <c r="AL16" i="1"/>
  <c r="AN16" i="1" s="1"/>
  <c r="M171" i="1" s="1"/>
  <c r="U16" i="1"/>
  <c r="AK15" i="1"/>
  <c r="T15" i="1"/>
  <c r="AL15" i="1"/>
  <c r="AN15" i="1" s="1"/>
  <c r="M170" i="1" s="1"/>
  <c r="U15" i="1"/>
  <c r="AK14" i="1"/>
  <c r="U14" i="1"/>
  <c r="AL14" i="1"/>
  <c r="AN14" i="1" s="1"/>
  <c r="M169" i="1" s="1"/>
  <c r="T14" i="1"/>
  <c r="AK13" i="1"/>
  <c r="U13" i="1"/>
  <c r="AL13" i="1"/>
  <c r="AN13" i="1" s="1"/>
  <c r="M168" i="1" s="1"/>
  <c r="AK12" i="1"/>
  <c r="U12" i="1"/>
  <c r="AL12" i="1"/>
  <c r="AN12" i="1" s="1"/>
  <c r="M167" i="1" s="1"/>
  <c r="AL11" i="1"/>
  <c r="AN11" i="1" s="1"/>
  <c r="M166" i="1" s="1"/>
  <c r="T11" i="1"/>
  <c r="U11" i="1"/>
  <c r="AL10" i="1"/>
  <c r="T10" i="1"/>
  <c r="U10" i="1"/>
  <c r="AL9" i="1"/>
  <c r="AN9" i="1" s="1"/>
  <c r="M164" i="1" s="1"/>
  <c r="U9" i="1"/>
  <c r="T9" i="1"/>
  <c r="AK9" i="1"/>
  <c r="DH3" i="7"/>
  <c r="DE3" i="7"/>
  <c r="DI3" i="7"/>
  <c r="DG3" i="7"/>
  <c r="DF3" i="7"/>
  <c r="JA94" i="1" l="1"/>
  <c r="M249" i="1"/>
  <c r="JA95" i="1"/>
  <c r="M250" i="1"/>
  <c r="JA93" i="1"/>
  <c r="M248" i="1"/>
  <c r="JA91" i="1"/>
  <c r="M246" i="1"/>
  <c r="JA82" i="1"/>
  <c r="M237" i="1"/>
  <c r="JA59" i="1"/>
  <c r="JA70" i="1"/>
  <c r="JA69" i="1"/>
  <c r="JA60" i="1"/>
  <c r="JA68" i="1"/>
  <c r="JA73" i="1"/>
  <c r="JA61" i="1"/>
  <c r="JA64" i="1"/>
  <c r="JA27" i="1"/>
  <c r="JA34" i="1"/>
  <c r="IZ25" i="1"/>
  <c r="JA35" i="1"/>
  <c r="JA42" i="1"/>
  <c r="IZ43" i="1"/>
  <c r="JA52" i="1"/>
  <c r="JA25" i="1"/>
  <c r="JA17" i="1"/>
  <c r="JA19" i="1"/>
  <c r="JA37" i="1"/>
  <c r="JA51" i="1"/>
  <c r="JA45" i="1"/>
  <c r="IZ47" i="1"/>
  <c r="JA43" i="1"/>
  <c r="JA32" i="1"/>
  <c r="JA26" i="1"/>
  <c r="JA50" i="1"/>
  <c r="JA16" i="1"/>
  <c r="JA20" i="1"/>
  <c r="JA24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AP74" i="1"/>
  <c r="AO74" i="1"/>
  <c r="AP71" i="1"/>
  <c r="AO72" i="1"/>
  <c r="AP72" i="1"/>
  <c r="AO69" i="1"/>
  <c r="IZ69" i="1" s="1"/>
  <c r="AP69" i="1"/>
  <c r="AP70" i="1"/>
  <c r="AO70" i="1"/>
  <c r="IZ70" i="1" s="1"/>
  <c r="AO67" i="1"/>
  <c r="AP67" i="1"/>
  <c r="AO68" i="1"/>
  <c r="IZ68" i="1" s="1"/>
  <c r="AP68" i="1"/>
  <c r="AO65" i="1"/>
  <c r="AP65" i="1"/>
  <c r="AP66" i="1"/>
  <c r="AO66" i="1"/>
  <c r="AO63" i="1"/>
  <c r="AP63" i="1"/>
  <c r="AO64" i="1"/>
  <c r="IZ64" i="1" s="1"/>
  <c r="AP64" i="1"/>
  <c r="AP62" i="1"/>
  <c r="AO62" i="1"/>
  <c r="AO61" i="1"/>
  <c r="IZ61" i="1" s="1"/>
  <c r="AP61" i="1"/>
  <c r="AO59" i="1"/>
  <c r="IZ59" i="1" s="1"/>
  <c r="AP59" i="1"/>
  <c r="AO60" i="1"/>
  <c r="IZ60" i="1" s="1"/>
  <c r="AP60" i="1"/>
  <c r="AN57" i="1"/>
  <c r="M21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M202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M165" i="1" s="1"/>
  <c r="AO9" i="1"/>
  <c r="AP9" i="1"/>
  <c r="IH82" i="1" l="1"/>
  <c r="IH94" i="1"/>
  <c r="IV54" i="1"/>
  <c r="IH91" i="1"/>
  <c r="IH64" i="1"/>
  <c r="IH69" i="1"/>
  <c r="IH70" i="1"/>
  <c r="IH73" i="1"/>
  <c r="IH61" i="1"/>
  <c r="IV58" i="1"/>
  <c r="IH60" i="1"/>
  <c r="IV62" i="1"/>
  <c r="IH68" i="1"/>
  <c r="IH59" i="1"/>
  <c r="IV56" i="1"/>
  <c r="IH25" i="1"/>
  <c r="IH43" i="1"/>
  <c r="IZ19" i="1"/>
  <c r="IH19" i="1" s="1"/>
  <c r="IZ37" i="1"/>
  <c r="IH37" i="1" s="1"/>
  <c r="IZ34" i="1"/>
  <c r="IH34" i="1" s="1"/>
  <c r="IZ42" i="1"/>
  <c r="IH42" i="1" s="1"/>
  <c r="IZ26" i="1"/>
  <c r="IH26" i="1" s="1"/>
  <c r="IZ51" i="1"/>
  <c r="IH51" i="1" s="1"/>
  <c r="IV43" i="1"/>
  <c r="IZ50" i="1"/>
  <c r="IH50" i="1" s="1"/>
  <c r="IZ24" i="1"/>
  <c r="IH24" i="1" s="1"/>
  <c r="IZ38" i="1"/>
  <c r="IH38" i="1" s="1"/>
  <c r="IZ52" i="1"/>
  <c r="IH52" i="1" s="1"/>
  <c r="IZ35" i="1"/>
  <c r="IH35" i="1" s="1"/>
  <c r="IZ20" i="1"/>
  <c r="IH20" i="1" s="1"/>
  <c r="IZ32" i="1"/>
  <c r="IH32" i="1" s="1"/>
  <c r="IV52" i="1"/>
  <c r="IZ17" i="1"/>
  <c r="IH17" i="1" s="1"/>
  <c r="HN14" i="1"/>
  <c r="HN15" i="1"/>
  <c r="HN12" i="1"/>
  <c r="IV59" i="1"/>
  <c r="IU94" i="1"/>
  <c r="IV61" i="1"/>
  <c r="AX164" i="1" a="1"/>
  <c r="AX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T12" i="1" l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CP36" i="1" l="1"/>
  <c r="GH19" i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FP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FR33" i="1" l="1"/>
  <c r="FQ33" i="1"/>
  <c r="DZ41" i="1"/>
  <c r="FG35" i="1"/>
  <c r="FW35" i="1" s="1"/>
  <c r="FX35" i="1" s="1"/>
  <c r="FZ35" i="1" s="1"/>
  <c r="EA41" i="1"/>
  <c r="EA42" i="1"/>
  <c r="DY43" i="1"/>
  <c r="DZ42" i="1"/>
  <c r="GC33" i="1"/>
  <c r="GO33" i="1"/>
  <c r="GB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FS33" i="1" l="1"/>
  <c r="FT33" i="1"/>
  <c r="ED41" i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BB53" i="1" s="1"/>
  <c r="BE53" i="1" s="1"/>
  <c r="CJ51" i="1" l="1"/>
  <c r="CM51" i="1" s="1"/>
  <c r="BU53" i="1"/>
  <c r="CA53" i="1"/>
  <c r="BX53" i="1"/>
  <c r="FR35" i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C52" i="1"/>
  <c r="CB52" i="1"/>
  <c r="CG52" i="1" s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BB54" i="1" s="1"/>
  <c r="BE54" i="1" s="1"/>
  <c r="CR51" i="1" l="1"/>
  <c r="BU54" i="1"/>
  <c r="BX54" i="1"/>
  <c r="CA54" i="1"/>
  <c r="CE53" i="1"/>
  <c r="CB53" i="1"/>
  <c r="CG53" i="1" s="1"/>
  <c r="CC53" i="1"/>
  <c r="CJ52" i="1"/>
  <c r="CM52" i="1" s="1"/>
  <c r="FS35" i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GS35" i="1" l="1"/>
  <c r="GT35" i="1" s="1"/>
  <c r="CC54" i="1"/>
  <c r="CE54" i="1"/>
  <c r="CB54" i="1"/>
  <c r="CG54" i="1" s="1"/>
  <c r="CR52" i="1"/>
  <c r="CK53" i="1"/>
  <c r="CF53" i="1"/>
  <c r="CL53" i="1" s="1"/>
  <c r="CH53" i="1"/>
  <c r="CJ53" i="1"/>
  <c r="CP51" i="1"/>
  <c r="EP41" i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 s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HA35" i="1" l="1"/>
  <c r="HD35" i="1" s="1"/>
  <c r="CJ54" i="1"/>
  <c r="CM54" i="1" s="1"/>
  <c r="CK54" i="1"/>
  <c r="CF54" i="1"/>
  <c r="CL54" i="1" s="1"/>
  <c r="CH54" i="1"/>
  <c r="CM53" i="1"/>
  <c r="CR53" i="1"/>
  <c r="CN53" i="1"/>
  <c r="CQ52" i="1"/>
  <c r="CS52" i="1" s="1"/>
  <c r="CT52" i="1" s="1"/>
  <c r="FF41" i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HC35" i="1" l="1"/>
  <c r="CN54" i="1"/>
  <c r="CQ54" i="1" s="1"/>
  <c r="CR54" i="1"/>
  <c r="CQ53" i="1"/>
  <c r="CP53" i="1"/>
  <c r="FD41" i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DP51" i="1" s="1"/>
  <c r="CX51" i="1"/>
  <c r="DQ51" i="1" s="1"/>
  <c r="DL50" i="1"/>
  <c r="DM50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CS53" i="1" l="1"/>
  <c r="CU53" i="1" s="1"/>
  <c r="CP54" i="1"/>
  <c r="CS54" i="1" s="1"/>
  <c r="BU58" i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CY52" i="1"/>
  <c r="DO52" i="1" s="1"/>
  <c r="CZ52" i="1"/>
  <c r="DP52" i="1" s="1"/>
  <c r="DA52" i="1"/>
  <c r="DQ52" i="1" s="1"/>
  <c r="DW50" i="1"/>
  <c r="DX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DP48" i="1"/>
  <c r="EO44" i="1"/>
  <c r="ER44" i="1" s="1"/>
  <c r="EN44" i="1"/>
  <c r="EM44" i="1"/>
  <c r="FG40" i="1"/>
  <c r="FV40" i="1"/>
  <c r="DY47" i="1"/>
  <c r="AS59" i="1"/>
  <c r="AT59" i="1" s="1"/>
  <c r="BB56" i="1"/>
  <c r="BE56" i="1" s="1"/>
  <c r="BB59" i="1" l="1"/>
  <c r="BE59" i="1" s="1"/>
  <c r="GC38" i="1"/>
  <c r="GH38" i="1" s="1"/>
  <c r="CT53" i="1"/>
  <c r="CV53" i="1" s="1"/>
  <c r="DY50" i="1"/>
  <c r="CU54" i="1"/>
  <c r="CT54" i="1"/>
  <c r="EA50" i="1"/>
  <c r="CY53" i="1"/>
  <c r="CZ53" i="1"/>
  <c r="DA53" i="1"/>
  <c r="BU59" i="1"/>
  <c r="BX59" i="1"/>
  <c r="CA59" i="1"/>
  <c r="CE58" i="1"/>
  <c r="CC58" i="1"/>
  <c r="CB58" i="1"/>
  <c r="CG58" i="1" s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DU52" i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DU48" i="1"/>
  <c r="DS48" i="1"/>
  <c r="FJ39" i="1"/>
  <c r="GQ39" i="1" s="1"/>
  <c r="FM39" i="1"/>
  <c r="FN39" i="1" s="1"/>
  <c r="FW39" i="1"/>
  <c r="FX39" i="1" s="1"/>
  <c r="FZ39" i="1" s="1"/>
  <c r="DN49" i="1"/>
  <c r="DP49" i="1"/>
  <c r="DM49" i="1"/>
  <c r="EC47" i="1"/>
  <c r="EB47" i="1"/>
  <c r="ED47" i="1"/>
  <c r="AS60" i="1"/>
  <c r="AT60" i="1" s="1"/>
  <c r="BB60" i="1" s="1"/>
  <c r="BE60" i="1" s="1"/>
  <c r="BB57" i="1"/>
  <c r="BE57" i="1" s="1"/>
  <c r="GG38" i="1" l="1"/>
  <c r="GS38" i="1" s="1"/>
  <c r="GI38" i="1"/>
  <c r="GY38" i="1" s="1"/>
  <c r="GE38" i="1"/>
  <c r="GF38" i="1" s="1"/>
  <c r="CW53" i="1"/>
  <c r="DP53" i="1" s="1"/>
  <c r="CX53" i="1"/>
  <c r="DN53" i="1" s="1"/>
  <c r="DO53" i="1"/>
  <c r="CK58" i="1"/>
  <c r="CF58" i="1"/>
  <c r="CL58" i="1" s="1"/>
  <c r="CH58" i="1"/>
  <c r="CJ58" i="1"/>
  <c r="CM58" i="1" s="1"/>
  <c r="BX60" i="1"/>
  <c r="BU60" i="1"/>
  <c r="CA60" i="1"/>
  <c r="ED50" i="1"/>
  <c r="EL50" i="1" s="1"/>
  <c r="CV54" i="1"/>
  <c r="CW54" i="1"/>
  <c r="CX54" i="1"/>
  <c r="CY54" i="1"/>
  <c r="CZ54" i="1"/>
  <c r="DA54" i="1"/>
  <c r="DL53" i="1"/>
  <c r="DY52" i="1"/>
  <c r="EC50" i="1"/>
  <c r="EG50" i="1" s="1"/>
  <c r="EB50" i="1"/>
  <c r="CB59" i="1"/>
  <c r="CG59" i="1" s="1"/>
  <c r="CC59" i="1"/>
  <c r="CE59" i="1"/>
  <c r="GD41" i="1"/>
  <c r="GP41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A52" i="1"/>
  <c r="DZ52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EA4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BB61" i="1" l="1"/>
  <c r="BE61" i="1" s="1"/>
  <c r="DO54" i="1"/>
  <c r="DQ53" i="1"/>
  <c r="DM53" i="1"/>
  <c r="DW53" i="1" s="1"/>
  <c r="DX53" i="1" s="1"/>
  <c r="CN58" i="1"/>
  <c r="CP58" i="1" s="1"/>
  <c r="CJ59" i="1"/>
  <c r="CM59" i="1" s="1"/>
  <c r="CE60" i="1"/>
  <c r="CB60" i="1"/>
  <c r="CG60" i="1" s="1"/>
  <c r="CC60" i="1"/>
  <c r="CK59" i="1"/>
  <c r="CF59" i="1"/>
  <c r="CL59" i="1" s="1"/>
  <c r="CH59" i="1"/>
  <c r="CR58" i="1"/>
  <c r="DP54" i="1"/>
  <c r="DS53" i="1"/>
  <c r="BU61" i="1"/>
  <c r="CA61" i="1"/>
  <c r="BX61" i="1"/>
  <c r="DQ54" i="1"/>
  <c r="EJ50" i="1"/>
  <c r="EH50" i="1"/>
  <c r="EI50" i="1"/>
  <c r="DU53" i="1"/>
  <c r="DN54" i="1"/>
  <c r="DM54" i="1"/>
  <c r="DL54" i="1"/>
  <c r="EF50" i="1"/>
  <c r="EK50" i="1"/>
  <c r="EE50" i="1"/>
  <c r="FS43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DY53" i="1" l="1"/>
  <c r="CQ58" i="1"/>
  <c r="CS58" i="1" s="1"/>
  <c r="CU58" i="1" s="1"/>
  <c r="DV53" i="1"/>
  <c r="DR53" i="1"/>
  <c r="CR59" i="1"/>
  <c r="CJ60" i="1"/>
  <c r="CM60" i="1" s="1"/>
  <c r="CN59" i="1"/>
  <c r="CP59" i="1" s="1"/>
  <c r="CK60" i="1"/>
  <c r="CH60" i="1"/>
  <c r="CF60" i="1"/>
  <c r="CL60" i="1" s="1"/>
  <c r="DS54" i="1"/>
  <c r="EN50" i="1"/>
  <c r="DU54" i="1"/>
  <c r="CB61" i="1"/>
  <c r="CG61" i="1" s="1"/>
  <c r="CC61" i="1"/>
  <c r="CE61" i="1"/>
  <c r="EM50" i="1"/>
  <c r="EO50" i="1"/>
  <c r="ER50" i="1" s="1"/>
  <c r="DV54" i="1"/>
  <c r="DW54" i="1"/>
  <c r="DX54" i="1" s="1"/>
  <c r="DR54" i="1"/>
  <c r="EA53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J61" i="1" l="1"/>
  <c r="CM61" i="1" s="1"/>
  <c r="DZ53" i="1"/>
  <c r="EB53" i="1" s="1"/>
  <c r="CR60" i="1"/>
  <c r="DY54" i="1"/>
  <c r="CQ59" i="1"/>
  <c r="CS59" i="1" s="1"/>
  <c r="CT59" i="1" s="1"/>
  <c r="CT58" i="1"/>
  <c r="CV58" i="1" s="1"/>
  <c r="CN60" i="1"/>
  <c r="CP60" i="1" s="1"/>
  <c r="EP50" i="1"/>
  <c r="EV50" i="1" s="1"/>
  <c r="CK61" i="1"/>
  <c r="CH61" i="1"/>
  <c r="CF61" i="1"/>
  <c r="CL61" i="1" s="1"/>
  <c r="EQ50" i="1"/>
  <c r="EZ50" i="1" s="1"/>
  <c r="FC50" i="1" s="1"/>
  <c r="FY50" i="1" s="1"/>
  <c r="HE50" i="1" s="1"/>
  <c r="EA54" i="1"/>
  <c r="DZ54" i="1"/>
  <c r="CY58" i="1"/>
  <c r="CZ58" i="1"/>
  <c r="DA58" i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BB62" i="1" l="1"/>
  <c r="BE62" i="1" s="1"/>
  <c r="EC53" i="1"/>
  <c r="EK53" i="1" s="1"/>
  <c r="ED53" i="1"/>
  <c r="EH53" i="1" s="1"/>
  <c r="CW58" i="1"/>
  <c r="DM58" i="1" s="1"/>
  <c r="FF50" i="1"/>
  <c r="FI50" i="1" s="1"/>
  <c r="CX58" i="1"/>
  <c r="DQ58" i="1" s="1"/>
  <c r="CQ60" i="1"/>
  <c r="CS60" i="1" s="1"/>
  <c r="CT60" i="1" s="1"/>
  <c r="CU59" i="1"/>
  <c r="CY59" i="1" s="1"/>
  <c r="FB50" i="1"/>
  <c r="BU62" i="1"/>
  <c r="BX62" i="1"/>
  <c r="CA62" i="1"/>
  <c r="FA50" i="1"/>
  <c r="CN61" i="1"/>
  <c r="CQ61" i="1" s="1"/>
  <c r="CR61" i="1"/>
  <c r="ED54" i="1"/>
  <c r="EB54" i="1"/>
  <c r="EC54" i="1"/>
  <c r="EL53" i="1"/>
  <c r="CV59" i="1"/>
  <c r="CW59" i="1"/>
  <c r="CX59" i="1"/>
  <c r="DL58" i="1"/>
  <c r="DO58" i="1"/>
  <c r="GT43" i="1"/>
  <c r="GZ43" i="1"/>
  <c r="HA43" i="1"/>
  <c r="HD43" i="1" s="1"/>
  <c r="GR43" i="1"/>
  <c r="HC41" i="1"/>
  <c r="HD41" i="1"/>
  <c r="GZ42" i="1"/>
  <c r="GT42" i="1"/>
  <c r="GR42" i="1"/>
  <c r="HA42" i="1"/>
  <c r="EW50" i="1"/>
  <c r="HB50" i="1"/>
  <c r="HF50" i="1" s="1"/>
  <c r="HH50" i="1" s="1"/>
  <c r="EX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BB63" i="1" s="1"/>
  <c r="BE63" i="1" s="1"/>
  <c r="EF53" i="1" l="1"/>
  <c r="EG53" i="1"/>
  <c r="EE53" i="1"/>
  <c r="DN58" i="1"/>
  <c r="DW58" i="1" s="1"/>
  <c r="DX58" i="1" s="1"/>
  <c r="EJ53" i="1"/>
  <c r="EO53" i="1" s="1"/>
  <c r="ER53" i="1" s="1"/>
  <c r="EI53" i="1"/>
  <c r="EN53" i="1" s="1"/>
  <c r="DP58" i="1"/>
  <c r="DS58" i="1" s="1"/>
  <c r="FD50" i="1"/>
  <c r="FV50" i="1" s="1"/>
  <c r="DA59" i="1"/>
  <c r="DQ59" i="1" s="1"/>
  <c r="CZ59" i="1"/>
  <c r="DP59" i="1" s="1"/>
  <c r="CU60" i="1"/>
  <c r="CZ60" i="1" s="1"/>
  <c r="DO59" i="1"/>
  <c r="CV60" i="1"/>
  <c r="CW60" i="1"/>
  <c r="CX60" i="1"/>
  <c r="CA63" i="1"/>
  <c r="BU63" i="1"/>
  <c r="BX63" i="1"/>
  <c r="CC62" i="1"/>
  <c r="CB62" i="1"/>
  <c r="CG62" i="1" s="1"/>
  <c r="CE62" i="1"/>
  <c r="FO50" i="1"/>
  <c r="FL50" i="1"/>
  <c r="FE50" i="1"/>
  <c r="FH50" i="1" s="1"/>
  <c r="CP61" i="1"/>
  <c r="CS61" i="1" s="1"/>
  <c r="EK54" i="1"/>
  <c r="EE54" i="1"/>
  <c r="EG54" i="1"/>
  <c r="EF54" i="1"/>
  <c r="HG50" i="1"/>
  <c r="EL54" i="1"/>
  <c r="EJ54" i="1"/>
  <c r="EH54" i="1"/>
  <c r="EI54" i="1"/>
  <c r="EM53" i="1"/>
  <c r="DR58" i="1"/>
  <c r="DN59" i="1"/>
  <c r="DM59" i="1"/>
  <c r="DL59" i="1"/>
  <c r="HC43" i="1"/>
  <c r="HD39" i="1"/>
  <c r="HD42" i="1"/>
  <c r="HC42" i="1"/>
  <c r="FF52" i="1"/>
  <c r="FI52" i="1" s="1"/>
  <c r="FY52" i="1"/>
  <c r="HE52" i="1" s="1"/>
  <c r="FA52" i="1"/>
  <c r="FB52" i="1"/>
  <c r="EV52" i="1"/>
  <c r="FU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BB64" i="1" l="1"/>
  <c r="BE64" i="1" s="1"/>
  <c r="DV58" i="1"/>
  <c r="DZ58" i="1" s="1"/>
  <c r="DU58" i="1"/>
  <c r="DY58" i="1" s="1"/>
  <c r="FG50" i="1"/>
  <c r="FM50" i="1" s="1"/>
  <c r="FN50" i="1" s="1"/>
  <c r="DS59" i="1"/>
  <c r="DP60" i="1"/>
  <c r="DA60" i="1"/>
  <c r="DQ60" i="1" s="1"/>
  <c r="CY60" i="1"/>
  <c r="DO60" i="1" s="1"/>
  <c r="DU59" i="1"/>
  <c r="EA58" i="1"/>
  <c r="DN60" i="1"/>
  <c r="DM60" i="1"/>
  <c r="DL60" i="1"/>
  <c r="BU64" i="1"/>
  <c r="CA64" i="1"/>
  <c r="BX64" i="1"/>
  <c r="CC63" i="1"/>
  <c r="CB63" i="1"/>
  <c r="CG63" i="1" s="1"/>
  <c r="CE63" i="1"/>
  <c r="CJ62" i="1"/>
  <c r="CM62" i="1" s="1"/>
  <c r="CK62" i="1"/>
  <c r="CF62" i="1"/>
  <c r="CL62" i="1" s="1"/>
  <c r="CH62" i="1"/>
  <c r="CU61" i="1"/>
  <c r="CT61" i="1"/>
  <c r="EM54" i="1"/>
  <c r="EN54" i="1"/>
  <c r="EO54" i="1"/>
  <c r="ER54" i="1" s="1"/>
  <c r="EQ53" i="1"/>
  <c r="EZ53" i="1" s="1"/>
  <c r="FC53" i="1" s="1"/>
  <c r="EP53" i="1"/>
  <c r="DV59" i="1"/>
  <c r="DW59" i="1"/>
  <c r="DX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J50" i="1"/>
  <c r="GQ50" i="1" s="1"/>
  <c r="FE51" i="1"/>
  <c r="FD51" i="1"/>
  <c r="FV51" i="1" s="1"/>
  <c r="EX51" i="1"/>
  <c r="HB51" i="1"/>
  <c r="HF51" i="1" s="1"/>
  <c r="HG51" i="1" s="1"/>
  <c r="EW51" i="1"/>
  <c r="FL52" i="1"/>
  <c r="FO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BB65" i="1" s="1"/>
  <c r="BE65" i="1" s="1"/>
  <c r="FW50" i="1" l="1"/>
  <c r="FX50" i="1" s="1"/>
  <c r="FZ50" i="1" s="1"/>
  <c r="GP50" i="1" s="1"/>
  <c r="DY59" i="1"/>
  <c r="DU60" i="1"/>
  <c r="DS60" i="1"/>
  <c r="DR60" i="1"/>
  <c r="DV60" i="1"/>
  <c r="DW60" i="1"/>
  <c r="DX60" i="1" s="1"/>
  <c r="EA59" i="1"/>
  <c r="BU65" i="1"/>
  <c r="CA65" i="1"/>
  <c r="BX65" i="1"/>
  <c r="CC64" i="1"/>
  <c r="CB64" i="1"/>
  <c r="CG64" i="1" s="1"/>
  <c r="CE64" i="1"/>
  <c r="CJ64" i="1" s="1"/>
  <c r="CJ63" i="1"/>
  <c r="CM63" i="1" s="1"/>
  <c r="CK63" i="1"/>
  <c r="CF63" i="1"/>
  <c r="CL63" i="1" s="1"/>
  <c r="CH63" i="1"/>
  <c r="CN62" i="1"/>
  <c r="CQ62" i="1" s="1"/>
  <c r="CR62" i="1"/>
  <c r="CV61" i="1"/>
  <c r="CW61" i="1"/>
  <c r="CX61" i="1"/>
  <c r="CY61" i="1"/>
  <c r="CZ61" i="1"/>
  <c r="DA61" i="1"/>
  <c r="EP54" i="1"/>
  <c r="EQ54" i="1"/>
  <c r="EZ54" i="1" s="1"/>
  <c r="FC54" i="1" s="1"/>
  <c r="FB53" i="1"/>
  <c r="EV53" i="1"/>
  <c r="FA53" i="1"/>
  <c r="HG52" i="1"/>
  <c r="FF53" i="1"/>
  <c r="FI53" i="1" s="1"/>
  <c r="FY53" i="1"/>
  <c r="HE53" i="1" s="1"/>
  <c r="FH52" i="1"/>
  <c r="FH51" i="1"/>
  <c r="DZ59" i="1"/>
  <c r="ED58" i="1"/>
  <c r="EB58" i="1"/>
  <c r="EC58" i="1"/>
  <c r="FU51" i="1"/>
  <c r="FG51" i="1"/>
  <c r="FU52" i="1"/>
  <c r="FG52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BB66" i="1" l="1"/>
  <c r="BE66" i="1" s="1"/>
  <c r="GD50" i="1"/>
  <c r="GA50" i="1"/>
  <c r="DY60" i="1"/>
  <c r="DW57" i="1"/>
  <c r="DX57" i="1" s="1"/>
  <c r="EA57" i="1" s="1"/>
  <c r="EA60" i="1"/>
  <c r="DZ60" i="1"/>
  <c r="CA66" i="1"/>
  <c r="BX66" i="1"/>
  <c r="BU66" i="1"/>
  <c r="DQ61" i="1"/>
  <c r="CE65" i="1"/>
  <c r="CB65" i="1"/>
  <c r="CG65" i="1" s="1"/>
  <c r="CC65" i="1"/>
  <c r="CM64" i="1"/>
  <c r="CK64" i="1"/>
  <c r="CF64" i="1"/>
  <c r="CL64" i="1" s="1"/>
  <c r="CH64" i="1"/>
  <c r="CN63" i="1"/>
  <c r="CQ63" i="1" s="1"/>
  <c r="CR63" i="1"/>
  <c r="DP61" i="1"/>
  <c r="DO61" i="1"/>
  <c r="CP62" i="1"/>
  <c r="CS62" i="1" s="1"/>
  <c r="DN61" i="1"/>
  <c r="DM61" i="1"/>
  <c r="DL61" i="1"/>
  <c r="FF54" i="1"/>
  <c r="FI54" i="1" s="1"/>
  <c r="FY54" i="1"/>
  <c r="HE54" i="1" s="1"/>
  <c r="FB54" i="1"/>
  <c r="EV54" i="1"/>
  <c r="FA54" i="1"/>
  <c r="FL53" i="1"/>
  <c r="FO53" i="1"/>
  <c r="EX53" i="1"/>
  <c r="FE53" i="1"/>
  <c r="EW53" i="1"/>
  <c r="FD53" i="1"/>
  <c r="FV53" i="1" s="1"/>
  <c r="HB53" i="1"/>
  <c r="HF53" i="1" s="1"/>
  <c r="HH53" i="1" s="1"/>
  <c r="EK58" i="1"/>
  <c r="EF58" i="1"/>
  <c r="EE58" i="1"/>
  <c r="EG58" i="1"/>
  <c r="EL58" i="1"/>
  <c r="EI58" i="1"/>
  <c r="EH58" i="1"/>
  <c r="EJ58" i="1"/>
  <c r="EB59" i="1"/>
  <c r="EC59" i="1"/>
  <c r="ED59" i="1"/>
  <c r="HQ47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FS47" i="1"/>
  <c r="EC55" i="1"/>
  <c r="EB55" i="1"/>
  <c r="ED55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DU61" i="1" l="1"/>
  <c r="EC60" i="1"/>
  <c r="EK60" i="1" s="1"/>
  <c r="ED60" i="1"/>
  <c r="EL60" i="1" s="1"/>
  <c r="EB60" i="1"/>
  <c r="CC66" i="1"/>
  <c r="CE66" i="1"/>
  <c r="CB66" i="1"/>
  <c r="CG66" i="1" s="1"/>
  <c r="CJ65" i="1"/>
  <c r="CM65" i="1" s="1"/>
  <c r="CK65" i="1"/>
  <c r="CF65" i="1"/>
  <c r="CL65" i="1" s="1"/>
  <c r="CH65" i="1"/>
  <c r="CN64" i="1"/>
  <c r="CQ64" i="1" s="1"/>
  <c r="CR64" i="1"/>
  <c r="DS61" i="1"/>
  <c r="CP63" i="1"/>
  <c r="CS63" i="1" s="1"/>
  <c r="CU62" i="1"/>
  <c r="CT62" i="1"/>
  <c r="DV61" i="1"/>
  <c r="DW61" i="1"/>
  <c r="DX61" i="1" s="1"/>
  <c r="DR61" i="1"/>
  <c r="GI50" i="1"/>
  <c r="FL54" i="1"/>
  <c r="FO54" i="1"/>
  <c r="HB54" i="1"/>
  <c r="HF54" i="1" s="1"/>
  <c r="HG54" i="1" s="1"/>
  <c r="EW54" i="1"/>
  <c r="EX54" i="1"/>
  <c r="FE54" i="1"/>
  <c r="FD54" i="1"/>
  <c r="FV54" i="1" s="1"/>
  <c r="FG53" i="1"/>
  <c r="FU53" i="1"/>
  <c r="FH53" i="1"/>
  <c r="HG53" i="1"/>
  <c r="EL59" i="1"/>
  <c r="EH59" i="1"/>
  <c r="EJ59" i="1"/>
  <c r="EI59" i="1"/>
  <c r="EK59" i="1"/>
  <c r="EG59" i="1"/>
  <c r="EE59" i="1"/>
  <c r="EF59" i="1"/>
  <c r="EN58" i="1"/>
  <c r="EO58" i="1"/>
  <c r="ER58" i="1" s="1"/>
  <c r="EM58" i="1"/>
  <c r="HR47" i="1"/>
  <c r="BU67" i="1"/>
  <c r="BX67" i="1"/>
  <c r="CA67" i="1"/>
  <c r="HQ11" i="1"/>
  <c r="HQ9" i="1"/>
  <c r="FQ52" i="1"/>
  <c r="FP52" i="1"/>
  <c r="FR52" i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l="1"/>
  <c r="BE68" i="1" s="1"/>
  <c r="DY61" i="1"/>
  <c r="EE60" i="1"/>
  <c r="EG60" i="1"/>
  <c r="EF60" i="1"/>
  <c r="EI60" i="1"/>
  <c r="EN60" i="1" s="1"/>
  <c r="EJ60" i="1"/>
  <c r="EO60" i="1" s="1"/>
  <c r="ER60" i="1" s="1"/>
  <c r="EH60" i="1"/>
  <c r="EM60" i="1" s="1"/>
  <c r="CJ66" i="1"/>
  <c r="CM66" i="1" s="1"/>
  <c r="CR65" i="1"/>
  <c r="CK66" i="1"/>
  <c r="CF66" i="1"/>
  <c r="CL66" i="1" s="1"/>
  <c r="CH66" i="1"/>
  <c r="CN65" i="1"/>
  <c r="CP65" i="1" s="1"/>
  <c r="CP64" i="1"/>
  <c r="CS64" i="1" s="1"/>
  <c r="CT63" i="1"/>
  <c r="CU63" i="1"/>
  <c r="CV62" i="1"/>
  <c r="CW62" i="1"/>
  <c r="CX62" i="1"/>
  <c r="CY62" i="1"/>
  <c r="CZ62" i="1"/>
  <c r="DA62" i="1"/>
  <c r="FT52" i="1"/>
  <c r="EA61" i="1"/>
  <c r="DZ61" i="1"/>
  <c r="HH54" i="1"/>
  <c r="FH54" i="1"/>
  <c r="FG54" i="1"/>
  <c r="FU54" i="1"/>
  <c r="FW53" i="1"/>
  <c r="FX53" i="1" s="1"/>
  <c r="FZ53" i="1" s="1"/>
  <c r="FJ53" i="1"/>
  <c r="GQ53" i="1" s="1"/>
  <c r="FM53" i="1"/>
  <c r="FN53" i="1" s="1"/>
  <c r="EN59" i="1"/>
  <c r="EM59" i="1"/>
  <c r="EO59" i="1"/>
  <c r="ER59" i="1" s="1"/>
  <c r="EP58" i="1"/>
  <c r="EQ58" i="1"/>
  <c r="EZ58" i="1" s="1"/>
  <c r="FC58" i="1" s="1"/>
  <c r="HM47" i="1"/>
  <c r="CC67" i="1"/>
  <c r="CE67" i="1"/>
  <c r="CB67" i="1"/>
  <c r="CG67" i="1" s="1"/>
  <c r="CA68" i="1"/>
  <c r="BU68" i="1"/>
  <c r="BX68" i="1"/>
  <c r="HM9" i="1"/>
  <c r="HR11" i="1"/>
  <c r="FS51" i="1"/>
  <c r="FT51" i="1"/>
  <c r="GO52" i="1"/>
  <c r="GC52" i="1"/>
  <c r="GB52" i="1"/>
  <c r="FS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EN55" i="1"/>
  <c r="EO55" i="1"/>
  <c r="ER55" i="1" s="1"/>
  <c r="FS48" i="1"/>
  <c r="EM56" i="1"/>
  <c r="EN56" i="1"/>
  <c r="AS69" i="1"/>
  <c r="AT69" i="1" s="1"/>
  <c r="BB69" i="1" s="1"/>
  <c r="BE69" i="1" s="1"/>
  <c r="CJ67" i="1" l="1"/>
  <c r="CM67" i="1" s="1"/>
  <c r="CK67" i="1"/>
  <c r="CF67" i="1"/>
  <c r="CL67" i="1" s="1"/>
  <c r="CH67" i="1"/>
  <c r="EQ60" i="1"/>
  <c r="EZ60" i="1" s="1"/>
  <c r="FC60" i="1" s="1"/>
  <c r="EP60" i="1"/>
  <c r="CN66" i="1"/>
  <c r="CQ66" i="1" s="1"/>
  <c r="CR66" i="1"/>
  <c r="CQ65" i="1"/>
  <c r="CT64" i="1"/>
  <c r="CU64" i="1"/>
  <c r="DP62" i="1"/>
  <c r="DO62" i="1"/>
  <c r="CY63" i="1"/>
  <c r="CZ63" i="1"/>
  <c r="DA63" i="1"/>
  <c r="DQ62" i="1"/>
  <c r="CV63" i="1"/>
  <c r="CW63" i="1"/>
  <c r="CX63" i="1"/>
  <c r="DN62" i="1"/>
  <c r="DM62" i="1"/>
  <c r="DL62" i="1"/>
  <c r="EC61" i="1"/>
  <c r="ED61" i="1"/>
  <c r="EB61" i="1"/>
  <c r="GI52" i="1"/>
  <c r="FW54" i="1"/>
  <c r="FX54" i="1" s="1"/>
  <c r="FZ54" i="1" s="1"/>
  <c r="FM54" i="1"/>
  <c r="FN54" i="1" s="1"/>
  <c r="FJ54" i="1"/>
  <c r="GQ54" i="1" s="1"/>
  <c r="HQ12" i="1" s="1"/>
  <c r="FR53" i="1"/>
  <c r="FP53" i="1"/>
  <c r="FQ53" i="1"/>
  <c r="GP53" i="1"/>
  <c r="GA53" i="1"/>
  <c r="GD53" i="1"/>
  <c r="GH52" i="1"/>
  <c r="FF58" i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E68" i="1"/>
  <c r="CB68" i="1"/>
  <c r="CG68" i="1" s="1"/>
  <c r="BX69" i="1"/>
  <c r="BU69" i="1"/>
  <c r="CA69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l="1"/>
  <c r="BE70" i="1" s="1"/>
  <c r="CR67" i="1"/>
  <c r="CN67" i="1"/>
  <c r="CQ67" i="1" s="1"/>
  <c r="CJ68" i="1"/>
  <c r="CM68" i="1" s="1"/>
  <c r="EV60" i="1"/>
  <c r="FB60" i="1"/>
  <c r="FA60" i="1"/>
  <c r="FF60" i="1"/>
  <c r="FI60" i="1" s="1"/>
  <c r="FY60" i="1"/>
  <c r="HE60" i="1" s="1"/>
  <c r="CK68" i="1"/>
  <c r="CH68" i="1"/>
  <c r="CF68" i="1"/>
  <c r="CL68" i="1" s="1"/>
  <c r="CP66" i="1"/>
  <c r="CS66" i="1" s="1"/>
  <c r="DU62" i="1"/>
  <c r="CS65" i="1"/>
  <c r="CU65" i="1" s="1"/>
  <c r="DS62" i="1"/>
  <c r="CY64" i="1"/>
  <c r="CZ64" i="1"/>
  <c r="DA64" i="1"/>
  <c r="CV64" i="1"/>
  <c r="CW64" i="1"/>
  <c r="CX64" i="1"/>
  <c r="DN63" i="1"/>
  <c r="DM63" i="1"/>
  <c r="DL63" i="1"/>
  <c r="DQ63" i="1"/>
  <c r="DP63" i="1"/>
  <c r="DO63" i="1"/>
  <c r="DW62" i="1"/>
  <c r="DX62" i="1" s="1"/>
  <c r="DV62" i="1"/>
  <c r="DR62" i="1"/>
  <c r="EL61" i="1"/>
  <c r="EJ61" i="1"/>
  <c r="EH61" i="1"/>
  <c r="EI61" i="1"/>
  <c r="EK61" i="1"/>
  <c r="EE61" i="1"/>
  <c r="EG61" i="1"/>
  <c r="EF61" i="1"/>
  <c r="FS53" i="1"/>
  <c r="GY52" i="1"/>
  <c r="GZ52" i="1" s="1"/>
  <c r="GA54" i="1"/>
  <c r="GD54" i="1"/>
  <c r="GP54" i="1"/>
  <c r="HR12" i="1" s="1"/>
  <c r="FP54" i="1"/>
  <c r="FQ54" i="1"/>
  <c r="FR54" i="1"/>
  <c r="GS52" i="1"/>
  <c r="GT52" i="1" s="1"/>
  <c r="GO53" i="1"/>
  <c r="GB53" i="1"/>
  <c r="GC53" i="1"/>
  <c r="FT53" i="1"/>
  <c r="FF59" i="1"/>
  <c r="FI59" i="1" s="1"/>
  <c r="FY59" i="1"/>
  <c r="HE59" i="1" s="1"/>
  <c r="FA59" i="1"/>
  <c r="FB59" i="1"/>
  <c r="EV59" i="1"/>
  <c r="FL58" i="1"/>
  <c r="FO58" i="1"/>
  <c r="EX58" i="1"/>
  <c r="FE58" i="1"/>
  <c r="EW58" i="1"/>
  <c r="FD58" i="1"/>
  <c r="FV58" i="1" s="1"/>
  <c r="HB58" i="1"/>
  <c r="HF58" i="1" s="1"/>
  <c r="HH58" i="1" s="1"/>
  <c r="CE69" i="1"/>
  <c r="CB69" i="1"/>
  <c r="CG69" i="1" s="1"/>
  <c r="CC69" i="1"/>
  <c r="BU70" i="1"/>
  <c r="CA70" i="1"/>
  <c r="BX70" i="1"/>
  <c r="IA47" i="1"/>
  <c r="HY47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P67" i="1" l="1"/>
  <c r="CS67" i="1" s="1"/>
  <c r="CT67" i="1" s="1"/>
  <c r="CR68" i="1"/>
  <c r="HG58" i="1"/>
  <c r="CJ69" i="1"/>
  <c r="CM69" i="1" s="1"/>
  <c r="CN68" i="1"/>
  <c r="CQ68" i="1" s="1"/>
  <c r="CK69" i="1"/>
  <c r="CF69" i="1"/>
  <c r="CL69" i="1" s="1"/>
  <c r="CH69" i="1"/>
  <c r="FL60" i="1"/>
  <c r="FO60" i="1"/>
  <c r="FH58" i="1"/>
  <c r="EW60" i="1"/>
  <c r="FD60" i="1"/>
  <c r="FV60" i="1" s="1"/>
  <c r="FE60" i="1"/>
  <c r="EX60" i="1"/>
  <c r="HB60" i="1"/>
  <c r="HF60" i="1" s="1"/>
  <c r="HH60" i="1" s="1"/>
  <c r="CU66" i="1"/>
  <c r="CT66" i="1"/>
  <c r="DY62" i="1"/>
  <c r="CY65" i="1"/>
  <c r="CZ65" i="1"/>
  <c r="DA65" i="1"/>
  <c r="CT65" i="1"/>
  <c r="DN64" i="1"/>
  <c r="DM64" i="1"/>
  <c r="GH53" i="1"/>
  <c r="DL64" i="1"/>
  <c r="DQ64" i="1"/>
  <c r="DP64" i="1"/>
  <c r="DO64" i="1"/>
  <c r="DS63" i="1"/>
  <c r="DU63" i="1"/>
  <c r="DW63" i="1"/>
  <c r="DX63" i="1" s="1"/>
  <c r="DV63" i="1"/>
  <c r="DR63" i="1"/>
  <c r="DZ62" i="1"/>
  <c r="EA62" i="1"/>
  <c r="EN61" i="1"/>
  <c r="EO61" i="1"/>
  <c r="ER61" i="1" s="1"/>
  <c r="EM61" i="1"/>
  <c r="GR52" i="1"/>
  <c r="FT54" i="1"/>
  <c r="HA52" i="1"/>
  <c r="HD52" i="1" s="1"/>
  <c r="FS54" i="1"/>
  <c r="GB54" i="1"/>
  <c r="GO54" i="1"/>
  <c r="HM12" i="1" s="1"/>
  <c r="GC54" i="1"/>
  <c r="GG53" i="1"/>
  <c r="GE53" i="1"/>
  <c r="GF53" i="1" s="1"/>
  <c r="GI53" i="1"/>
  <c r="EW59" i="1"/>
  <c r="HB59" i="1"/>
  <c r="HF59" i="1" s="1"/>
  <c r="HH59" i="1" s="1"/>
  <c r="FD59" i="1"/>
  <c r="FV59" i="1" s="1"/>
  <c r="EX59" i="1"/>
  <c r="FE59" i="1"/>
  <c r="FL59" i="1"/>
  <c r="FO59" i="1"/>
  <c r="FG58" i="1"/>
  <c r="FU58" i="1"/>
  <c r="IC47" i="1"/>
  <c r="IB47" i="1"/>
  <c r="CB70" i="1"/>
  <c r="CG70" i="1" s="1"/>
  <c r="CE70" i="1"/>
  <c r="CC70" i="1"/>
  <c r="IE47" i="1"/>
  <c r="BX71" i="1"/>
  <c r="CA71" i="1"/>
  <c r="BU71" i="1"/>
  <c r="GZ51" i="1"/>
  <c r="GT51" i="1"/>
  <c r="GR51" i="1"/>
  <c r="HY11" i="1"/>
  <c r="HA51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HA48" i="1"/>
  <c r="HC48" i="1" s="1"/>
  <c r="EP57" i="1"/>
  <c r="EV57" i="1" s="1"/>
  <c r="EQ57" i="1"/>
  <c r="EZ57" i="1" s="1"/>
  <c r="FC57" i="1" s="1"/>
  <c r="FY57" i="1" s="1"/>
  <c r="HE57" i="1" s="1"/>
  <c r="GT48" i="1"/>
  <c r="GR48" i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l="1"/>
  <c r="BE72" i="1" s="1"/>
  <c r="CJ70" i="1"/>
  <c r="CM70" i="1" s="1"/>
  <c r="CK70" i="1"/>
  <c r="CH70" i="1"/>
  <c r="CF70" i="1"/>
  <c r="CL70" i="1" s="1"/>
  <c r="CN69" i="1"/>
  <c r="CQ69" i="1" s="1"/>
  <c r="CP68" i="1"/>
  <c r="CS68" i="1" s="1"/>
  <c r="CU68" i="1" s="1"/>
  <c r="CR69" i="1"/>
  <c r="FH60" i="1"/>
  <c r="CU67" i="1"/>
  <c r="CZ67" i="1" s="1"/>
  <c r="FU60" i="1"/>
  <c r="FG60" i="1"/>
  <c r="HG60" i="1"/>
  <c r="CV66" i="1"/>
  <c r="CW66" i="1"/>
  <c r="CX66" i="1"/>
  <c r="CY66" i="1"/>
  <c r="CZ66" i="1"/>
  <c r="DA66" i="1"/>
  <c r="HC52" i="1"/>
  <c r="CV65" i="1"/>
  <c r="DO65" i="1" s="1"/>
  <c r="CW65" i="1"/>
  <c r="DP65" i="1" s="1"/>
  <c r="CX65" i="1"/>
  <c r="DQ65" i="1" s="1"/>
  <c r="GS53" i="1"/>
  <c r="GT53" i="1" s="1"/>
  <c r="DY63" i="1"/>
  <c r="DS64" i="1"/>
  <c r="DU64" i="1"/>
  <c r="GY53" i="1"/>
  <c r="GZ53" i="1" s="1"/>
  <c r="DV64" i="1"/>
  <c r="DW64" i="1"/>
  <c r="DX64" i="1" s="1"/>
  <c r="DR64" i="1"/>
  <c r="DZ63" i="1"/>
  <c r="EA63" i="1"/>
  <c r="ED62" i="1"/>
  <c r="EB62" i="1"/>
  <c r="EC62" i="1"/>
  <c r="EQ61" i="1"/>
  <c r="EZ61" i="1" s="1"/>
  <c r="FC61" i="1" s="1"/>
  <c r="EP61" i="1"/>
  <c r="GH54" i="1"/>
  <c r="GI54" i="1"/>
  <c r="GE54" i="1"/>
  <c r="GF54" i="1" s="1"/>
  <c r="GG54" i="1"/>
  <c r="CV67" i="1"/>
  <c r="CW67" i="1"/>
  <c r="CX67" i="1"/>
  <c r="FW58" i="1"/>
  <c r="FX58" i="1" s="1"/>
  <c r="FZ58" i="1" s="1"/>
  <c r="FJ58" i="1"/>
  <c r="GQ58" i="1" s="1"/>
  <c r="FM58" i="1"/>
  <c r="FN58" i="1" s="1"/>
  <c r="FG59" i="1"/>
  <c r="FU59" i="1"/>
  <c r="CN70" i="1"/>
  <c r="HG59" i="1"/>
  <c r="FH59" i="1"/>
  <c r="BU72" i="1"/>
  <c r="CA72" i="1"/>
  <c r="BX72" i="1"/>
  <c r="CC71" i="1"/>
  <c r="CE71" i="1"/>
  <c r="CB71" i="1"/>
  <c r="CG71" i="1" s="1"/>
  <c r="IA11" i="1"/>
  <c r="HA49" i="1"/>
  <c r="HC49" i="1" s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CY67" i="1" l="1"/>
  <c r="CR70" i="1"/>
  <c r="CP69" i="1"/>
  <c r="CK71" i="1"/>
  <c r="CF71" i="1"/>
  <c r="CL71" i="1" s="1"/>
  <c r="CH71" i="1"/>
  <c r="CJ71" i="1"/>
  <c r="CM71" i="1" s="1"/>
  <c r="CT68" i="1"/>
  <c r="CV68" i="1" s="1"/>
  <c r="DA67" i="1"/>
  <c r="DQ67" i="1" s="1"/>
  <c r="DP66" i="1"/>
  <c r="DP67" i="1"/>
  <c r="FW60" i="1"/>
  <c r="FX60" i="1" s="1"/>
  <c r="FZ60" i="1" s="1"/>
  <c r="FM60" i="1"/>
  <c r="FN60" i="1" s="1"/>
  <c r="FJ60" i="1"/>
  <c r="GQ60" i="1" s="1"/>
  <c r="DQ66" i="1"/>
  <c r="DO67" i="1"/>
  <c r="DO66" i="1"/>
  <c r="DN66" i="1"/>
  <c r="DM66" i="1"/>
  <c r="DL66" i="1"/>
  <c r="DY64" i="1"/>
  <c r="DU65" i="1"/>
  <c r="DS65" i="1"/>
  <c r="HA53" i="1"/>
  <c r="HD53" i="1" s="1"/>
  <c r="GR53" i="1"/>
  <c r="DN65" i="1"/>
  <c r="DM65" i="1"/>
  <c r="DL65" i="1"/>
  <c r="DZ64" i="1"/>
  <c r="EA64" i="1"/>
  <c r="GY54" i="1"/>
  <c r="ED63" i="1"/>
  <c r="EC63" i="1"/>
  <c r="EB63" i="1"/>
  <c r="EK62" i="1"/>
  <c r="EE62" i="1"/>
  <c r="EG62" i="1"/>
  <c r="EF62" i="1"/>
  <c r="GS54" i="1"/>
  <c r="HY12" i="1" s="1"/>
  <c r="EL62" i="1"/>
  <c r="EJ62" i="1"/>
  <c r="EH62" i="1"/>
  <c r="EI62" i="1"/>
  <c r="EV61" i="1"/>
  <c r="FB61" i="1"/>
  <c r="FA61" i="1"/>
  <c r="FF61" i="1"/>
  <c r="FI61" i="1" s="1"/>
  <c r="FY61" i="1"/>
  <c r="HE61" i="1" s="1"/>
  <c r="GP58" i="1"/>
  <c r="GA58" i="1"/>
  <c r="GD58" i="1"/>
  <c r="CY68" i="1"/>
  <c r="CZ68" i="1"/>
  <c r="DA68" i="1"/>
  <c r="FQ58" i="1"/>
  <c r="FR58" i="1"/>
  <c r="FP58" i="1"/>
  <c r="CP70" i="1"/>
  <c r="CQ70" i="1"/>
  <c r="DN67" i="1"/>
  <c r="DM67" i="1"/>
  <c r="CS69" i="1"/>
  <c r="CU69" i="1" s="1"/>
  <c r="FJ59" i="1"/>
  <c r="GQ59" i="1" s="1"/>
  <c r="HQ46" i="1" s="1"/>
  <c r="FM59" i="1"/>
  <c r="FN59" i="1" s="1"/>
  <c r="FW59" i="1"/>
  <c r="FX59" i="1" s="1"/>
  <c r="FZ59" i="1" s="1"/>
  <c r="DL67" i="1"/>
  <c r="CA73" i="1"/>
  <c r="BU73" i="1"/>
  <c r="BX73" i="1"/>
  <c r="CE72" i="1"/>
  <c r="CB72" i="1"/>
  <c r="CG72" i="1" s="1"/>
  <c r="CC72" i="1"/>
  <c r="HD49" i="1"/>
  <c r="IB11" i="1"/>
  <c r="IC11" i="1"/>
  <c r="IE11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l="1"/>
  <c r="BE74" i="1" s="1"/>
  <c r="CX68" i="1"/>
  <c r="DQ68" i="1" s="1"/>
  <c r="CW68" i="1"/>
  <c r="CK72" i="1"/>
  <c r="CH72" i="1"/>
  <c r="CF72" i="1"/>
  <c r="CL72" i="1" s="1"/>
  <c r="CJ72" i="1"/>
  <c r="CM72" i="1" s="1"/>
  <c r="CN71" i="1"/>
  <c r="CR71" i="1"/>
  <c r="HQ15" i="1"/>
  <c r="HQ14" i="1"/>
  <c r="GZ54" i="1"/>
  <c r="IE12" i="1" s="1"/>
  <c r="IA12" i="1"/>
  <c r="DU67" i="1"/>
  <c r="DS67" i="1"/>
  <c r="GR54" i="1"/>
  <c r="IB12" i="1" s="1"/>
  <c r="CT69" i="1"/>
  <c r="CW69" i="1" s="1"/>
  <c r="DU66" i="1"/>
  <c r="GA60" i="1"/>
  <c r="GP60" i="1"/>
  <c r="GD60" i="1"/>
  <c r="FS58" i="1"/>
  <c r="DS66" i="1"/>
  <c r="FP60" i="1"/>
  <c r="FQ60" i="1"/>
  <c r="FR60" i="1"/>
  <c r="HC53" i="1"/>
  <c r="DV66" i="1"/>
  <c r="DW66" i="1"/>
  <c r="DX66" i="1" s="1"/>
  <c r="DR66" i="1"/>
  <c r="EC64" i="1"/>
  <c r="EK64" i="1" s="1"/>
  <c r="DR65" i="1"/>
  <c r="DW65" i="1"/>
  <c r="DX65" i="1" s="1"/>
  <c r="DV65" i="1"/>
  <c r="DY65" i="1"/>
  <c r="ED64" i="1"/>
  <c r="EB64" i="1"/>
  <c r="GT54" i="1"/>
  <c r="IC12" i="1" s="1"/>
  <c r="EK63" i="1"/>
  <c r="EF63" i="1"/>
  <c r="EE63" i="1"/>
  <c r="EG63" i="1"/>
  <c r="EL63" i="1"/>
  <c r="EI63" i="1"/>
  <c r="EH63" i="1"/>
  <c r="EJ63" i="1"/>
  <c r="HA54" i="1"/>
  <c r="HC54" i="1" s="1"/>
  <c r="EO62" i="1"/>
  <c r="ER62" i="1" s="1"/>
  <c r="EM62" i="1"/>
  <c r="EN62" i="1"/>
  <c r="FL61" i="1"/>
  <c r="FO61" i="1"/>
  <c r="EX61" i="1"/>
  <c r="FE61" i="1"/>
  <c r="EW61" i="1"/>
  <c r="FD61" i="1"/>
  <c r="FV61" i="1" s="1"/>
  <c r="HB61" i="1"/>
  <c r="HF61" i="1" s="1"/>
  <c r="HH61" i="1" s="1"/>
  <c r="CY69" i="1"/>
  <c r="CZ69" i="1"/>
  <c r="DA69" i="1"/>
  <c r="FQ59" i="1"/>
  <c r="FP59" i="1"/>
  <c r="FR59" i="1"/>
  <c r="DL68" i="1"/>
  <c r="GA59" i="1"/>
  <c r="GD59" i="1"/>
  <c r="GP59" i="1"/>
  <c r="HR46" i="1" s="1"/>
  <c r="CQ71" i="1"/>
  <c r="CP71" i="1"/>
  <c r="CS70" i="1"/>
  <c r="CU70" i="1" s="1"/>
  <c r="DP68" i="1"/>
  <c r="DO68" i="1"/>
  <c r="DW67" i="1"/>
  <c r="DX67" i="1" s="1"/>
  <c r="DV67" i="1"/>
  <c r="DR67" i="1"/>
  <c r="GO58" i="1"/>
  <c r="GB58" i="1"/>
  <c r="GC58" i="1"/>
  <c r="DN68" i="1"/>
  <c r="FT58" i="1"/>
  <c r="DM68" i="1"/>
  <c r="CC73" i="1"/>
  <c r="CE73" i="1"/>
  <c r="CB73" i="1"/>
  <c r="CG73" i="1" s="1"/>
  <c r="BU74" i="1"/>
  <c r="BX74" i="1"/>
  <c r="CA74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BB75" i="1" s="1"/>
  <c r="BE75" i="1" s="1"/>
  <c r="CA75" i="1" l="1"/>
  <c r="BU75" i="1"/>
  <c r="BX75" i="1"/>
  <c r="CK73" i="1"/>
  <c r="CF73" i="1"/>
  <c r="CL73" i="1" s="1"/>
  <c r="CH73" i="1"/>
  <c r="CJ73" i="1"/>
  <c r="CM73" i="1" s="1"/>
  <c r="CR72" i="1"/>
  <c r="EF64" i="1"/>
  <c r="EG64" i="1"/>
  <c r="CV69" i="1"/>
  <c r="HR15" i="1"/>
  <c r="HR14" i="1"/>
  <c r="CX69" i="1"/>
  <c r="DN69" i="1" s="1"/>
  <c r="DY67" i="1"/>
  <c r="DY66" i="1"/>
  <c r="FT59" i="1"/>
  <c r="GI58" i="1"/>
  <c r="FT60" i="1"/>
  <c r="FS60" i="1"/>
  <c r="GH58" i="1"/>
  <c r="GC60" i="1"/>
  <c r="GO60" i="1"/>
  <c r="GB60" i="1"/>
  <c r="EA66" i="1"/>
  <c r="DZ66" i="1"/>
  <c r="FS59" i="1"/>
  <c r="EE64" i="1"/>
  <c r="DZ65" i="1"/>
  <c r="EA65" i="1"/>
  <c r="HD54" i="1"/>
  <c r="EL64" i="1"/>
  <c r="EM64" i="1" s="1"/>
  <c r="EI64" i="1"/>
  <c r="EJ64" i="1"/>
  <c r="EH64" i="1"/>
  <c r="EO63" i="1"/>
  <c r="ER63" i="1" s="1"/>
  <c r="EN63" i="1"/>
  <c r="EM63" i="1"/>
  <c r="EP62" i="1"/>
  <c r="EQ62" i="1"/>
  <c r="EZ62" i="1" s="1"/>
  <c r="FC62" i="1" s="1"/>
  <c r="FG61" i="1"/>
  <c r="FU61" i="1"/>
  <c r="FH61" i="1"/>
  <c r="HG61" i="1"/>
  <c r="CY70" i="1"/>
  <c r="CZ70" i="1"/>
  <c r="DA70" i="1"/>
  <c r="DU68" i="1"/>
  <c r="DS68" i="1"/>
  <c r="DM69" i="1"/>
  <c r="DL69" i="1"/>
  <c r="CT70" i="1"/>
  <c r="CQ72" i="1"/>
  <c r="CP72" i="1"/>
  <c r="GE58" i="1"/>
  <c r="GF58" i="1" s="1"/>
  <c r="GG58" i="1"/>
  <c r="CS71" i="1"/>
  <c r="CU71" i="1" s="1"/>
  <c r="GB59" i="1"/>
  <c r="GC59" i="1"/>
  <c r="GO59" i="1"/>
  <c r="HM46" i="1" s="1"/>
  <c r="DZ67" i="1"/>
  <c r="DP69" i="1"/>
  <c r="EA67" i="1"/>
  <c r="DV68" i="1"/>
  <c r="DW68" i="1"/>
  <c r="DX68" i="1" s="1"/>
  <c r="DR68" i="1"/>
  <c r="DO69" i="1"/>
  <c r="CC74" i="1"/>
  <c r="CB74" i="1"/>
  <c r="CG74" i="1" s="1"/>
  <c r="CE74" i="1"/>
  <c r="CN73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E75" i="1" l="1"/>
  <c r="CB75" i="1"/>
  <c r="CG75" i="1" s="1"/>
  <c r="CC75" i="1"/>
  <c r="CK74" i="1"/>
  <c r="CH74" i="1"/>
  <c r="CF74" i="1"/>
  <c r="CL74" i="1" s="1"/>
  <c r="CJ74" i="1"/>
  <c r="CM74" i="1" s="1"/>
  <c r="CR73" i="1"/>
  <c r="DQ69" i="1"/>
  <c r="HM15" i="1"/>
  <c r="HM14" i="1"/>
  <c r="GY58" i="1"/>
  <c r="GZ58" i="1" s="1"/>
  <c r="GI60" i="1"/>
  <c r="GS58" i="1"/>
  <c r="GT58" i="1" s="1"/>
  <c r="EC66" i="1"/>
  <c r="EK66" i="1" s="1"/>
  <c r="EB65" i="1"/>
  <c r="EA68" i="1"/>
  <c r="DZ68" i="1"/>
  <c r="ED66" i="1"/>
  <c r="EJ66" i="1" s="1"/>
  <c r="GG60" i="1"/>
  <c r="GE60" i="1"/>
  <c r="GF60" i="1" s="1"/>
  <c r="EB66" i="1"/>
  <c r="GH60" i="1"/>
  <c r="EC65" i="1"/>
  <c r="EK65" i="1" s="1"/>
  <c r="ED65" i="1"/>
  <c r="EL65" i="1" s="1"/>
  <c r="EO64" i="1"/>
  <c r="ER64" i="1" s="1"/>
  <c r="EN64" i="1"/>
  <c r="EP64" i="1" s="1"/>
  <c r="EP63" i="1"/>
  <c r="EQ63" i="1"/>
  <c r="EZ63" i="1" s="1"/>
  <c r="FC63" i="1" s="1"/>
  <c r="FY62" i="1"/>
  <c r="HE62" i="1" s="1"/>
  <c r="FF62" i="1"/>
  <c r="FI62" i="1" s="1"/>
  <c r="FA62" i="1"/>
  <c r="EV62" i="1"/>
  <c r="FB62" i="1"/>
  <c r="FJ61" i="1"/>
  <c r="GQ61" i="1" s="1"/>
  <c r="FW61" i="1"/>
  <c r="FX61" i="1" s="1"/>
  <c r="FZ61" i="1" s="1"/>
  <c r="FM61" i="1"/>
  <c r="FN61" i="1" s="1"/>
  <c r="CY71" i="1"/>
  <c r="CZ71" i="1"/>
  <c r="DA71" i="1"/>
  <c r="GE59" i="1"/>
  <c r="GF59" i="1" s="1"/>
  <c r="GG59" i="1"/>
  <c r="CV70" i="1"/>
  <c r="CW70" i="1"/>
  <c r="DP70" i="1" s="1"/>
  <c r="CX70" i="1"/>
  <c r="DQ70" i="1" s="1"/>
  <c r="CQ73" i="1"/>
  <c r="CP73" i="1"/>
  <c r="DU69" i="1"/>
  <c r="DS69" i="1"/>
  <c r="CT71" i="1"/>
  <c r="EC67" i="1"/>
  <c r="EB67" i="1"/>
  <c r="ED67" i="1"/>
  <c r="DY68" i="1"/>
  <c r="GI59" i="1"/>
  <c r="DW69" i="1"/>
  <c r="DX69" i="1" s="1"/>
  <c r="DV69" i="1"/>
  <c r="DR69" i="1"/>
  <c r="GH59" i="1"/>
  <c r="CS72" i="1"/>
  <c r="CT72" i="1" s="1"/>
  <c r="DO70" i="1"/>
  <c r="CN74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K75" i="1" l="1"/>
  <c r="CH75" i="1"/>
  <c r="CF75" i="1"/>
  <c r="CL75" i="1" s="1"/>
  <c r="CJ75" i="1"/>
  <c r="CR74" i="1"/>
  <c r="GR58" i="1"/>
  <c r="HA58" i="1"/>
  <c r="HC58" i="1" s="1"/>
  <c r="ED68" i="1"/>
  <c r="EI68" i="1" s="1"/>
  <c r="EF66" i="1"/>
  <c r="EG66" i="1"/>
  <c r="EE66" i="1"/>
  <c r="EA69" i="1"/>
  <c r="EI66" i="1"/>
  <c r="EL66" i="1"/>
  <c r="EC68" i="1"/>
  <c r="EE68" i="1" s="1"/>
  <c r="EH66" i="1"/>
  <c r="GY60" i="1"/>
  <c r="GZ60" i="1" s="1"/>
  <c r="GS60" i="1"/>
  <c r="EG65" i="1"/>
  <c r="EE65" i="1"/>
  <c r="DY69" i="1"/>
  <c r="EF65" i="1"/>
  <c r="EB68" i="1"/>
  <c r="DZ69" i="1"/>
  <c r="EJ65" i="1"/>
  <c r="EO65" i="1" s="1"/>
  <c r="ER65" i="1" s="1"/>
  <c r="EH65" i="1"/>
  <c r="EM65" i="1" s="1"/>
  <c r="EI65" i="1"/>
  <c r="EN65" i="1" s="1"/>
  <c r="EQ64" i="1"/>
  <c r="EZ64" i="1" s="1"/>
  <c r="FC64" i="1" s="1"/>
  <c r="FY64" i="1" s="1"/>
  <c r="HE64" i="1" s="1"/>
  <c r="EV64" i="1"/>
  <c r="FF63" i="1"/>
  <c r="FI63" i="1" s="1"/>
  <c r="FY63" i="1"/>
  <c r="HE63" i="1" s="1"/>
  <c r="FA63" i="1"/>
  <c r="FB63" i="1"/>
  <c r="EV63" i="1"/>
  <c r="EX62" i="1"/>
  <c r="FE62" i="1"/>
  <c r="FD62" i="1"/>
  <c r="FV62" i="1" s="1"/>
  <c r="HB62" i="1"/>
  <c r="HF62" i="1" s="1"/>
  <c r="HH62" i="1" s="1"/>
  <c r="EW62" i="1"/>
  <c r="FL62" i="1"/>
  <c r="FO62" i="1"/>
  <c r="GA61" i="1"/>
  <c r="GP61" i="1"/>
  <c r="GD61" i="1"/>
  <c r="FP61" i="1"/>
  <c r="FQ61" i="1"/>
  <c r="FR61" i="1"/>
  <c r="CV72" i="1"/>
  <c r="CW72" i="1"/>
  <c r="CX72" i="1"/>
  <c r="CU72" i="1"/>
  <c r="EK67" i="1"/>
  <c r="EE67" i="1"/>
  <c r="EG67" i="1"/>
  <c r="EF67" i="1"/>
  <c r="CS73" i="1"/>
  <c r="CU73" i="1" s="1"/>
  <c r="GS59" i="1"/>
  <c r="GY59" i="1"/>
  <c r="DN70" i="1"/>
  <c r="CQ74" i="1"/>
  <c r="CP74" i="1"/>
  <c r="DM70" i="1"/>
  <c r="EL67" i="1"/>
  <c r="EI67" i="1"/>
  <c r="EH67" i="1"/>
  <c r="EJ67" i="1"/>
  <c r="CV71" i="1"/>
  <c r="CW71" i="1"/>
  <c r="DP71" i="1" s="1"/>
  <c r="CX71" i="1"/>
  <c r="DL70" i="1"/>
  <c r="DS70" i="1"/>
  <c r="DU70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CR75" i="1" l="1"/>
  <c r="CM75" i="1"/>
  <c r="CT73" i="1"/>
  <c r="CV73" i="1" s="1"/>
  <c r="CN75" i="1"/>
  <c r="EN66" i="1"/>
  <c r="HD58" i="1"/>
  <c r="IA15" i="1"/>
  <c r="IA14" i="1"/>
  <c r="HY15" i="1"/>
  <c r="HY14" i="1"/>
  <c r="EF68" i="1"/>
  <c r="EG68" i="1"/>
  <c r="EK68" i="1"/>
  <c r="EJ68" i="1"/>
  <c r="EL68" i="1"/>
  <c r="EH68" i="1"/>
  <c r="EB69" i="1"/>
  <c r="EM66" i="1"/>
  <c r="EO66" i="1"/>
  <c r="ER66" i="1" s="1"/>
  <c r="EC69" i="1"/>
  <c r="EG69" i="1" s="1"/>
  <c r="ED69" i="1"/>
  <c r="EL69" i="1" s="1"/>
  <c r="GR60" i="1"/>
  <c r="GT60" i="1"/>
  <c r="HA60" i="1"/>
  <c r="FB64" i="1"/>
  <c r="FA64" i="1"/>
  <c r="FF64" i="1"/>
  <c r="FI64" i="1" s="1"/>
  <c r="EQ65" i="1"/>
  <c r="EZ65" i="1" s="1"/>
  <c r="FC65" i="1" s="1"/>
  <c r="EP65" i="1"/>
  <c r="EX64" i="1"/>
  <c r="EW64" i="1"/>
  <c r="HB64" i="1"/>
  <c r="HF64" i="1" s="1"/>
  <c r="HG64" i="1" s="1"/>
  <c r="FT61" i="1"/>
  <c r="FL63" i="1"/>
  <c r="FO63" i="1"/>
  <c r="FD63" i="1"/>
  <c r="FV63" i="1" s="1"/>
  <c r="FE63" i="1"/>
  <c r="EX63" i="1"/>
  <c r="HB63" i="1"/>
  <c r="HF63" i="1" s="1"/>
  <c r="HG63" i="1" s="1"/>
  <c r="EW63" i="1"/>
  <c r="FG62" i="1"/>
  <c r="FU62" i="1"/>
  <c r="HG62" i="1"/>
  <c r="FH62" i="1"/>
  <c r="FS61" i="1"/>
  <c r="GC61" i="1"/>
  <c r="GO61" i="1"/>
  <c r="GB61" i="1"/>
  <c r="DY70" i="1"/>
  <c r="GZ59" i="1"/>
  <c r="IE46" i="1" s="1"/>
  <c r="IA46" i="1"/>
  <c r="DN71" i="1"/>
  <c r="GT59" i="1"/>
  <c r="IC46" i="1" s="1"/>
  <c r="GR59" i="1"/>
  <c r="IB46" i="1" s="1"/>
  <c r="HY46" i="1"/>
  <c r="HA59" i="1"/>
  <c r="CS74" i="1"/>
  <c r="CU74" i="1" s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CW73" i="1"/>
  <c r="DN72" i="1"/>
  <c r="DQ71" i="1"/>
  <c r="CY73" i="1"/>
  <c r="CZ73" i="1"/>
  <c r="DA73" i="1"/>
  <c r="DM72" i="1"/>
  <c r="DO71" i="1"/>
  <c r="DW70" i="1"/>
  <c r="DX70" i="1" s="1"/>
  <c r="DR70" i="1"/>
  <c r="DV70" i="1"/>
  <c r="DL7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EA70" i="1" l="1"/>
  <c r="EP66" i="1"/>
  <c r="CQ75" i="1"/>
  <c r="FO64" i="1"/>
  <c r="FD64" i="1"/>
  <c r="FV64" i="1" s="1"/>
  <c r="CP75" i="1"/>
  <c r="CS75" i="1"/>
  <c r="CU75" i="1" s="1"/>
  <c r="CX73" i="1"/>
  <c r="DQ73" i="1" s="1"/>
  <c r="DO73" i="1"/>
  <c r="CT74" i="1"/>
  <c r="CV74" i="1" s="1"/>
  <c r="FL64" i="1"/>
  <c r="FE64" i="1"/>
  <c r="EO68" i="1"/>
  <c r="ER68" i="1" s="1"/>
  <c r="IE15" i="1"/>
  <c r="IE14" i="1"/>
  <c r="IB15" i="1"/>
  <c r="IB14" i="1"/>
  <c r="IC15" i="1"/>
  <c r="IC14" i="1"/>
  <c r="EM68" i="1"/>
  <c r="EN68" i="1"/>
  <c r="EK69" i="1"/>
  <c r="EM69" i="1" s="1"/>
  <c r="EE69" i="1"/>
  <c r="EI69" i="1"/>
  <c r="EH69" i="1"/>
  <c r="EF69" i="1"/>
  <c r="EJ69" i="1"/>
  <c r="EQ66" i="1"/>
  <c r="EZ66" i="1" s="1"/>
  <c r="FC66" i="1" s="1"/>
  <c r="FY66" i="1" s="1"/>
  <c r="HE66" i="1" s="1"/>
  <c r="HC60" i="1"/>
  <c r="HD60" i="1"/>
  <c r="EV66" i="1"/>
  <c r="FH64" i="1"/>
  <c r="EV65" i="1"/>
  <c r="FA65" i="1"/>
  <c r="FB65" i="1"/>
  <c r="FH63" i="1"/>
  <c r="FF65" i="1"/>
  <c r="FI65" i="1" s="1"/>
  <c r="FY65" i="1"/>
  <c r="HE65" i="1" s="1"/>
  <c r="FU64" i="1"/>
  <c r="HH64" i="1"/>
  <c r="HH63" i="1"/>
  <c r="FU63" i="1"/>
  <c r="FG63" i="1"/>
  <c r="GI61" i="1"/>
  <c r="FW62" i="1"/>
  <c r="FX62" i="1" s="1"/>
  <c r="FZ62" i="1" s="1"/>
  <c r="FM62" i="1"/>
  <c r="FN62" i="1" s="1"/>
  <c r="FJ62" i="1"/>
  <c r="GQ62" i="1" s="1"/>
  <c r="GE61" i="1"/>
  <c r="GF61" i="1" s="1"/>
  <c r="GG61" i="1"/>
  <c r="GH61" i="1"/>
  <c r="DW71" i="1"/>
  <c r="DX71" i="1" s="1"/>
  <c r="DR71" i="1"/>
  <c r="DV71" i="1"/>
  <c r="DS71" i="1"/>
  <c r="DU71" i="1"/>
  <c r="EQ67" i="1"/>
  <c r="EZ67" i="1" s="1"/>
  <c r="FC67" i="1" s="1"/>
  <c r="EP67" i="1"/>
  <c r="DW72" i="1"/>
  <c r="DX72" i="1" s="1"/>
  <c r="DV72" i="1"/>
  <c r="DR72" i="1"/>
  <c r="DN73" i="1"/>
  <c r="DM73" i="1"/>
  <c r="DU72" i="1"/>
  <c r="DS72" i="1"/>
  <c r="CY74" i="1"/>
  <c r="CZ74" i="1"/>
  <c r="DA74" i="1"/>
  <c r="DZ70" i="1"/>
  <c r="DP73" i="1"/>
  <c r="DL73" i="1"/>
  <c r="HC59" i="1"/>
  <c r="HD59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CT75" i="1" l="1"/>
  <c r="CV75" i="1" s="1"/>
  <c r="FG64" i="1"/>
  <c r="CX74" i="1"/>
  <c r="DQ74" i="1" s="1"/>
  <c r="CW74" i="1"/>
  <c r="DP74" i="1" s="1"/>
  <c r="CX75" i="1"/>
  <c r="CY75" i="1"/>
  <c r="CZ75" i="1"/>
  <c r="DA75" i="1"/>
  <c r="DU73" i="1"/>
  <c r="DO74" i="1"/>
  <c r="DS73" i="1"/>
  <c r="DY71" i="1"/>
  <c r="DZ71" i="1"/>
  <c r="EP68" i="1"/>
  <c r="EV68" i="1" s="1"/>
  <c r="EQ68" i="1"/>
  <c r="EZ68" i="1" s="1"/>
  <c r="FC68" i="1" s="1"/>
  <c r="FY68" i="1" s="1"/>
  <c r="HE68" i="1" s="1"/>
  <c r="EN69" i="1"/>
  <c r="EP69" i="1" s="1"/>
  <c r="EO69" i="1"/>
  <c r="ER69" i="1" s="1"/>
  <c r="FF66" i="1"/>
  <c r="FI66" i="1" s="1"/>
  <c r="FB66" i="1"/>
  <c r="FA66" i="1"/>
  <c r="EX66" i="1"/>
  <c r="EW66" i="1"/>
  <c r="HB66" i="1"/>
  <c r="HF66" i="1" s="1"/>
  <c r="HG66" i="1" s="1"/>
  <c r="FL65" i="1"/>
  <c r="FO65" i="1"/>
  <c r="FD65" i="1"/>
  <c r="FV65" i="1" s="1"/>
  <c r="FE65" i="1"/>
  <c r="EX65" i="1"/>
  <c r="EW65" i="1"/>
  <c r="HB65" i="1"/>
  <c r="HF65" i="1" s="1"/>
  <c r="HG65" i="1" s="1"/>
  <c r="FM64" i="1"/>
  <c r="FN64" i="1" s="1"/>
  <c r="FJ64" i="1"/>
  <c r="GQ64" i="1" s="1"/>
  <c r="FW64" i="1"/>
  <c r="FX64" i="1" s="1"/>
  <c r="FZ64" i="1" s="1"/>
  <c r="FJ63" i="1"/>
  <c r="GQ63" i="1" s="1"/>
  <c r="FM63" i="1"/>
  <c r="FN63" i="1" s="1"/>
  <c r="FW63" i="1"/>
  <c r="FX63" i="1" s="1"/>
  <c r="FZ63" i="1" s="1"/>
  <c r="GP62" i="1"/>
  <c r="GD62" i="1"/>
  <c r="GA62" i="1"/>
  <c r="FP62" i="1"/>
  <c r="FR62" i="1"/>
  <c r="FQ62" i="1"/>
  <c r="GY61" i="1"/>
  <c r="GZ61" i="1" s="1"/>
  <c r="GS61" i="1"/>
  <c r="DM74" i="1"/>
  <c r="FY67" i="1"/>
  <c r="HE67" i="1" s="1"/>
  <c r="FF67" i="1"/>
  <c r="FI67" i="1" s="1"/>
  <c r="DL74" i="1"/>
  <c r="DY72" i="1"/>
  <c r="DR73" i="1"/>
  <c r="DV73" i="1"/>
  <c r="DW73" i="1"/>
  <c r="DX73" i="1" s="1"/>
  <c r="DZ72" i="1"/>
  <c r="EC70" i="1"/>
  <c r="EB70" i="1"/>
  <c r="ED70" i="1"/>
  <c r="EA72" i="1"/>
  <c r="EA71" i="1"/>
  <c r="DN74" i="1"/>
  <c r="EV67" i="1"/>
  <c r="FB67" i="1"/>
  <c r="FA67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CW75" i="1" l="1"/>
  <c r="DM75" i="1" s="1"/>
  <c r="DO75" i="1"/>
  <c r="DU74" i="1"/>
  <c r="DQ75" i="1"/>
  <c r="ED71" i="1"/>
  <c r="DY73" i="1"/>
  <c r="DN75" i="1"/>
  <c r="DS74" i="1"/>
  <c r="DY74" i="1" s="1"/>
  <c r="DL75" i="1"/>
  <c r="FF68" i="1"/>
  <c r="FI68" i="1" s="1"/>
  <c r="FB68" i="1"/>
  <c r="FA68" i="1"/>
  <c r="FL66" i="1"/>
  <c r="EQ69" i="1"/>
  <c r="EZ69" i="1" s="1"/>
  <c r="FC69" i="1" s="1"/>
  <c r="FY69" i="1" s="1"/>
  <c r="HE69" i="1" s="1"/>
  <c r="FD66" i="1"/>
  <c r="FV66" i="1" s="1"/>
  <c r="HH66" i="1"/>
  <c r="FE66" i="1"/>
  <c r="FH66" i="1" s="1"/>
  <c r="FO66" i="1"/>
  <c r="FU66" i="1"/>
  <c r="FG65" i="1"/>
  <c r="FU65" i="1"/>
  <c r="HH65" i="1"/>
  <c r="FH65" i="1"/>
  <c r="FS62" i="1"/>
  <c r="GA64" i="1"/>
  <c r="GP64" i="1"/>
  <c r="GD64" i="1"/>
  <c r="FQ64" i="1"/>
  <c r="FR64" i="1"/>
  <c r="FP64" i="1"/>
  <c r="GD63" i="1"/>
  <c r="GA63" i="1"/>
  <c r="GP63" i="1"/>
  <c r="FR63" i="1"/>
  <c r="FQ63" i="1"/>
  <c r="FP63" i="1"/>
  <c r="FT62" i="1"/>
  <c r="GO62" i="1"/>
  <c r="GB62" i="1"/>
  <c r="GC62" i="1"/>
  <c r="GT61" i="1"/>
  <c r="GR61" i="1"/>
  <c r="HA61" i="1"/>
  <c r="EL71" i="1"/>
  <c r="EI71" i="1"/>
  <c r="EH71" i="1"/>
  <c r="EJ71" i="1"/>
  <c r="EW68" i="1"/>
  <c r="HB68" i="1"/>
  <c r="HF68" i="1" s="1"/>
  <c r="HH68" i="1" s="1"/>
  <c r="EX68" i="1"/>
  <c r="FL67" i="1"/>
  <c r="FO67" i="1"/>
  <c r="HB67" i="1"/>
  <c r="HF67" i="1" s="1"/>
  <c r="HH67" i="1" s="1"/>
  <c r="EW67" i="1"/>
  <c r="EX67" i="1"/>
  <c r="FD67" i="1"/>
  <c r="FV67" i="1" s="1"/>
  <c r="FE67" i="1"/>
  <c r="EL70" i="1"/>
  <c r="EJ70" i="1"/>
  <c r="EI70" i="1"/>
  <c r="EH70" i="1"/>
  <c r="EB71" i="1"/>
  <c r="EC71" i="1"/>
  <c r="EV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DU75" i="1" l="1"/>
  <c r="DP75" i="1"/>
  <c r="DS75" i="1"/>
  <c r="DW75" i="1"/>
  <c r="DX75" i="1" s="1"/>
  <c r="DR75" i="1"/>
  <c r="DV75" i="1"/>
  <c r="DZ75" i="1" s="1"/>
  <c r="DY75" i="1"/>
  <c r="EA74" i="1"/>
  <c r="FT64" i="1"/>
  <c r="FA69" i="1"/>
  <c r="FE68" i="1"/>
  <c r="FH68" i="1" s="1"/>
  <c r="FO68" i="1"/>
  <c r="FL68" i="1"/>
  <c r="FD68" i="1"/>
  <c r="FV68" i="1" s="1"/>
  <c r="FB69" i="1"/>
  <c r="FE69" i="1" s="1"/>
  <c r="FF69" i="1"/>
  <c r="FI69" i="1" s="1"/>
  <c r="FG66" i="1"/>
  <c r="FM66" i="1" s="1"/>
  <c r="FN66" i="1" s="1"/>
  <c r="HG67" i="1"/>
  <c r="HG68" i="1"/>
  <c r="FJ65" i="1"/>
  <c r="GQ65" i="1" s="1"/>
  <c r="HQ17" i="1" s="1"/>
  <c r="FW65" i="1"/>
  <c r="FX65" i="1" s="1"/>
  <c r="FZ65" i="1" s="1"/>
  <c r="FM65" i="1"/>
  <c r="FN65" i="1" s="1"/>
  <c r="GH62" i="1"/>
  <c r="GB64" i="1"/>
  <c r="GO64" i="1"/>
  <c r="GC64" i="1"/>
  <c r="FS64" i="1"/>
  <c r="FS63" i="1"/>
  <c r="GC63" i="1"/>
  <c r="GB63" i="1"/>
  <c r="GO63" i="1"/>
  <c r="FT63" i="1"/>
  <c r="GI62" i="1"/>
  <c r="GG62" i="1"/>
  <c r="GE62" i="1"/>
  <c r="GF62" i="1" s="1"/>
  <c r="HD61" i="1"/>
  <c r="HC61" i="1"/>
  <c r="EL72" i="1"/>
  <c r="EI72" i="1"/>
  <c r="EJ72" i="1"/>
  <c r="EH72" i="1"/>
  <c r="EK71" i="1"/>
  <c r="EF71" i="1"/>
  <c r="EG71" i="1"/>
  <c r="EE71" i="1"/>
  <c r="FU68" i="1"/>
  <c r="DZ74" i="1"/>
  <c r="EB73" i="1"/>
  <c r="EC73" i="1"/>
  <c r="ED73" i="1"/>
  <c r="FH67" i="1"/>
  <c r="EN70" i="1"/>
  <c r="EO70" i="1"/>
  <c r="ER70" i="1" s="1"/>
  <c r="EM70" i="1"/>
  <c r="FG67" i="1"/>
  <c r="FU67" i="1"/>
  <c r="EK72" i="1"/>
  <c r="EF72" i="1"/>
  <c r="EG72" i="1"/>
  <c r="EE72" i="1"/>
  <c r="EW69" i="1"/>
  <c r="EX69" i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l="1"/>
  <c r="BE83" i="1" s="1"/>
  <c r="FL69" i="1"/>
  <c r="FG68" i="1"/>
  <c r="EA75" i="1"/>
  <c r="ED75" i="1" s="1"/>
  <c r="FD69" i="1"/>
  <c r="FV69" i="1" s="1"/>
  <c r="FO69" i="1"/>
  <c r="GY62" i="1"/>
  <c r="GZ62" i="1" s="1"/>
  <c r="HQ19" i="1"/>
  <c r="HQ18" i="1"/>
  <c r="FJ66" i="1"/>
  <c r="GQ66" i="1" s="1"/>
  <c r="FW66" i="1"/>
  <c r="FX66" i="1" s="1"/>
  <c r="FZ66" i="1" s="1"/>
  <c r="GA66" i="1" s="1"/>
  <c r="FH69" i="1"/>
  <c r="FQ66" i="1"/>
  <c r="FR66" i="1"/>
  <c r="FP66" i="1"/>
  <c r="GI64" i="1"/>
  <c r="GD65" i="1"/>
  <c r="GA65" i="1"/>
  <c r="GP65" i="1"/>
  <c r="HR17" i="1" s="1"/>
  <c r="FR65" i="1"/>
  <c r="FP65" i="1"/>
  <c r="FQ65" i="1"/>
  <c r="GS62" i="1"/>
  <c r="HA62" i="1" s="1"/>
  <c r="GH64" i="1"/>
  <c r="GI63" i="1"/>
  <c r="GE64" i="1"/>
  <c r="GF64" i="1" s="1"/>
  <c r="GG64" i="1"/>
  <c r="GE63" i="1"/>
  <c r="GF63" i="1" s="1"/>
  <c r="GG63" i="1"/>
  <c r="GH63" i="1"/>
  <c r="EK73" i="1"/>
  <c r="EG73" i="1"/>
  <c r="EE73" i="1"/>
  <c r="EF73" i="1"/>
  <c r="EN71" i="1"/>
  <c r="EO71" i="1"/>
  <c r="ER71" i="1" s="1"/>
  <c r="EM71" i="1"/>
  <c r="ED74" i="1"/>
  <c r="EC74" i="1"/>
  <c r="EB74" i="1"/>
  <c r="HG69" i="1"/>
  <c r="EO72" i="1"/>
  <c r="ER72" i="1" s="1"/>
  <c r="EN72" i="1"/>
  <c r="EM72" i="1"/>
  <c r="FM67" i="1"/>
  <c r="FN67" i="1" s="1"/>
  <c r="FW67" i="1"/>
  <c r="FX67" i="1" s="1"/>
  <c r="FZ67" i="1" s="1"/>
  <c r="FJ67" i="1"/>
  <c r="GQ67" i="1" s="1"/>
  <c r="FJ68" i="1"/>
  <c r="GQ68" i="1" s="1"/>
  <c r="HQ34" i="1" s="1"/>
  <c r="FW68" i="1"/>
  <c r="FX68" i="1" s="1"/>
  <c r="FZ68" i="1" s="1"/>
  <c r="FM68" i="1"/>
  <c r="FN68" i="1" s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EL75" i="1" l="1"/>
  <c r="EI75" i="1"/>
  <c r="EH75" i="1"/>
  <c r="EJ75" i="1"/>
  <c r="EC75" i="1"/>
  <c r="EB75" i="1"/>
  <c r="GY64" i="1"/>
  <c r="FG69" i="1"/>
  <c r="FW69" i="1" s="1"/>
  <c r="FX69" i="1" s="1"/>
  <c r="FZ69" i="1" s="1"/>
  <c r="HQ29" i="1"/>
  <c r="HQ28" i="1"/>
  <c r="HQ23" i="1"/>
  <c r="HQ22" i="1"/>
  <c r="HQ36" i="1"/>
  <c r="HQ35" i="1"/>
  <c r="HR19" i="1"/>
  <c r="HR18" i="1"/>
  <c r="GD66" i="1"/>
  <c r="GP66" i="1"/>
  <c r="HR22" i="1" s="1"/>
  <c r="HR24" i="1"/>
  <c r="HQ31" i="1"/>
  <c r="HQ30" i="1"/>
  <c r="HQ25" i="1"/>
  <c r="HQ24" i="1"/>
  <c r="HQ13" i="1"/>
  <c r="HQ37" i="1"/>
  <c r="FS65" i="1"/>
  <c r="FT66" i="1"/>
  <c r="FS66" i="1"/>
  <c r="GO66" i="1"/>
  <c r="GC66" i="1"/>
  <c r="GB66" i="1"/>
  <c r="GR62" i="1"/>
  <c r="GT62" i="1"/>
  <c r="GO65" i="1"/>
  <c r="HM17" i="1" s="1"/>
  <c r="GC65" i="1"/>
  <c r="GB65" i="1"/>
  <c r="FT65" i="1"/>
  <c r="GS64" i="1"/>
  <c r="HA64" i="1" s="1"/>
  <c r="GZ64" i="1"/>
  <c r="GY63" i="1"/>
  <c r="GS63" i="1"/>
  <c r="HC62" i="1"/>
  <c r="HD62" i="1"/>
  <c r="GP68" i="1"/>
  <c r="HR34" i="1" s="1"/>
  <c r="GD68" i="1"/>
  <c r="GA68" i="1"/>
  <c r="FR68" i="1"/>
  <c r="FQ68" i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F70" i="1"/>
  <c r="FI70" i="1" s="1"/>
  <c r="FY70" i="1"/>
  <c r="HE70" i="1" s="1"/>
  <c r="EK74" i="1"/>
  <c r="EF74" i="1"/>
  <c r="EE74" i="1"/>
  <c r="EG74" i="1"/>
  <c r="GA67" i="1"/>
  <c r="GD67" i="1"/>
  <c r="GP67" i="1"/>
  <c r="FA70" i="1"/>
  <c r="EV70" i="1"/>
  <c r="FB70" i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l="1"/>
  <c r="BE85" i="1" s="1"/>
  <c r="FM69" i="1"/>
  <c r="FN69" i="1" s="1"/>
  <c r="FR69" i="1" s="1"/>
  <c r="FJ69" i="1"/>
  <c r="GQ69" i="1" s="1"/>
  <c r="HQ40" i="1" s="1"/>
  <c r="EK75" i="1"/>
  <c r="EG75" i="1"/>
  <c r="EE75" i="1"/>
  <c r="EF75" i="1"/>
  <c r="HM23" i="1"/>
  <c r="HM22" i="1"/>
  <c r="HR29" i="1"/>
  <c r="HR28" i="1"/>
  <c r="HR25" i="1"/>
  <c r="HR23" i="1"/>
  <c r="HR36" i="1"/>
  <c r="HR35" i="1"/>
  <c r="HQ42" i="1"/>
  <c r="HQ41" i="1"/>
  <c r="HM19" i="1"/>
  <c r="HM18" i="1"/>
  <c r="HM25" i="1"/>
  <c r="HM24" i="1"/>
  <c r="GI65" i="1"/>
  <c r="HR31" i="1"/>
  <c r="HR30" i="1"/>
  <c r="HQ16" i="1"/>
  <c r="HQ43" i="1"/>
  <c r="HR13" i="1"/>
  <c r="HR37" i="1"/>
  <c r="FS67" i="1"/>
  <c r="FS68" i="1"/>
  <c r="GE66" i="1"/>
  <c r="GF66" i="1" s="1"/>
  <c r="GG66" i="1"/>
  <c r="GH66" i="1"/>
  <c r="GI66" i="1"/>
  <c r="GR64" i="1"/>
  <c r="GT64" i="1"/>
  <c r="GE65" i="1"/>
  <c r="GF65" i="1" s="1"/>
  <c r="GG65" i="1"/>
  <c r="GH65" i="1"/>
  <c r="HD64" i="1"/>
  <c r="HC64" i="1"/>
  <c r="GR63" i="1"/>
  <c r="GT63" i="1"/>
  <c r="HA63" i="1"/>
  <c r="GZ63" i="1"/>
  <c r="FY72" i="1"/>
  <c r="HE72" i="1" s="1"/>
  <c r="FF72" i="1"/>
  <c r="FI72" i="1" s="1"/>
  <c r="GA69" i="1"/>
  <c r="GP69" i="1"/>
  <c r="HR40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O68" i="1"/>
  <c r="HM34" i="1" s="1"/>
  <c r="GB68" i="1"/>
  <c r="GC68" i="1"/>
  <c r="FL70" i="1"/>
  <c r="FO70" i="1"/>
  <c r="FP69" i="1"/>
  <c r="FT67" i="1"/>
  <c r="FT68" i="1"/>
  <c r="FA71" i="1"/>
  <c r="EV71" i="1"/>
  <c r="FB71" i="1"/>
  <c r="FF71" i="1"/>
  <c r="FI71" i="1" s="1"/>
  <c r="FY71" i="1"/>
  <c r="HE71" i="1" s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FQ69" i="1" l="1"/>
  <c r="EM75" i="1"/>
  <c r="EO75" i="1"/>
  <c r="ER75" i="1" s="1"/>
  <c r="EN75" i="1"/>
  <c r="HM29" i="1"/>
  <c r="HM28" i="1"/>
  <c r="HR42" i="1"/>
  <c r="HR41" i="1"/>
  <c r="HM36" i="1"/>
  <c r="HM35" i="1"/>
  <c r="GH67" i="1"/>
  <c r="HM31" i="1"/>
  <c r="HM30" i="1"/>
  <c r="HR16" i="1"/>
  <c r="HR43" i="1"/>
  <c r="HM13" i="1"/>
  <c r="HM37" i="1"/>
  <c r="GH68" i="1"/>
  <c r="GI67" i="1"/>
  <c r="GY67" i="1" s="1"/>
  <c r="GI68" i="1"/>
  <c r="FT69" i="1"/>
  <c r="FS69" i="1"/>
  <c r="GS66" i="1"/>
  <c r="GY66" i="1"/>
  <c r="IA22" i="1" s="1"/>
  <c r="GS65" i="1"/>
  <c r="GY65" i="1"/>
  <c r="HC63" i="1"/>
  <c r="HD63" i="1"/>
  <c r="EW71" i="1"/>
  <c r="EX71" i="1"/>
  <c r="HB71" i="1"/>
  <c r="HF71" i="1" s="1"/>
  <c r="HG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EW72" i="1"/>
  <c r="HB72" i="1"/>
  <c r="HF72" i="1" s="1"/>
  <c r="HG72" i="1" s="1"/>
  <c r="FL72" i="1"/>
  <c r="FO72" i="1"/>
  <c r="GE68" i="1"/>
  <c r="GF68" i="1" s="1"/>
  <c r="GG68" i="1"/>
  <c r="CP83" i="1"/>
  <c r="CQ83" i="1"/>
  <c r="HH70" i="1"/>
  <c r="GB69" i="1"/>
  <c r="GO69" i="1"/>
  <c r="HM40" i="1" s="1"/>
  <c r="GC69" i="1"/>
  <c r="FH70" i="1"/>
  <c r="GG67" i="1"/>
  <c r="GE67" i="1"/>
  <c r="GF67" i="1" s="1"/>
  <c r="FG70" i="1"/>
  <c r="FU70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l="1"/>
  <c r="BE87" i="1" s="1"/>
  <c r="HH72" i="1"/>
  <c r="HH71" i="1"/>
  <c r="EP75" i="1"/>
  <c r="EQ75" i="1"/>
  <c r="EZ75" i="1" s="1"/>
  <c r="FC75" i="1" s="1"/>
  <c r="FH72" i="1"/>
  <c r="IA29" i="1"/>
  <c r="IA28" i="1"/>
  <c r="HY23" i="1"/>
  <c r="HY22" i="1"/>
  <c r="IA18" i="1"/>
  <c r="IA17" i="1"/>
  <c r="HY18" i="1"/>
  <c r="HY17" i="1"/>
  <c r="IA24" i="1"/>
  <c r="IA23" i="1"/>
  <c r="HM42" i="1"/>
  <c r="HM41" i="1"/>
  <c r="GS67" i="1"/>
  <c r="HY28" i="1" s="1"/>
  <c r="GY68" i="1"/>
  <c r="IA34" i="1" s="1"/>
  <c r="HY25" i="1"/>
  <c r="HY24" i="1"/>
  <c r="IA31" i="1"/>
  <c r="IA30" i="1"/>
  <c r="GS68" i="1"/>
  <c r="HY34" i="1" s="1"/>
  <c r="HM16" i="1"/>
  <c r="HM43" i="1"/>
  <c r="IA36" i="1"/>
  <c r="IA19" i="1"/>
  <c r="HY19" i="1"/>
  <c r="GZ66" i="1"/>
  <c r="IA25" i="1"/>
  <c r="GH69" i="1"/>
  <c r="GT66" i="1"/>
  <c r="GR66" i="1"/>
  <c r="HA66" i="1"/>
  <c r="GZ65" i="1"/>
  <c r="IE17" i="1" s="1"/>
  <c r="GR65" i="1"/>
  <c r="IB17" i="1" s="1"/>
  <c r="GT65" i="1"/>
  <c r="IC17" i="1" s="1"/>
  <c r="HA65" i="1"/>
  <c r="HY13" i="1"/>
  <c r="IA13" i="1"/>
  <c r="FF74" i="1"/>
  <c r="FI74" i="1" s="1"/>
  <c r="FY74" i="1"/>
  <c r="HE74" i="1" s="1"/>
  <c r="CP84" i="1"/>
  <c r="CQ84" i="1"/>
  <c r="GI69" i="1"/>
  <c r="GZ67" i="1"/>
  <c r="FU72" i="1"/>
  <c r="FG72" i="1"/>
  <c r="FD73" i="1"/>
  <c r="FV73" i="1" s="1"/>
  <c r="EX73" i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C86" i="1"/>
  <c r="CK86" i="1" s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FH73" i="1" l="1"/>
  <c r="FF75" i="1"/>
  <c r="FI75" i="1" s="1"/>
  <c r="FY75" i="1"/>
  <c r="HE75" i="1" s="1"/>
  <c r="FA75" i="1"/>
  <c r="EV75" i="1"/>
  <c r="FB75" i="1"/>
  <c r="IB23" i="1"/>
  <c r="IB22" i="1"/>
  <c r="IC23" i="1"/>
  <c r="IC22" i="1"/>
  <c r="IE29" i="1"/>
  <c r="IE28" i="1"/>
  <c r="IE23" i="1"/>
  <c r="IE22" i="1"/>
  <c r="GT67" i="1"/>
  <c r="HY29" i="1"/>
  <c r="IA37" i="1"/>
  <c r="IA35" i="1"/>
  <c r="HY37" i="1"/>
  <c r="HY35" i="1"/>
  <c r="GR67" i="1"/>
  <c r="IB28" i="1" s="1"/>
  <c r="HY30" i="1"/>
  <c r="IC19" i="1"/>
  <c r="IC18" i="1"/>
  <c r="IB19" i="1"/>
  <c r="IB18" i="1"/>
  <c r="IE19" i="1"/>
  <c r="IE18" i="1"/>
  <c r="HY31" i="1"/>
  <c r="HA67" i="1"/>
  <c r="HD67" i="1" s="1"/>
  <c r="GZ68" i="1"/>
  <c r="HA68" i="1"/>
  <c r="HC68" i="1" s="1"/>
  <c r="GT68" i="1"/>
  <c r="IC34" i="1" s="1"/>
  <c r="GR68" i="1"/>
  <c r="IB34" i="1" s="1"/>
  <c r="IE31" i="1"/>
  <c r="IE30" i="1"/>
  <c r="IE25" i="1"/>
  <c r="IE24" i="1"/>
  <c r="HY36" i="1"/>
  <c r="IC31" i="1"/>
  <c r="IC30" i="1"/>
  <c r="IB25" i="1"/>
  <c r="IB24" i="1"/>
  <c r="IC25" i="1"/>
  <c r="IC24" i="1"/>
  <c r="IB13" i="1"/>
  <c r="IC13" i="1"/>
  <c r="IE13" i="1"/>
  <c r="GY69" i="1"/>
  <c r="GS69" i="1"/>
  <c r="HY40" i="1" s="1"/>
  <c r="IB36" i="1"/>
  <c r="HC66" i="1"/>
  <c r="HD66" i="1"/>
  <c r="HC65" i="1"/>
  <c r="HD65" i="1"/>
  <c r="GA70" i="1"/>
  <c r="GP70" i="1"/>
  <c r="HR21" i="1" s="1"/>
  <c r="GD70" i="1"/>
  <c r="IA16" i="1"/>
  <c r="CY83" i="1"/>
  <c r="CZ83" i="1"/>
  <c r="DA83" i="1"/>
  <c r="HY16" i="1"/>
  <c r="FR70" i="1"/>
  <c r="FP70" i="1"/>
  <c r="FQ70" i="1"/>
  <c r="CN86" i="1"/>
  <c r="CR86" i="1"/>
  <c r="FJ72" i="1"/>
  <c r="GQ72" i="1" s="1"/>
  <c r="HQ33" i="1" s="1"/>
  <c r="FM72" i="1"/>
  <c r="FN72" i="1" s="1"/>
  <c r="FW72" i="1"/>
  <c r="FX72" i="1" s="1"/>
  <c r="FZ72" i="1" s="1"/>
  <c r="CU84" i="1"/>
  <c r="CS84" i="1"/>
  <c r="CT84" i="1" s="1"/>
  <c r="FJ71" i="1"/>
  <c r="GQ71" i="1" s="1"/>
  <c r="HQ27" i="1" s="1"/>
  <c r="FW71" i="1"/>
  <c r="FX71" i="1" s="1"/>
  <c r="FZ71" i="1" s="1"/>
  <c r="FM71" i="1"/>
  <c r="FN71" i="1" s="1"/>
  <c r="CT83" i="1"/>
  <c r="EW74" i="1"/>
  <c r="EX74" i="1"/>
  <c r="HB74" i="1"/>
  <c r="HF74" i="1" s="1"/>
  <c r="HH74" i="1" s="1"/>
  <c r="FE74" i="1"/>
  <c r="FD74" i="1"/>
  <c r="FV74" i="1" s="1"/>
  <c r="FL74" i="1"/>
  <c r="FO74" i="1"/>
  <c r="HG73" i="1"/>
  <c r="CP85" i="1"/>
  <c r="CQ85" i="1"/>
  <c r="FU73" i="1"/>
  <c r="FG73" i="1"/>
  <c r="CC87" i="1"/>
  <c r="CK87" i="1" s="1"/>
  <c r="CR87" i="1" s="1"/>
  <c r="CE87" i="1"/>
  <c r="CB87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FS70" i="1" l="1"/>
  <c r="HB75" i="1"/>
  <c r="HF75" i="1" s="1"/>
  <c r="EW75" i="1"/>
  <c r="FD75" i="1"/>
  <c r="FV75" i="1" s="1"/>
  <c r="EX75" i="1"/>
  <c r="FE75" i="1"/>
  <c r="FL75" i="1"/>
  <c r="FO75" i="1"/>
  <c r="HG75" i="1"/>
  <c r="HH75" i="1"/>
  <c r="HG74" i="1"/>
  <c r="FH74" i="1"/>
  <c r="IC37" i="1"/>
  <c r="IE37" i="1"/>
  <c r="IE34" i="1"/>
  <c r="IC29" i="1"/>
  <c r="IC28" i="1"/>
  <c r="IB31" i="1"/>
  <c r="IB29" i="1"/>
  <c r="IB30" i="1"/>
  <c r="HC67" i="1"/>
  <c r="IA41" i="1"/>
  <c r="IA40" i="1"/>
  <c r="IE36" i="1"/>
  <c r="IE35" i="1"/>
  <c r="HY42" i="1"/>
  <c r="HY41" i="1"/>
  <c r="IB37" i="1"/>
  <c r="IB35" i="1"/>
  <c r="IC36" i="1"/>
  <c r="IC35" i="1"/>
  <c r="HD68" i="1"/>
  <c r="IA43" i="1"/>
  <c r="IA42" i="1"/>
  <c r="GZ69" i="1"/>
  <c r="IE40" i="1" s="1"/>
  <c r="GT69" i="1"/>
  <c r="IC40" i="1" s="1"/>
  <c r="HY43" i="1"/>
  <c r="IE16" i="1"/>
  <c r="HA69" i="1"/>
  <c r="HD69" i="1" s="1"/>
  <c r="GR69" i="1"/>
  <c r="IB40" i="1" s="1"/>
  <c r="CV84" i="1"/>
  <c r="CW84" i="1"/>
  <c r="CX84" i="1"/>
  <c r="FJ73" i="1"/>
  <c r="GQ73" i="1" s="1"/>
  <c r="HQ39" i="1" s="1"/>
  <c r="FW73" i="1"/>
  <c r="FM73" i="1"/>
  <c r="FN73" i="1" s="1"/>
  <c r="CQ86" i="1"/>
  <c r="CP86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P72" i="1"/>
  <c r="FQ72" i="1"/>
  <c r="GB70" i="1"/>
  <c r="GO70" i="1"/>
  <c r="HM21" i="1" s="1"/>
  <c r="GC70" i="1"/>
  <c r="GH70" i="1" s="1"/>
  <c r="FR71" i="1"/>
  <c r="FP71" i="1"/>
  <c r="FQ71" i="1"/>
  <c r="FT70" i="1"/>
  <c r="DQ83" i="1"/>
  <c r="CN87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FH75" i="1" l="1"/>
  <c r="FU75" i="1"/>
  <c r="FG75" i="1"/>
  <c r="FT72" i="1"/>
  <c r="FS71" i="1"/>
  <c r="IE43" i="1"/>
  <c r="IC42" i="1"/>
  <c r="IC41" i="1"/>
  <c r="IE42" i="1"/>
  <c r="IE41" i="1"/>
  <c r="IB42" i="1"/>
  <c r="IB41" i="1"/>
  <c r="HC69" i="1"/>
  <c r="IB16" i="1"/>
  <c r="IB43" i="1"/>
  <c r="IC16" i="1"/>
  <c r="IC43" i="1"/>
  <c r="CV85" i="1"/>
  <c r="CW85" i="1"/>
  <c r="CX85" i="1"/>
  <c r="DL83" i="1"/>
  <c r="CU85" i="1"/>
  <c r="GP73" i="1"/>
  <c r="HR39" i="1" s="1"/>
  <c r="GD73" i="1"/>
  <c r="GA73" i="1"/>
  <c r="DO83" i="1"/>
  <c r="CQ87" i="1"/>
  <c r="CP87" i="1"/>
  <c r="GG70" i="1"/>
  <c r="GS70" i="1" s="1"/>
  <c r="GE70" i="1"/>
  <c r="GF70" i="1" s="1"/>
  <c r="FS72" i="1"/>
  <c r="CU86" i="1"/>
  <c r="CS86" i="1"/>
  <c r="CT86" i="1" s="1"/>
  <c r="GI70" i="1"/>
  <c r="GY70" i="1" s="1"/>
  <c r="GB71" i="1"/>
  <c r="GO71" i="1"/>
  <c r="HM27" i="1" s="1"/>
  <c r="GC71" i="1"/>
  <c r="FR73" i="1"/>
  <c r="FP73" i="1"/>
  <c r="FQ73" i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FM75" i="1" l="1"/>
  <c r="FN75" i="1" s="1"/>
  <c r="FJ75" i="1"/>
  <c r="GQ75" i="1" s="1"/>
  <c r="FW75" i="1"/>
  <c r="FX75" i="1"/>
  <c r="FZ75" i="1" s="1"/>
  <c r="FS73" i="1"/>
  <c r="GH71" i="1"/>
  <c r="GP74" i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DO86" i="1" s="1"/>
  <c r="CZ86" i="1"/>
  <c r="DP86" i="1" s="1"/>
  <c r="DA86" i="1"/>
  <c r="DQ86" i="1" s="1"/>
  <c r="CS87" i="1"/>
  <c r="CU87" i="1" s="1"/>
  <c r="CT87" i="1"/>
  <c r="GG72" i="1"/>
  <c r="GE72" i="1"/>
  <c r="GF72" i="1" s="1"/>
  <c r="FT73" i="1"/>
  <c r="DU83" i="1"/>
  <c r="DS83" i="1"/>
  <c r="DY84" i="1"/>
  <c r="FQ74" i="1"/>
  <c r="FP74" i="1"/>
  <c r="FR74" i="1"/>
  <c r="GH72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GS71" i="1" l="1"/>
  <c r="GA75" i="1"/>
  <c r="GD75" i="1"/>
  <c r="GP75" i="1"/>
  <c r="FP75" i="1"/>
  <c r="FR75" i="1"/>
  <c r="FQ75" i="1"/>
  <c r="FT74" i="1"/>
  <c r="CY87" i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GI74" i="1" l="1"/>
  <c r="FS75" i="1"/>
  <c r="FT75" i="1"/>
  <c r="GB75" i="1"/>
  <c r="GC75" i="1"/>
  <c r="GH75" i="1" s="1"/>
  <c r="GO75" i="1"/>
  <c r="GI75" i="1"/>
  <c r="GH74" i="1"/>
  <c r="GY74" i="1" s="1"/>
  <c r="DL87" i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DP87" i="1"/>
  <c r="DM87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GY75" i="1" l="1"/>
  <c r="GZ75" i="1" s="1"/>
  <c r="GE75" i="1"/>
  <c r="GF75" i="1" s="1"/>
  <c r="GG75" i="1"/>
  <c r="GS75" i="1" s="1"/>
  <c r="GS74" i="1"/>
  <c r="HA74" i="1" s="1"/>
  <c r="HY45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Z87" i="1" s="1"/>
  <c r="DW87" i="1"/>
  <c r="DX87" i="1" s="1"/>
  <c r="EA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GT74" i="1" l="1"/>
  <c r="IC45" i="1" s="1"/>
  <c r="GR74" i="1"/>
  <c r="IB45" i="1" s="1"/>
  <c r="GR75" i="1"/>
  <c r="GT75" i="1"/>
  <c r="HA75" i="1"/>
  <c r="HC73" i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D75" i="1" l="1"/>
  <c r="HC75" i="1"/>
  <c r="FF84" i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AN164" i="1" l="1" a="1"/>
  <c r="AN164" i="1" s="1"/>
  <c r="EN87" i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FU84" i="1" l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L85" i="1" l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HQ26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D86" i="1" l="1"/>
  <c r="FV86" i="1" s="1"/>
  <c r="FE86" i="1"/>
  <c r="EW86" i="1"/>
  <c r="HB86" i="1"/>
  <c r="HF86" i="1" s="1"/>
  <c r="EX86" i="1"/>
  <c r="FH86" i="1" s="1"/>
  <c r="FM83" i="1"/>
  <c r="FN83" i="1" s="1"/>
  <c r="FW83" i="1"/>
  <c r="FJ83" i="1"/>
  <c r="GQ83" i="1" s="1"/>
  <c r="HQ20" i="1" s="1"/>
  <c r="FG85" i="1"/>
  <c r="FU85" i="1"/>
  <c r="HB87" i="1"/>
  <c r="HF87" i="1" s="1"/>
  <c r="HH87" i="1" s="1"/>
  <c r="FD87" i="1"/>
  <c r="FV87" i="1" s="1"/>
  <c r="FE87" i="1"/>
  <c r="EX87" i="1"/>
  <c r="FH87" i="1" s="1"/>
  <c r="EW87" i="1"/>
  <c r="HG87" i="1"/>
  <c r="FL87" i="1"/>
  <c r="FO87" i="1"/>
  <c r="FP84" i="1"/>
  <c r="FQ84" i="1"/>
  <c r="FR84" i="1"/>
  <c r="FT84" i="1" s="1"/>
  <c r="GD84" i="1"/>
  <c r="GP84" i="1"/>
  <c r="HR26" i="1" s="1"/>
  <c r="GA84" i="1"/>
  <c r="HG86" i="1"/>
  <c r="HH86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H8" i="1" l="1"/>
  <c r="HG8" i="1"/>
  <c r="FG87" i="1"/>
  <c r="FU87" i="1"/>
  <c r="FR83" i="1"/>
  <c r="FQ83" i="1"/>
  <c r="FS83" i="1" s="1"/>
  <c r="FP83" i="1"/>
  <c r="GP83" i="1"/>
  <c r="HR20" i="1" s="1"/>
  <c r="GD83" i="1"/>
  <c r="GA83" i="1"/>
  <c r="FS84" i="1"/>
  <c r="GO84" i="1"/>
  <c r="HM26" i="1" s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F8" i="1" l="1"/>
  <c r="HE8" i="1"/>
  <c r="GA85" i="1"/>
  <c r="GD85" i="1"/>
  <c r="GP85" i="1"/>
  <c r="HR32" i="1" s="1"/>
  <c r="GB83" i="1"/>
  <c r="GO83" i="1"/>
  <c r="HM20" i="1" s="1"/>
  <c r="GC83" i="1"/>
  <c r="GH83" i="1" s="1"/>
  <c r="FT83" i="1"/>
  <c r="FR85" i="1"/>
  <c r="FT85" i="1" s="1"/>
  <c r="FQ85" i="1"/>
  <c r="FP85" i="1"/>
  <c r="GY84" i="1"/>
  <c r="FX87" i="1"/>
  <c r="FZ87" i="1" s="1"/>
  <c r="FX86" i="1"/>
  <c r="FZ86" i="1" s="1"/>
  <c r="FW86" i="1"/>
  <c r="FM86" i="1"/>
  <c r="FN86" i="1" s="1"/>
  <c r="FJ86" i="1"/>
  <c r="GQ86" i="1" s="1"/>
  <c r="HQ38" i="1" s="1"/>
  <c r="FJ87" i="1"/>
  <c r="GQ87" i="1" s="1"/>
  <c r="HQ44" i="1" s="1"/>
  <c r="FM87" i="1"/>
  <c r="FN87" i="1" s="1"/>
  <c r="FW87" i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T84" i="1" l="1"/>
  <c r="IC26" i="1" s="1"/>
  <c r="GR84" i="1"/>
  <c r="IB26" i="1" s="1"/>
  <c r="HY26" i="1"/>
  <c r="HA84" i="1"/>
  <c r="FR86" i="1"/>
  <c r="FQ86" i="1"/>
  <c r="FS86" i="1" s="1"/>
  <c r="FP86" i="1"/>
  <c r="GP86" i="1"/>
  <c r="HR38" i="1" s="1"/>
  <c r="GD86" i="1"/>
  <c r="GA86" i="1"/>
  <c r="GY83" i="1"/>
  <c r="GD87" i="1"/>
  <c r="GP87" i="1"/>
  <c r="HR44" i="1" s="1"/>
  <c r="GA87" i="1"/>
  <c r="GZ84" i="1"/>
  <c r="IE26" i="1" s="1"/>
  <c r="IA26" i="1"/>
  <c r="GE83" i="1"/>
  <c r="GF83" i="1" s="1"/>
  <c r="GG83" i="1"/>
  <c r="GS83" i="1" s="1"/>
  <c r="FR87" i="1"/>
  <c r="FQ87" i="1"/>
  <c r="FS87" i="1" s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T83" i="1" l="1"/>
  <c r="IC20" i="1" s="1"/>
  <c r="GR83" i="1"/>
  <c r="IB20" i="1" s="1"/>
  <c r="HY20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HM44" i="1" s="1"/>
  <c r="GC87" i="1"/>
  <c r="GH87" i="1" s="1"/>
  <c r="FT87" i="1"/>
  <c r="GZ83" i="1"/>
  <c r="IE20" i="1" s="1"/>
  <c r="IA20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T85" i="1" l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S87" i="1" s="1"/>
  <c r="GZ85" i="1"/>
  <c r="IE32" i="1" s="1"/>
  <c r="IA32" i="1"/>
  <c r="GI86" i="1"/>
  <c r="HC83" i="1"/>
  <c r="HD83" i="1"/>
  <c r="GI87" i="1"/>
  <c r="GY87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7" i="1" l="1"/>
  <c r="IE44" i="1" s="1"/>
  <c r="IA44" i="1"/>
  <c r="GT87" i="1"/>
  <c r="IC44" i="1" s="1"/>
  <c r="GR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GZ86" i="1" l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GR2" i="1" l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G3" i="1" l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F3" i="1" l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W2" i="1" l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  <c r="AW164" i="1" l="1" a="1"/>
  <c r="AW164" i="1" s="1"/>
  <c r="AY164" i="1" s="1" a="1"/>
  <c r="AY164" i="1" s="1"/>
  <c r="AO164" i="1" s="1" a="1"/>
  <c r="AO16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<sst xmlns="http://schemas.openxmlformats.org/spreadsheetml/2006/main" count="901" uniqueCount="425">
  <si>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</si>
  <si>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</si>
  <si>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</si>
  <si>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</si>
  <si>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</si>
  <si>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</si>
  <si>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</si>
  <si>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</si>
  <si>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</si>
  <si>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</si>
  <si>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</si>
  <si>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</si>
  <si>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</si>
  <si>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</si>
  <si>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</si>
  <si>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</si>
  <si>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</si>
  <si>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</si>
  <si>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</si>
  <si>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</si>
  <si>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</si>
  <si>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</si>
  <si>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</si>
  <si>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</si>
  <si>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</si>
  <si>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</si>
  <si>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</si>
  <si>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</si>
  <si>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</si>
  <si>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</si>
  <si>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</si>
  <si>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</si>
  <si>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</si>
  <si>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</si>
  <si>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</si>
  <si>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</si>
  <si>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</si>
  <si>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</si>
  <si>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</si>
  <si>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</si>
  <si>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</si>
  <si>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</si>
  <si>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</si>
  <si>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</si>
  <si>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</si>
  <si>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</si>
  <si>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</si>
  <si>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</si>
  <si>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</si>
  <si>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</si>
  <si>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</si>
  <si>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</si>
  <si>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</si>
  <si>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</si>
  <si>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</si>
  <si>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</si>
  <si>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</si>
  <si>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</si>
  <si>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</si>
  <si>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</si>
  <si>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</si>
  <si>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</si>
  <si>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</si>
  <si>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</si>
  <si>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</si>
  <si>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</si>
  <si>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</si>
  <si>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</si>
  <si>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</si>
  <si>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</si>
  <si>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</si>
  <si>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</si>
  <si>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</si>
  <si>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</si>
  <si>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</si>
  <si>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</si>
  <si>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</si>
  <si>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</si>
  <si>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</si>
  <si>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</si>
  <si>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</si>
  <si>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</si>
  <si>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</si>
  <si>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</si>
  <si>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</si>
  <si>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</si>
  <si>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</si>
  <si>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</si>
  <si>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</si>
  <si>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</si>
  <si>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</si>
  <si>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</si>
  <si>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</si>
  <si>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</si>
  <si>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</si>
  <si>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</si>
  <si>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</si>
  <si>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</si>
  <si>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</si>
  <si>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</si>
  <si>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</si>
  <si>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</si>
  <si>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</si>
  <si>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</si>
  <si>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</si>
  <si>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</si>
  <si>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</si>
  <si>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</si>
  <si>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</si>
  <si>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</si>
  <si>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</si>
  <si>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</si>
  <si>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</si>
  <si>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</si>
  <si>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</si>
  <si>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</si>
  <si>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</si>
  <si>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</si>
  <si>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</si>
  <si>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</si>
  <si>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</si>
  <si>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</si>
  <si>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</si>
  <si>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</si>
  <si>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</si>
  <si>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</si>
  <si>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</si>
  <si>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</si>
  <si>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</si>
  <si>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</si>
  <si>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</si>
  <si>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</si>
  <si>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</si>
  <si>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</si>
  <si>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</si>
  <si>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</si>
  <si>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</si>
  <si>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</si>
  <si>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</si>
  <si>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</si>
  <si>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</si>
  <si>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</si>
  <si>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</si>
  <si>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</si>
  <si>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</si>
  <si>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</si>
  <si>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</si>
  <si>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</si>
  <si>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</si>
  <si>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</si>
  <si>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</si>
  <si>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</si>
  <si>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</si>
  <si>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</si>
  <si>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</si>
  <si>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</si>
  <si>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</si>
  <si>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</si>
  <si>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</si>
  <si>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</si>
  <si>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</si>
  <si>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</si>
  <si>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</si>
  <si>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</si>
  <si>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</si>
  <si>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</si>
  <si>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</si>
  <si>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</si>
  <si>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</si>
  <si>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</si>
  <si>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</si>
  <si>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</si>
  <si>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</si>
  <si>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</si>
  <si>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</si>
  <si>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</si>
  <si>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</si>
  <si>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</si>
  <si>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</si>
  <si>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</si>
  <si>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</si>
  <si>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</si>
  <si>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</si>
  <si>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</si>
  <si>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</si>
  <si>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</si>
  <si>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</si>
  <si>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</si>
  <si>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</si>
  <si>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</si>
  <si>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</si>
  <si>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</si>
  <si>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</si>
  <si>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</si>
  <si>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</si>
  <si>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</si>
  <si>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</si>
  <si>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</si>
  <si>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</si>
  <si>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</si>
  <si>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</si>
  <si>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</si>
  <si>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</si>
  <si>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</si>
  <si>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</si>
  <si>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</si>
  <si>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</si>
  <si>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</si>
  <si>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</si>
  <si>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</si>
  <si>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</si>
  <si>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</si>
  <si>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</si>
  <si>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</si>
  <si>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</si>
  <si>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</si>
  <si>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</si>
  <si>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</si>
  <si>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</si>
  <si>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</si>
  <si>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</si>
  <si>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</si>
  <si>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</si>
  <si>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</si>
  <si>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</si>
  <si>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</si>
  <si>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</si>
  <si>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</si>
  <si>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</si>
  <si>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</si>
  <si>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</si>
  <si>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</si>
  <si>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</si>
  <si>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</si>
  <si>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</si>
  <si>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</si>
  <si>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</si>
  <si>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</si>
  <si>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</si>
  <si>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</si>
  <si>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</si>
  <si>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</si>
  <si>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</si>
  <si>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</si>
  <si>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</si>
  <si>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</si>
  <si>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</si>
  <si>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</si>
  <si>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</si>
  <si>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</si>
  <si>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</si>
  <si>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</si>
  <si>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</si>
  <si>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</si>
  <si>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</si>
  <si>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</si>
  <si>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</si>
  <si>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</si>
  <si>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</si>
  <si>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</si>
  <si>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</si>
  <si>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</si>
  <si>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</si>
  <si>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</si>
  <si>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</si>
  <si>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</si>
  <si>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</si>
  <si>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</si>
  <si>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</si>
  <si>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</si>
  <si>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</si>
  <si>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</si>
  <si>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</si>
  <si>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</si>
  <si>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</si>
  <si>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</si>
  <si>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</si>
  <si>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</si>
  <si>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</si>
  <si>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</si>
  <si>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</si>
  <si>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</si>
  <si>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</si>
  <si>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</si>
  <si>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</si>
  <si>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</si>
  <si>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</si>
  <si>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</si>
  <si>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</si>
  <si>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</si>
  <si>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</si>
  <si>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</si>
  <si>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</si>
  <si>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</si>
  <si>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</si>
  <si>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</si>
  <si>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</si>
  <si>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</si>
  <si>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</si>
  <si>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</si>
  <si>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</si>
  <si>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</si>
  <si>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</si>
  <si>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</si>
  <si>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</si>
  <si>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</si>
  <si>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</si>
  <si>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</si>
  <si>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</si>
  <si>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</si>
  <si>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</si>
  <si>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</si>
  <si>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</si>
  <si>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</si>
  <si>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</si>
  <si>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</si>
  <si>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</si>
  <si>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</si>
  <si>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</si>
  <si>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</si>
  <si>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</si>
  <si>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</si>
  <si>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</si>
  <si>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</si>
  <si>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</si>
  <si>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</si>
  <si>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</si>
  <si>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</si>
  <si>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</si>
  <si>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</si>
  <si>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</si>
  <si>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</si>
  <si>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</si>
  <si>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</si>
  <si>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</si>
  <si>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</si>
  <si>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</si>
  <si>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</si>
  <si>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</si>
  <si>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</si>
  <si>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</si>
  <si>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</si>
  <si>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</si>
  <si>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</si>
  <si>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</si>
  <si>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</si>
  <si>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</si>
  <si>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</si>
  <si>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</si>
  <si>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</si>
  <si>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</si>
  <si>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</si>
  <si>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</si>
  <si>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</si>
  <si>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</si>
  <si>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</si>
  <si>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</si>
  <si>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</si>
  <si>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</si>
  <si>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</si>
  <si>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</si>
  <si>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</si>
  <si>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</si>
  <si>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</si>
  <si>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</si>
  <si>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</si>
  <si>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</si>
  <si>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</si>
  <si>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</si>
  <si>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</si>
  <si>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</si>
  <si>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</si>
  <si>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</si>
  <si>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</si>
  <si>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</si>
  <si>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</si>
  <si>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</si>
  <si>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</si>
  <si>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</si>
  <si>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</si>
  <si>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</si>
  <si>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</si>
  <si>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</si>
  <si>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</si>
  <si>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</si>
  <si>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</si>
  <si>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</si>
  <si>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</si>
  <si>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</si>
  <si>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</si>
  <si>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</si>
  <si>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</si>
  <si>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</si>
  <si>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</si>
  <si>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</si>
  <si>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</si>
  <si>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</si>
  <si>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</si>
  <si>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</si>
  <si>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</si>
  <si>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</si>
  <si>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</si>
  <si>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</si>
  <si>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</si>
  <si>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</si>
  <si>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</si>
  <si>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</si>
  <si>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</si>
  <si>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</si>
  <si>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</si>
  <si>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</si>
  <si>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</si>
  <si>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</si>
  <si>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</si>
  <si>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</si>
  <si>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</si>
  <si>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</si>
  <si>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</si>
  <si>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</si>
  <si>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pattern</t>
  </si>
  <si>
    <t>1613.par</t>
  </si>
  <si>
    <t>2746r00</t>
  </si>
  <si>
    <t>1613 Ripper.par</t>
  </si>
  <si>
    <t>32193r1.par</t>
  </si>
  <si>
    <t>1313.par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</si>
</sst>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</fills>
  <borders count="36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37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31" fillId="0" borderId="0" xfId="0" applyNumberFormat="1" applyFont="1" applyAlignment="1">
      <alignment horizontal="center"/>
    </xf>
    <xf numFmtId="176" fontId="25" fillId="62" borderId="202" xfId="0" applyNumberFormat="1" applyFont="1" applyFill="1" applyBorder="1" applyAlignment="1">
      <alignment horizontal="center"/>
    </xf>
    <xf numFmtId="176" fontId="25" fillId="62" borderId="54" xfId="0" applyNumberFormat="1" applyFont="1" applyFill="1" applyBorder="1" applyAlignment="1">
      <alignment horizontal="center"/>
    </xf>
    <xf numFmtId="176" fontId="25" fillId="62" borderId="359" xfId="0" applyNumberFormat="1" applyFont="1" applyFill="1" applyBorder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0" fillId="0" borderId="134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0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218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247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11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6" xfId="0" applyBorder="1" applyAlignment="1">
      <alignment horizont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191" xfId="0" applyBorder="1" applyAlignment="1">
      <alignment horizontal="center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190" xfId="0" applyBorder="1" applyAlignment="1">
      <alignment horizontal="center"/>
    </xf>
    <xf numFmtId="0" fontId="0" fillId="0" borderId="243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250" xfId="0" applyBorder="1" applyAlignment="1">
      <alignment horizontal="center"/>
    </xf>
    <xf numFmtId="0" fontId="0" fillId="0" borderId="173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10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I26" sqref="I26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158" t="s">
        <v>77</v>
      </c>
      <c r="D1" s="1158"/>
      <c r="E1" s="1158"/>
      <c r="F1" s="1158"/>
      <c r="G1" s="1158"/>
      <c r="H1" s="1158"/>
      <c r="I1" s="1158"/>
      <c r="J1" s="1158"/>
      <c r="K1" s="1158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69" t="s">
        <v>80</v>
      </c>
      <c r="B6" s="1069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314" t="s">
        <v>370</v>
      </c>
      <c r="AQ7" s="1314"/>
      <c r="AR7" s="1314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317">
        <v>9</v>
      </c>
      <c r="D9" s="1085"/>
      <c r="E9" s="1085"/>
      <c r="F9" s="1085"/>
      <c r="G9" s="1085"/>
      <c r="H9" s="1085"/>
      <c r="I9" s="1085"/>
      <c r="J9" s="1085"/>
      <c r="K9" s="1318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309"/>
      <c r="C10" s="1310"/>
      <c r="D10" s="1310"/>
      <c r="E10" s="1310"/>
      <c r="F10" s="1310"/>
      <c r="G10" s="1310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323"/>
      <c r="B11" s="1315" t="s">
        <v>33</v>
      </c>
      <c r="C11" s="1322" t="s">
        <v>34</v>
      </c>
      <c r="D11" s="1322"/>
      <c r="E11" s="1319" t="s">
        <v>39</v>
      </c>
      <c r="F11" s="1315" t="s">
        <v>35</v>
      </c>
      <c r="G11" s="1315" t="s">
        <v>36</v>
      </c>
      <c r="H11" s="1315" t="s">
        <v>43</v>
      </c>
      <c r="I11" s="1320" t="s">
        <v>67</v>
      </c>
      <c r="J11" s="1322" t="s">
        <v>56</v>
      </c>
      <c r="K11" s="1322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300" t="s">
        <v>338</v>
      </c>
      <c r="AN11" s="1085"/>
      <c r="AO11" s="1085"/>
      <c r="AP11" s="1085"/>
      <c r="AQ11" s="1085"/>
      <c r="AR11" s="1153"/>
      <c r="AS11" s="1303" t="s">
        <v>345</v>
      </c>
      <c r="AT11" s="1067"/>
      <c r="AU11" s="1067"/>
      <c r="AV11" s="1304"/>
      <c r="BC11" s="419"/>
    </row>
    <row r="12" spans="1:55" ht="15.75" thickBot="1" x14ac:dyDescent="0.3">
      <c r="A12" s="1324"/>
      <c r="B12" s="1316"/>
      <c r="C12" s="48" t="s">
        <v>8</v>
      </c>
      <c r="D12" s="49" t="s">
        <v>10</v>
      </c>
      <c r="E12" s="1316"/>
      <c r="F12" s="1316"/>
      <c r="G12" s="1316"/>
      <c r="H12" s="1316"/>
      <c r="I12" s="1321"/>
      <c r="J12" s="52" t="s">
        <v>8</v>
      </c>
      <c r="K12" s="53" t="s">
        <v>10</v>
      </c>
      <c r="M12" s="31"/>
      <c r="N12" s="31"/>
      <c r="O12" s="1332" t="s">
        <v>46</v>
      </c>
      <c r="P12" s="1148"/>
      <c r="Q12" s="1150" t="s">
        <v>45</v>
      </c>
      <c r="R12" s="1151"/>
      <c r="S12" s="1151"/>
      <c r="T12" s="1151"/>
      <c r="U12" s="1151"/>
      <c r="V12" s="1151"/>
      <c r="W12" s="1151"/>
      <c r="X12" s="1151"/>
      <c r="Y12" s="1151"/>
      <c r="Z12" s="1151"/>
      <c r="AA12" s="1151"/>
      <c r="AB12" s="1151"/>
      <c r="AC12" s="1151"/>
      <c r="AD12" s="1151"/>
      <c r="AE12" s="1317"/>
      <c r="AF12" s="1326" t="s">
        <v>56</v>
      </c>
      <c r="AG12" s="1327"/>
      <c r="AH12" s="31"/>
      <c r="AK12" s="981" t="s">
        <v>346</v>
      </c>
      <c r="AL12" s="1311"/>
      <c r="AM12" s="1301" t="s">
        <v>343</v>
      </c>
      <c r="AN12" s="982"/>
      <c r="AO12" s="983"/>
      <c r="AP12" s="981" t="s">
        <v>371</v>
      </c>
      <c r="AQ12" s="983"/>
      <c r="AR12" s="743" t="s">
        <v>369</v>
      </c>
      <c r="AS12" s="1048" t="s">
        <v>343</v>
      </c>
      <c r="AT12" s="983"/>
      <c r="AU12" s="1049" t="s">
        <v>344</v>
      </c>
      <c r="AV12" s="1079"/>
      <c r="AW12" s="1154" t="s">
        <v>342</v>
      </c>
      <c r="AX12" s="1289"/>
      <c r="AZ12" s="981" t="s">
        <v>60</v>
      </c>
      <c r="BA12" s="983"/>
      <c r="BC12" s="1302" t="s">
        <v>374</v>
      </c>
    </row>
    <row r="13" spans="1:55" ht="15.75" thickBot="1" x14ac:dyDescent="0.3">
      <c r="A13" s="63" t="s">
        <v>57</v>
      </c>
      <c r="B13" s="1305" t="s">
        <v>97</v>
      </c>
      <c r="C13" s="1307" t="str">
        <f>SUBSTITUTE(ADDRESS(1,COLUMN(Assy.Model!X9),4),"1","")</f>
        <v>X</v>
      </c>
      <c r="D13" s="97" t="str">
        <f>SUBSTITUTE(ADDRESS(1,COLUMN(Assy.Model!Y9),4),"1","")</f>
        <v>Y</v>
      </c>
      <c r="E13" s="1312" t="str">
        <f>SUBSTITUTE(ADDRESS(1,COLUMN(Assy.Model!H9),4),"1","")</f>
        <v>H</v>
      </c>
      <c r="F13" s="1312" t="str">
        <f>SUBSTITUTE(ADDRESS(1,COLUMN(Assy.Model!AN9),4),"1","")</f>
        <v>AN</v>
      </c>
      <c r="G13" s="1312" t="str">
        <f>SUBSTITUTE(ADDRESS(1,COLUMN(Assy.Model!AO9),4),"1","")</f>
        <v>AO</v>
      </c>
      <c r="H13" s="1312" t="str">
        <f>SUBSTITUTE(ADDRESS(1,COLUMN(Assy.Model!AO9),4),"1","")</f>
        <v>AO</v>
      </c>
      <c r="I13" s="1312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333"/>
      <c r="P13" s="1334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302"/>
    </row>
    <row r="14" spans="1:55" x14ac:dyDescent="0.25">
      <c r="A14" s="61" t="s">
        <v>58</v>
      </c>
      <c r="B14" s="1306"/>
      <c r="C14" s="1308"/>
      <c r="D14" s="98" t="str">
        <f>SUBSTITUTE(ADDRESS(1,COLUMN(Assy.Model!AT9),4),"1","")</f>
        <v>AT</v>
      </c>
      <c r="E14" s="1313"/>
      <c r="F14" s="1313"/>
      <c r="G14" s="1313"/>
      <c r="H14" s="1313"/>
      <c r="I14" s="1313"/>
      <c r="J14" s="87">
        <v>0</v>
      </c>
      <c r="K14" s="88">
        <v>0</v>
      </c>
      <c r="L14" s="31"/>
      <c r="M14" s="185">
        <v>6.25E-2</v>
      </c>
      <c r="N14" s="31">
        <v>32</v>
      </c>
      <c r="O14" s="1330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330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330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330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330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10.625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330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331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317" t="s">
        <v>64</v>
      </c>
      <c r="C21" s="1085"/>
      <c r="D21" s="1085"/>
      <c r="E21" s="1085"/>
      <c r="F21" s="1318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323"/>
      <c r="C22" s="1317" t="s">
        <v>63</v>
      </c>
      <c r="D22" s="1318"/>
      <c r="E22" s="1320" t="s">
        <v>60</v>
      </c>
      <c r="F22" s="1320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335"/>
      <c r="C23" s="56" t="s">
        <v>8</v>
      </c>
      <c r="D23" s="56" t="s">
        <v>9</v>
      </c>
      <c r="E23" s="1321"/>
      <c r="F23" s="1321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328">
        <v>0</v>
      </c>
      <c r="E24" s="1328">
        <v>2</v>
      </c>
      <c r="F24" s="1328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5.3125</v>
      </c>
      <c r="D25" s="1329"/>
      <c r="E25" s="1329"/>
      <c r="F25" s="1329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325" t="s">
        <v>302</v>
      </c>
      <c r="C27" s="1325"/>
      <c r="D27" s="1325"/>
      <c r="E27" s="1325"/>
      <c r="F27" s="1325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83" t="s">
        <v>421</v>
      </c>
      <c r="C28" s="1083"/>
      <c r="D28" s="1083"/>
      <c r="E28" s="1083"/>
      <c r="F28" s="1083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1085" t="s">
        <v>95</v>
      </c>
      <c r="D3" s="1085"/>
      <c r="E3" s="1085"/>
      <c r="F3" s="1085"/>
      <c r="G3" s="1085"/>
      <c r="H3" s="1085"/>
      <c r="I3" s="1085"/>
      <c r="J3" s="1085"/>
      <c r="K3" s="1153"/>
      <c r="L3" s="1084"/>
      <c r="M3" s="1085"/>
      <c r="N3" s="1085"/>
      <c r="O3" s="1085"/>
      <c r="P3" s="1085"/>
      <c r="Q3" s="1085"/>
      <c r="R3" s="1318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63" t="s">
        <v>86</v>
      </c>
      <c r="C4" s="1373" t="s">
        <v>82</v>
      </c>
      <c r="D4" s="1085" t="s">
        <v>83</v>
      </c>
      <c r="E4" s="1085"/>
      <c r="F4" s="1085"/>
      <c r="G4" s="1085"/>
      <c r="H4" s="1085"/>
      <c r="I4" s="1085"/>
      <c r="J4" s="1085"/>
      <c r="K4" s="1085"/>
      <c r="L4" s="146" t="s">
        <v>91</v>
      </c>
      <c r="M4" s="1317" t="s">
        <v>94</v>
      </c>
      <c r="N4" s="1085"/>
      <c r="O4" s="1085"/>
      <c r="P4" s="1153"/>
      <c r="Q4" s="1085" t="s">
        <v>52</v>
      </c>
      <c r="R4" s="1318"/>
      <c r="S4" s="103"/>
      <c r="T4" s="1317">
        <v>350</v>
      </c>
      <c r="U4" s="1085"/>
      <c r="V4" s="1085" t="s">
        <v>76</v>
      </c>
      <c r="W4" s="1085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357"/>
      <c r="C5" s="1374"/>
      <c r="D5" s="1362" t="s">
        <v>85</v>
      </c>
      <c r="E5" s="1376" t="s">
        <v>89</v>
      </c>
      <c r="F5" s="1322" t="s">
        <v>34</v>
      </c>
      <c r="G5" s="1322"/>
      <c r="H5" s="1319" t="s">
        <v>39</v>
      </c>
      <c r="I5" s="1315" t="s">
        <v>35</v>
      </c>
      <c r="J5" s="1315" t="s">
        <v>36</v>
      </c>
      <c r="K5" s="1347" t="s">
        <v>67</v>
      </c>
      <c r="L5" s="147" t="s">
        <v>92</v>
      </c>
      <c r="M5" s="1320" t="s">
        <v>90</v>
      </c>
      <c r="N5" s="1320" t="s">
        <v>47</v>
      </c>
      <c r="O5" s="1138" t="s">
        <v>84</v>
      </c>
      <c r="P5" s="1139"/>
      <c r="Q5" s="1028" t="s">
        <v>84</v>
      </c>
      <c r="R5" s="1030"/>
      <c r="S5" s="103"/>
      <c r="T5" s="1332" t="s">
        <v>46</v>
      </c>
      <c r="U5" s="1125"/>
      <c r="V5" s="1289" t="s">
        <v>45</v>
      </c>
      <c r="W5" s="1327"/>
      <c r="X5" s="1327"/>
      <c r="Y5" s="1327"/>
      <c r="Z5" s="1327"/>
      <c r="AA5" s="1327"/>
      <c r="AB5" s="1327"/>
      <c r="AC5" s="1327"/>
      <c r="AD5" s="1327"/>
      <c r="AE5" s="1327"/>
      <c r="AF5" s="1327"/>
      <c r="AG5" s="1327"/>
      <c r="AH5" s="1327"/>
      <c r="AI5" s="1327"/>
      <c r="AJ5" s="1327"/>
      <c r="AK5" s="31"/>
      <c r="AL5" s="31"/>
    </row>
    <row r="6" spans="2:38" ht="15" customHeight="1" thickBot="1" x14ac:dyDescent="0.3">
      <c r="B6" s="1358"/>
      <c r="C6" s="1375"/>
      <c r="D6" s="1363"/>
      <c r="E6" s="1377"/>
      <c r="F6" s="104" t="s">
        <v>8</v>
      </c>
      <c r="G6" s="105" t="s">
        <v>10</v>
      </c>
      <c r="H6" s="1348"/>
      <c r="I6" s="1348"/>
      <c r="J6" s="1348"/>
      <c r="K6" s="1337"/>
      <c r="L6" s="148" t="s">
        <v>93</v>
      </c>
      <c r="M6" s="1336"/>
      <c r="N6" s="1336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337"/>
      <c r="U6" s="1338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364">
        <f>ROW(Assy.Model!B9)</f>
        <v>9</v>
      </c>
      <c r="D7" s="1354" t="str">
        <f>SUBSTITUTE(ADDRESS(1,COLUMN(Assy.Model!B9),4),"1","")</f>
        <v>B</v>
      </c>
      <c r="E7" s="1367" t="str">
        <f>SUBSTITUTE(ADDRESS(1,COLUMN(Assy.Model!M9),4),"1","")</f>
        <v>M</v>
      </c>
      <c r="F7" s="1370" t="str">
        <f>SUBSTITUTE(ADDRESS(1,COLUMN(Assy.Model!X9),4),"1","")</f>
        <v>X</v>
      </c>
      <c r="G7" s="1359" t="str">
        <f>SUBSTITUTE(ADDRESS(1,COLUMN(Assy.Model!AT9),4),"1","")</f>
        <v>AT</v>
      </c>
      <c r="H7" s="1339" t="str">
        <f>SUBSTITUTE(ADDRESS(1,COLUMN(Assy.Model!H9),4),"1","")</f>
        <v>H</v>
      </c>
      <c r="I7" s="1339" t="str">
        <f>SUBSTITUTE(ADDRESS(1,COLUMN(Assy.Model!AN9),4),"1","")</f>
        <v>AN</v>
      </c>
      <c r="J7" s="1339" t="str">
        <f>SUBSTITUTE(ADDRESS(1,COLUMN(Assy.Model!AO9),4),"1","")</f>
        <v>AO</v>
      </c>
      <c r="K7" s="1342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351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349" t="s">
        <v>81</v>
      </c>
      <c r="C8" s="1365"/>
      <c r="D8" s="1355"/>
      <c r="E8" s="1368"/>
      <c r="F8" s="1371"/>
      <c r="G8" s="1360"/>
      <c r="H8" s="1340"/>
      <c r="I8" s="1340"/>
      <c r="J8" s="1340"/>
      <c r="K8" s="1343"/>
      <c r="L8" s="149" t="s">
        <v>93</v>
      </c>
      <c r="M8" s="1345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352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349"/>
      <c r="C9" s="1365"/>
      <c r="D9" s="1355"/>
      <c r="E9" s="1368"/>
      <c r="F9" s="1371"/>
      <c r="G9" s="1360"/>
      <c r="H9" s="1340"/>
      <c r="I9" s="1340"/>
      <c r="J9" s="1340"/>
      <c r="K9" s="1343"/>
      <c r="L9" s="149" t="s">
        <v>92</v>
      </c>
      <c r="M9" s="1345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352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349"/>
      <c r="C10" s="1365"/>
      <c r="D10" s="1355"/>
      <c r="E10" s="1368"/>
      <c r="F10" s="1371"/>
      <c r="G10" s="1360"/>
      <c r="H10" s="1340"/>
      <c r="I10" s="1340"/>
      <c r="J10" s="1340"/>
      <c r="K10" s="1343"/>
      <c r="L10" s="149" t="s">
        <v>92</v>
      </c>
      <c r="M10" s="1345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352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349"/>
      <c r="C11" s="1365"/>
      <c r="D11" s="1355"/>
      <c r="E11" s="1368"/>
      <c r="F11" s="1371"/>
      <c r="G11" s="1360"/>
      <c r="H11" s="1340"/>
      <c r="I11" s="1340"/>
      <c r="J11" s="1340"/>
      <c r="K11" s="1343"/>
      <c r="L11" s="149" t="s">
        <v>92</v>
      </c>
      <c r="M11" s="1345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352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349"/>
      <c r="C12" s="1365"/>
      <c r="D12" s="1355"/>
      <c r="E12" s="1368"/>
      <c r="F12" s="1371"/>
      <c r="G12" s="1360"/>
      <c r="H12" s="1340"/>
      <c r="I12" s="1340"/>
      <c r="J12" s="1340"/>
      <c r="K12" s="1343"/>
      <c r="L12" s="149" t="s">
        <v>92</v>
      </c>
      <c r="M12" s="1345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352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349"/>
      <c r="C13" s="1365"/>
      <c r="D13" s="1355"/>
      <c r="E13" s="1368"/>
      <c r="F13" s="1371"/>
      <c r="G13" s="1360"/>
      <c r="H13" s="1340"/>
      <c r="I13" s="1340"/>
      <c r="J13" s="1340"/>
      <c r="K13" s="1343"/>
      <c r="L13" s="149" t="s">
        <v>92</v>
      </c>
      <c r="M13" s="1345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352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350"/>
      <c r="C14" s="1366"/>
      <c r="D14" s="1356"/>
      <c r="E14" s="1369"/>
      <c r="F14" s="1372"/>
      <c r="G14" s="1361"/>
      <c r="H14" s="1341"/>
      <c r="I14" s="1341"/>
      <c r="J14" s="1341"/>
      <c r="K14" s="1344"/>
      <c r="L14" s="150" t="s">
        <v>93</v>
      </c>
      <c r="M14" s="1346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353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181" t="str">
        <f>CONCATENATE(Settings!$C$19," ",Settings!$B$28)</f>
        <v>10.625 2746r00</v>
      </c>
      <c r="D1" s="1181"/>
      <c r="E1" s="1181"/>
      <c r="F1" s="1181"/>
      <c r="G1" s="1181"/>
      <c r="H1" s="1181"/>
      <c r="I1" s="1181"/>
      <c r="J1" s="1181"/>
      <c r="K1" s="1181"/>
      <c r="L1" s="709"/>
      <c r="M1" s="975">
        <f>LARGE(M9:M150,1)</f>
        <v>6.2539999999999996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-0.56923119401000122</v>
      </c>
      <c r="W1" s="162">
        <f>360-W14</f>
        <v>0.56923119401000122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 t="e">
        <f>SQRT((EW14-FD14)^2+(EX14-FE14)^2+(EY14-FF14)^2)</f>
        <v>#VALUE!</v>
      </c>
      <c r="FJ1" s="219" t="e">
        <f>DEGREES(ACOS((2-SQRT((EW14-FD14)^2+(EX14-FE14)^2+(EY14-FF14)^2)^2)/2))</f>
        <v>#VALUE!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189" t="s">
        <v>306</v>
      </c>
      <c r="C2" s="1190"/>
      <c r="D2" s="1190"/>
      <c r="E2" s="1190"/>
      <c r="F2" s="1190"/>
      <c r="G2" s="1190"/>
      <c r="H2" s="1190"/>
      <c r="I2" s="1190"/>
      <c r="J2" s="1190"/>
      <c r="K2" s="1191"/>
      <c r="L2" s="1047" t="str" cm="1">
        <f t="array" ref="L2">IF(OR($K$9:$K$150="Undefined"),"Undefined Element","")</f>
        <v/>
      </c>
      <c r="M2" s="1200" t="s">
        <v>0</v>
      </c>
      <c r="N2" s="1159" t="s">
        <v>1</v>
      </c>
      <c r="O2" s="1160"/>
      <c r="P2" s="1160"/>
      <c r="Q2" s="1160"/>
      <c r="R2" s="1160"/>
      <c r="S2" s="1160"/>
      <c r="T2" s="1160"/>
      <c r="U2" s="1160"/>
      <c r="V2" s="1160"/>
      <c r="W2" s="1160"/>
      <c r="X2" s="1160"/>
      <c r="Y2" s="1234"/>
      <c r="Z2" s="1159" t="s">
        <v>2</v>
      </c>
      <c r="AA2" s="1160"/>
      <c r="AB2" s="1160"/>
      <c r="AC2" s="1160"/>
      <c r="AD2" s="1160"/>
      <c r="AE2" s="1160"/>
      <c r="AF2" s="1160"/>
      <c r="AG2" s="1160"/>
      <c r="AH2" s="1160"/>
      <c r="AI2" s="1160"/>
      <c r="AJ2" s="1160"/>
      <c r="AK2" s="1160"/>
      <c r="AL2" s="1160"/>
      <c r="AM2" s="1160"/>
      <c r="AN2" s="1160"/>
      <c r="AO2" s="1160"/>
      <c r="AP2" s="1160"/>
      <c r="AQ2" s="1161"/>
      <c r="AS2" s="1240" t="s">
        <v>44</v>
      </c>
      <c r="AT2" s="1241"/>
      <c r="AV2" s="1232" t="s">
        <v>0</v>
      </c>
      <c r="AW2" s="1159" t="s">
        <v>109</v>
      </c>
      <c r="AX2" s="1160"/>
      <c r="AY2" s="1160"/>
      <c r="AZ2" s="1160"/>
      <c r="BA2" s="1160"/>
      <c r="BB2" s="1160"/>
      <c r="BC2" s="1160"/>
      <c r="BD2" s="1160"/>
      <c r="BE2" s="1161"/>
      <c r="BF2" s="1262" t="s">
        <v>115</v>
      </c>
      <c r="BG2" s="1160"/>
      <c r="BH2" s="1160"/>
      <c r="BI2" s="1160"/>
      <c r="BJ2" s="1160"/>
      <c r="BK2" s="1160"/>
      <c r="BL2" s="1160"/>
      <c r="BM2" s="1160"/>
      <c r="BN2" s="1160"/>
      <c r="BO2" s="1160"/>
      <c r="BP2" s="1160"/>
      <c r="BQ2" s="1160"/>
      <c r="BR2" s="1160"/>
      <c r="BS2" s="1160"/>
      <c r="BT2" s="1160"/>
      <c r="BU2" s="1160"/>
      <c r="BV2" s="1160"/>
      <c r="BW2" s="1160"/>
      <c r="BX2" s="1160"/>
      <c r="BY2" s="1160"/>
      <c r="BZ2" s="1160"/>
      <c r="CA2" s="1160"/>
      <c r="CB2" s="1160"/>
      <c r="CC2" s="1160"/>
      <c r="CD2" s="1160"/>
      <c r="CE2" s="1160"/>
      <c r="CF2" s="1160"/>
      <c r="CG2" s="1160"/>
      <c r="CH2" s="1160"/>
      <c r="CI2" s="1160"/>
      <c r="CJ2" s="1160"/>
      <c r="CK2" s="1160"/>
      <c r="CL2" s="1160"/>
      <c r="CM2" s="1160"/>
      <c r="CN2" s="1160"/>
      <c r="CO2" s="1160"/>
      <c r="CP2" s="1160"/>
      <c r="CQ2" s="1160"/>
      <c r="CR2" s="1160"/>
      <c r="CS2" s="1160"/>
      <c r="CT2" s="1160"/>
      <c r="CU2" s="1160"/>
      <c r="CV2" s="1160"/>
      <c r="CW2" s="1160"/>
      <c r="CX2" s="1160"/>
      <c r="CY2" s="1160"/>
      <c r="CZ2" s="1160"/>
      <c r="DA2" s="1160"/>
      <c r="DB2" s="1160"/>
      <c r="DC2" s="1160"/>
      <c r="DD2" s="1160"/>
      <c r="DE2" s="1160"/>
      <c r="DF2" s="1160"/>
      <c r="DG2" s="1160"/>
      <c r="DH2" s="1160"/>
      <c r="DI2" s="1160"/>
      <c r="DJ2" s="1160"/>
      <c r="DK2" s="1160"/>
      <c r="DL2" s="1160"/>
      <c r="DM2" s="1160"/>
      <c r="DN2" s="1160"/>
      <c r="DO2" s="1160"/>
      <c r="DP2" s="1160"/>
      <c r="DQ2" s="1160"/>
      <c r="DR2" s="1160"/>
      <c r="DS2" s="1160"/>
      <c r="DT2" s="1160"/>
      <c r="DU2" s="1160"/>
      <c r="DV2" s="1160"/>
      <c r="DW2" s="1160"/>
      <c r="DX2" s="1160"/>
      <c r="DY2" s="1160"/>
      <c r="DZ2" s="1160"/>
      <c r="EA2" s="1160"/>
      <c r="EB2" s="1160"/>
      <c r="EC2" s="1160"/>
      <c r="ED2" s="1160"/>
      <c r="EE2" s="1160"/>
      <c r="EF2" s="1160"/>
      <c r="EG2" s="1160"/>
      <c r="EH2" s="1160"/>
      <c r="EI2" s="1160"/>
      <c r="EJ2" s="1160"/>
      <c r="EK2" s="1160"/>
      <c r="EL2" s="1160"/>
      <c r="EM2" s="1160"/>
      <c r="EN2" s="1160"/>
      <c r="EO2" s="1160"/>
      <c r="EP2" s="1160"/>
      <c r="EQ2" s="1160"/>
      <c r="ER2" s="1234"/>
      <c r="ES2" s="1020" t="s">
        <v>196</v>
      </c>
      <c r="ET2" s="1021"/>
      <c r="EU2" s="1021"/>
      <c r="EV2" s="1021"/>
      <c r="EW2" s="1021"/>
      <c r="EX2" s="1021"/>
      <c r="EY2" s="1021"/>
      <c r="EZ2" s="1021"/>
      <c r="FA2" s="1021"/>
      <c r="FB2" s="1021"/>
      <c r="FC2" s="1021"/>
      <c r="FD2" s="1021"/>
      <c r="FE2" s="1021"/>
      <c r="FF2" s="1022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38"/>
      <c r="HV2" s="857"/>
      <c r="HW2" s="986" t="str">
        <f>IFERROR(CONCATENATE("Sum of Lateral Forces = ",ROUND(HE3,0)," lbs @ ",ROUND(HF3,1),"° Relative to Blade 1"),"")</f>
        <v/>
      </c>
      <c r="HX2" s="986"/>
      <c r="HY2" s="986"/>
      <c r="HZ2" s="986"/>
      <c r="IA2" s="986"/>
      <c r="IB2" s="986"/>
      <c r="IC2" s="986"/>
      <c r="ID2" s="986"/>
      <c r="IE2" s="986"/>
      <c r="IF2" s="846"/>
      <c r="IN2" s="31"/>
      <c r="IO2" s="323"/>
      <c r="JC2" s="82"/>
      <c r="JD2" s="82"/>
      <c r="JE2" s="82"/>
    </row>
    <row r="3" spans="1:285" ht="15" customHeight="1" x14ac:dyDescent="0.25">
      <c r="B3" s="1192"/>
      <c r="C3" s="1193"/>
      <c r="D3" s="1193"/>
      <c r="E3" s="1193"/>
      <c r="F3" s="1193"/>
      <c r="G3" s="1193"/>
      <c r="H3" s="1193"/>
      <c r="I3" s="1193"/>
      <c r="J3" s="1193"/>
      <c r="K3" s="1194"/>
      <c r="L3" s="1047"/>
      <c r="M3" s="1192"/>
      <c r="N3" s="1235"/>
      <c r="O3" s="1236"/>
      <c r="P3" s="1236"/>
      <c r="Q3" s="1236"/>
      <c r="R3" s="1236"/>
      <c r="S3" s="1236"/>
      <c r="T3" s="1236"/>
      <c r="U3" s="1236"/>
      <c r="V3" s="1236"/>
      <c r="W3" s="1236"/>
      <c r="X3" s="1236"/>
      <c r="Y3" s="1237"/>
      <c r="Z3" s="1235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6"/>
      <c r="AL3" s="1236"/>
      <c r="AM3" s="1236"/>
      <c r="AN3" s="1236"/>
      <c r="AO3" s="1236"/>
      <c r="AP3" s="1236"/>
      <c r="AQ3" s="1256"/>
      <c r="AS3" s="415">
        <v>100</v>
      </c>
      <c r="AT3" s="412" t="s">
        <v>45</v>
      </c>
      <c r="AV3" s="1233"/>
      <c r="AW3" s="1023"/>
      <c r="AX3" s="1024"/>
      <c r="AY3" s="1024"/>
      <c r="AZ3" s="1024"/>
      <c r="BA3" s="1024"/>
      <c r="BB3" s="1024"/>
      <c r="BC3" s="1024"/>
      <c r="BD3" s="1024"/>
      <c r="BE3" s="1162"/>
      <c r="BF3" s="1263"/>
      <c r="BG3" s="1024"/>
      <c r="BH3" s="1024"/>
      <c r="BI3" s="1024"/>
      <c r="BJ3" s="1024"/>
      <c r="BK3" s="1024"/>
      <c r="BL3" s="1024"/>
      <c r="BM3" s="1024"/>
      <c r="BN3" s="1024"/>
      <c r="BO3" s="1024"/>
      <c r="BP3" s="1024"/>
      <c r="BQ3" s="1024"/>
      <c r="BR3" s="1024"/>
      <c r="BS3" s="1024"/>
      <c r="BT3" s="1024"/>
      <c r="BU3" s="1024"/>
      <c r="BV3" s="1024"/>
      <c r="BW3" s="1024"/>
      <c r="BX3" s="1024"/>
      <c r="BY3" s="1024"/>
      <c r="BZ3" s="1024"/>
      <c r="CA3" s="1024"/>
      <c r="CB3" s="1024"/>
      <c r="CC3" s="1024"/>
      <c r="CD3" s="1024"/>
      <c r="CE3" s="1024"/>
      <c r="CF3" s="1024"/>
      <c r="CG3" s="1024"/>
      <c r="CH3" s="1024"/>
      <c r="CI3" s="1024"/>
      <c r="CJ3" s="1024"/>
      <c r="CK3" s="1024"/>
      <c r="CL3" s="1024"/>
      <c r="CM3" s="1024"/>
      <c r="CN3" s="1024"/>
      <c r="CO3" s="1024"/>
      <c r="CP3" s="1024"/>
      <c r="CQ3" s="1024"/>
      <c r="CR3" s="1024"/>
      <c r="CS3" s="1024"/>
      <c r="CT3" s="1024"/>
      <c r="CU3" s="1024"/>
      <c r="CV3" s="1024"/>
      <c r="CW3" s="1024"/>
      <c r="CX3" s="1024"/>
      <c r="CY3" s="1024"/>
      <c r="CZ3" s="1024"/>
      <c r="DA3" s="1024"/>
      <c r="DB3" s="1024"/>
      <c r="DC3" s="1024"/>
      <c r="DD3" s="1024"/>
      <c r="DE3" s="1024"/>
      <c r="DF3" s="1024"/>
      <c r="DG3" s="1024"/>
      <c r="DH3" s="1024"/>
      <c r="DI3" s="1024"/>
      <c r="DJ3" s="1024"/>
      <c r="DK3" s="1024"/>
      <c r="DL3" s="1024"/>
      <c r="DM3" s="1024"/>
      <c r="DN3" s="1024"/>
      <c r="DO3" s="1024"/>
      <c r="DP3" s="1024"/>
      <c r="DQ3" s="1024"/>
      <c r="DR3" s="1024"/>
      <c r="DS3" s="1024"/>
      <c r="DT3" s="1024"/>
      <c r="DU3" s="1024"/>
      <c r="DV3" s="1024"/>
      <c r="DW3" s="1024"/>
      <c r="DX3" s="1024"/>
      <c r="DY3" s="1024"/>
      <c r="DZ3" s="1024"/>
      <c r="EA3" s="1024"/>
      <c r="EB3" s="1024"/>
      <c r="EC3" s="1024"/>
      <c r="ED3" s="1024"/>
      <c r="EE3" s="1024"/>
      <c r="EF3" s="1024"/>
      <c r="EG3" s="1024"/>
      <c r="EH3" s="1024"/>
      <c r="EI3" s="1024"/>
      <c r="EJ3" s="1024"/>
      <c r="EK3" s="1024"/>
      <c r="EL3" s="1024"/>
      <c r="EM3" s="1024"/>
      <c r="EN3" s="1024"/>
      <c r="EO3" s="1024"/>
      <c r="EP3" s="1024"/>
      <c r="EQ3" s="1024"/>
      <c r="ER3" s="1025"/>
      <c r="ES3" s="1023"/>
      <c r="ET3" s="1024"/>
      <c r="EU3" s="1024"/>
      <c r="EV3" s="1024"/>
      <c r="EW3" s="1024"/>
      <c r="EX3" s="1024"/>
      <c r="EY3" s="1024"/>
      <c r="EZ3" s="1024"/>
      <c r="FA3" s="1024"/>
      <c r="FB3" s="1024"/>
      <c r="FC3" s="1024"/>
      <c r="FD3" s="1024"/>
      <c r="FE3" s="1024"/>
      <c r="FF3" s="1025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HX3" s="968">
        <f>($HX$6*$AS$3)/5252.113112</f>
        <v>0</v>
      </c>
      <c r="HZ3" s="968">
        <f>($HZ$6*$AS$3)/5252.113112</f>
        <v>0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195"/>
      <c r="C4" s="1196"/>
      <c r="D4" s="1196"/>
      <c r="E4" s="1196"/>
      <c r="F4" s="1196"/>
      <c r="G4" s="1196"/>
      <c r="H4" s="1196"/>
      <c r="I4" s="1196"/>
      <c r="J4" s="1196"/>
      <c r="K4" s="1197"/>
      <c r="L4" s="1047"/>
      <c r="M4" s="1192"/>
      <c r="N4" s="1202" t="s">
        <v>3</v>
      </c>
      <c r="O4" s="1199"/>
      <c r="P4" s="1199"/>
      <c r="Q4" s="1198" t="s">
        <v>4</v>
      </c>
      <c r="R4" s="1199"/>
      <c r="S4" s="1217"/>
      <c r="T4" s="1211" t="str">
        <f>N4</f>
        <v>Cartesian Coordinates</v>
      </c>
      <c r="U4" s="1166"/>
      <c r="V4" s="1212"/>
      <c r="W4" s="1166" t="str">
        <f>$Q$4</f>
        <v>Polar XY; Cartesian Z</v>
      </c>
      <c r="X4" s="1166"/>
      <c r="Y4" s="1182"/>
      <c r="Z4" s="1202" t="s">
        <v>3</v>
      </c>
      <c r="AA4" s="1199"/>
      <c r="AB4" s="1199"/>
      <c r="AC4" s="1199"/>
      <c r="AD4" s="1199"/>
      <c r="AE4" s="1199"/>
      <c r="AF4" s="1199"/>
      <c r="AG4" s="1229" t="s">
        <v>31</v>
      </c>
      <c r="AH4" s="1199"/>
      <c r="AI4" s="1199"/>
      <c r="AJ4" s="1217"/>
      <c r="AK4" s="1257" t="s">
        <v>32</v>
      </c>
      <c r="AL4" s="1258"/>
      <c r="AM4" s="1258"/>
      <c r="AN4" s="1258"/>
      <c r="AO4" s="1258"/>
      <c r="AP4" s="1258"/>
      <c r="AQ4" s="1259"/>
      <c r="AS4" s="416">
        <v>50</v>
      </c>
      <c r="AT4" s="413" t="s">
        <v>46</v>
      </c>
      <c r="AV4" s="1233"/>
      <c r="AW4" s="1124" t="s">
        <v>112</v>
      </c>
      <c r="AX4" s="1094"/>
      <c r="AY4" s="1148"/>
      <c r="AZ4" s="1156"/>
      <c r="BA4" s="1157"/>
      <c r="BB4" s="1163" t="s">
        <v>113</v>
      </c>
      <c r="BC4" s="1166" t="str">
        <f>$Q$4</f>
        <v>Polar XY; Cartesian Z</v>
      </c>
      <c r="BD4" s="1166"/>
      <c r="BE4" s="1167"/>
      <c r="BF4" s="1178" t="s">
        <v>129</v>
      </c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E4" s="1179"/>
      <c r="CF4" s="1179"/>
      <c r="CG4" s="1179"/>
      <c r="CH4" s="1179"/>
      <c r="CI4" s="1179"/>
      <c r="CJ4" s="1179"/>
      <c r="CK4" s="1179"/>
      <c r="CL4" s="1179"/>
      <c r="CM4" s="1179"/>
      <c r="CN4" s="1180"/>
      <c r="CO4" s="1145" t="s">
        <v>192</v>
      </c>
      <c r="CP4" s="1146"/>
      <c r="CQ4" s="1146"/>
      <c r="CR4" s="1146"/>
      <c r="CS4" s="1146"/>
      <c r="CT4" s="1146"/>
      <c r="CU4" s="1146"/>
      <c r="CV4" s="1146"/>
      <c r="CW4" s="1146"/>
      <c r="CX4" s="1146"/>
      <c r="CY4" s="1146"/>
      <c r="CZ4" s="1146"/>
      <c r="DA4" s="1147"/>
      <c r="DB4" s="1017" t="s">
        <v>389</v>
      </c>
      <c r="DC4" s="1018"/>
      <c r="DD4" s="1018"/>
      <c r="DE4" s="1018"/>
      <c r="DF4" s="1018"/>
      <c r="DG4" s="1018"/>
      <c r="DH4" s="1018"/>
      <c r="DI4" s="1018"/>
      <c r="DJ4" s="1018"/>
      <c r="DK4" s="1018"/>
      <c r="DL4" s="1018"/>
      <c r="DM4" s="1018"/>
      <c r="DN4" s="1018"/>
      <c r="DO4" s="1018"/>
      <c r="DP4" s="1018"/>
      <c r="DQ4" s="1018"/>
      <c r="DR4" s="1018"/>
      <c r="DS4" s="1018"/>
      <c r="DT4" s="1018"/>
      <c r="DU4" s="1018"/>
      <c r="DV4" s="1018"/>
      <c r="DW4" s="1018"/>
      <c r="DX4" s="1018"/>
      <c r="DY4" s="1018"/>
      <c r="DZ4" s="1018"/>
      <c r="EA4" s="1018"/>
      <c r="EB4" s="1018"/>
      <c r="EC4" s="1018"/>
      <c r="ED4" s="1018"/>
      <c r="EE4" s="1018"/>
      <c r="EF4" s="1018"/>
      <c r="EG4" s="1018"/>
      <c r="EH4" s="1018"/>
      <c r="EI4" s="1018"/>
      <c r="EJ4" s="1018"/>
      <c r="EK4" s="1018"/>
      <c r="EL4" s="1018"/>
      <c r="EM4" s="1018"/>
      <c r="EN4" s="1018"/>
      <c r="EO4" s="1018"/>
      <c r="EP4" s="1018"/>
      <c r="EQ4" s="1018"/>
      <c r="ER4" s="1019"/>
      <c r="ES4" s="1118" t="s">
        <v>195</v>
      </c>
      <c r="ET4" s="1119"/>
      <c r="EU4" s="1119"/>
      <c r="EV4" s="1119"/>
      <c r="EW4" s="1119"/>
      <c r="EX4" s="1119"/>
      <c r="EY4" s="1120"/>
      <c r="EZ4" s="1129" t="s">
        <v>200</v>
      </c>
      <c r="FA4" s="1130"/>
      <c r="FB4" s="1130"/>
      <c r="FC4" s="1130"/>
      <c r="FD4" s="1130"/>
      <c r="FE4" s="1130"/>
      <c r="FF4" s="1131"/>
      <c r="FG4" s="325"/>
      <c r="FP4" s="1035" t="s">
        <v>228</v>
      </c>
      <c r="FZ4" s="1035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150" t="s">
        <v>235</v>
      </c>
      <c r="GK4" s="1151"/>
      <c r="GL4" s="1151"/>
      <c r="GM4" s="1151"/>
      <c r="GN4" s="1152"/>
      <c r="GO4" s="1086" t="s">
        <v>228</v>
      </c>
      <c r="GP4" s="1090" t="s">
        <v>227</v>
      </c>
      <c r="GR4" s="1055" t="s">
        <v>257</v>
      </c>
      <c r="GS4" s="1084" t="s">
        <v>255</v>
      </c>
      <c r="GT4" s="1085"/>
      <c r="GU4" s="1085"/>
      <c r="GV4" s="1085"/>
      <c r="GW4" s="1085"/>
      <c r="GX4" s="1085"/>
      <c r="GY4" s="1085"/>
      <c r="GZ4" s="1085"/>
      <c r="HA4" s="1073" t="str">
        <f>IFERROR(CONCATENATE("Lateral Forces = ",ROUND(HE3,0)," lbs @ ",ROUND(HF3,1),"° Relative to Blade 1"),"")</f>
        <v/>
      </c>
      <c r="HB4" s="1074"/>
      <c r="HC4" s="1074"/>
      <c r="HD4" s="1074"/>
      <c r="HE4" s="1074"/>
      <c r="HF4" s="1074"/>
      <c r="HG4" s="1074"/>
      <c r="HH4" s="1075"/>
      <c r="HI4" s="1076" t="s">
        <v>0</v>
      </c>
      <c r="HV4" s="847"/>
      <c r="HW4" s="987" t="e">
        <f>CONCATENATE("Yeield Strength of Rock = ",IF(HW6&gt;1000,(ROUNDDOWN(HW6,-3)/1000),""), IF(HW6&gt;1000,",",""),RIGHT(HW6,3)," psi (Tangential Force)")</f>
        <v>#DIV/0!</v>
      </c>
      <c r="HX4" s="987"/>
      <c r="HY4" s="987"/>
      <c r="HZ4" s="987"/>
      <c r="IA4" s="987"/>
      <c r="IB4" s="987"/>
      <c r="IC4" s="987"/>
      <c r="ID4" s="987"/>
      <c r="IE4" s="987"/>
      <c r="IF4" s="844"/>
      <c r="IG4" s="1069" t="s">
        <v>372</v>
      </c>
      <c r="IH4" s="1069"/>
      <c r="II4" s="710" cm="1">
        <f t="array" ref="II4">MAX(MOD(IF($II$9:$II$150="",0,($II$9:$II$150*1000)),100))</f>
        <v>55</v>
      </c>
      <c r="IN4" s="31"/>
      <c r="IO4" s="710"/>
    </row>
    <row r="5" spans="1:285" ht="15" customHeight="1" thickBot="1" x14ac:dyDescent="0.3">
      <c r="A5" s="139">
        <v>0.02</v>
      </c>
      <c r="B5" s="1183" t="str">
        <f>CONCATENATE(B7," ; ",E7," ; ",H7)</f>
        <v>Absolute-Point ; Incremental-Vector Point ; Pocket Info.</v>
      </c>
      <c r="C5" s="1184"/>
      <c r="D5" s="1184"/>
      <c r="E5" s="1184"/>
      <c r="F5" s="1184"/>
      <c r="G5" s="1184"/>
      <c r="H5" s="1184"/>
      <c r="I5" s="1184"/>
      <c r="J5" s="1184"/>
      <c r="K5" s="1185"/>
      <c r="L5" s="813" t="str" cm="1">
        <f t="array" ref="L5">IF(OR(IF(LEFT($K$9:$K$150,4)="&lt;&gt;CS",TRUE,FALSE)),"Wrong CS","")</f>
        <v/>
      </c>
      <c r="M5" s="1192"/>
      <c r="N5" s="1222" t="s">
        <v>5</v>
      </c>
      <c r="O5" s="1223"/>
      <c r="P5" s="1223"/>
      <c r="Q5" s="1275" t="s">
        <v>6</v>
      </c>
      <c r="R5" s="1223"/>
      <c r="S5" s="1261"/>
      <c r="T5" s="1228" t="str">
        <f>CONCATENATE("Relative to ",M8,"'s θ about Z Axis")</f>
        <v>Relative to 1.111's θ about Z Axis</v>
      </c>
      <c r="U5" s="1173"/>
      <c r="V5" s="1252"/>
      <c r="W5" s="1173" t="str">
        <f>CONCATENATE("Relative to ",M8,"'s θ about Z Axis")</f>
        <v>Relative to 1.111's θ about Z Axis</v>
      </c>
      <c r="X5" s="1173"/>
      <c r="Y5" s="1213"/>
      <c r="Z5" s="1203" t="str">
        <f>N5</f>
        <v>Relative to World_CS</v>
      </c>
      <c r="AA5" s="1173"/>
      <c r="AB5" s="1173"/>
      <c r="AC5" s="1173"/>
      <c r="AD5" s="1173"/>
      <c r="AE5" s="1173"/>
      <c r="AF5" s="1173"/>
      <c r="AG5" s="1228" t="str">
        <f>N5</f>
        <v>Relative to World_CS</v>
      </c>
      <c r="AH5" s="1173"/>
      <c r="AI5" s="1173"/>
      <c r="AJ5" s="1174"/>
      <c r="AK5" s="1260" t="s">
        <v>7</v>
      </c>
      <c r="AL5" s="1223"/>
      <c r="AM5" s="1223"/>
      <c r="AN5" s="1223"/>
      <c r="AO5" s="1223"/>
      <c r="AP5" s="1223"/>
      <c r="AQ5" s="1261"/>
      <c r="AS5" s="167">
        <f>(((AS4*12)/60)/AS3)</f>
        <v>0.1</v>
      </c>
      <c r="AT5" s="413" t="s">
        <v>47</v>
      </c>
      <c r="AV5" s="1233"/>
      <c r="AW5" s="991"/>
      <c r="AX5" s="992"/>
      <c r="AY5" s="1177"/>
      <c r="AZ5" s="1101"/>
      <c r="BA5" s="1158"/>
      <c r="BB5" s="1164"/>
      <c r="BC5" s="1172" t="str">
        <f>$W$5</f>
        <v>Relative to 1.111's θ about Z Axis</v>
      </c>
      <c r="BD5" s="1173"/>
      <c r="BE5" s="1174"/>
      <c r="BF5" s="1084" t="s">
        <v>128</v>
      </c>
      <c r="BG5" s="1085"/>
      <c r="BH5" s="1085"/>
      <c r="BI5" s="1085"/>
      <c r="BJ5" s="1085"/>
      <c r="BK5" s="1085"/>
      <c r="BL5" s="1085"/>
      <c r="BM5" s="1085"/>
      <c r="BN5" s="1085"/>
      <c r="BO5" s="1085"/>
      <c r="BP5" s="1085"/>
      <c r="BQ5" s="1085"/>
      <c r="BR5" s="1153"/>
      <c r="BS5" s="1084" t="s">
        <v>130</v>
      </c>
      <c r="BT5" s="1085"/>
      <c r="BU5" s="1085"/>
      <c r="BV5" s="1085"/>
      <c r="BW5" s="1085"/>
      <c r="BX5" s="1085"/>
      <c r="BY5" s="1085"/>
      <c r="BZ5" s="1085"/>
      <c r="CA5" s="1085"/>
      <c r="CB5" s="1085"/>
      <c r="CC5" s="1085"/>
      <c r="CD5" s="1085"/>
      <c r="CE5" s="1153"/>
      <c r="CF5" s="1084" t="s">
        <v>138</v>
      </c>
      <c r="CG5" s="1085"/>
      <c r="CH5" s="1153"/>
      <c r="CI5" s="1084" t="s">
        <v>139</v>
      </c>
      <c r="CJ5" s="1085"/>
      <c r="CK5" s="1085"/>
      <c r="CL5" s="1085"/>
      <c r="CM5" s="1085"/>
      <c r="CN5" s="1153"/>
      <c r="CO5" s="1060" t="s">
        <v>266</v>
      </c>
      <c r="CP5" s="1060" t="s">
        <v>149</v>
      </c>
      <c r="CQ5" s="1094"/>
      <c r="CR5" s="1094"/>
      <c r="CS5" s="1125"/>
      <c r="CT5" s="1094" t="s">
        <v>150</v>
      </c>
      <c r="CU5" s="1148"/>
      <c r="CV5" s="1084" t="s">
        <v>161</v>
      </c>
      <c r="CW5" s="1085"/>
      <c r="CX5" s="1085"/>
      <c r="CY5" s="1085"/>
      <c r="CZ5" s="1085"/>
      <c r="DA5" s="1153"/>
      <c r="DB5" s="1084" t="s">
        <v>162</v>
      </c>
      <c r="DC5" s="1085"/>
      <c r="DD5" s="1085"/>
      <c r="DE5" s="1085"/>
      <c r="DF5" s="1085"/>
      <c r="DG5" s="1085"/>
      <c r="DH5" s="1153"/>
      <c r="DI5" s="1000" t="s">
        <v>172</v>
      </c>
      <c r="DJ5" s="1000"/>
      <c r="DK5" s="1292"/>
      <c r="DL5" s="999" t="s">
        <v>173</v>
      </c>
      <c r="DM5" s="1000"/>
      <c r="DN5" s="1001"/>
      <c r="DO5" s="1294" t="s">
        <v>174</v>
      </c>
      <c r="DP5" s="1295"/>
      <c r="DQ5" s="1295"/>
      <c r="DR5" s="1059" t="s">
        <v>186</v>
      </c>
      <c r="DS5" s="1059"/>
      <c r="DT5" s="1059"/>
      <c r="DU5" s="1059"/>
      <c r="DV5" s="1059"/>
      <c r="DW5" s="1059"/>
      <c r="DX5" s="1060" t="s">
        <v>189</v>
      </c>
      <c r="DY5" s="1063" t="s">
        <v>149</v>
      </c>
      <c r="DZ5" s="1059"/>
      <c r="EA5" s="1059"/>
      <c r="EB5" s="1059"/>
      <c r="EC5" s="1059" t="s">
        <v>150</v>
      </c>
      <c r="ED5" s="1059"/>
      <c r="EE5" s="1055" t="s">
        <v>193</v>
      </c>
      <c r="EF5" s="1055"/>
      <c r="EG5" s="1056"/>
      <c r="EH5" s="1005" t="s">
        <v>194</v>
      </c>
      <c r="EI5" s="1006"/>
      <c r="EJ5" s="1007"/>
      <c r="EK5" s="1059" t="s">
        <v>187</v>
      </c>
      <c r="EL5" s="1060"/>
      <c r="EM5" s="1084" t="s">
        <v>188</v>
      </c>
      <c r="EN5" s="1085"/>
      <c r="EO5" s="1085"/>
      <c r="EP5" s="1085"/>
      <c r="EQ5" s="1085"/>
      <c r="ER5" s="1285"/>
      <c r="ES5" s="1124" t="s">
        <v>201</v>
      </c>
      <c r="ET5" s="1094"/>
      <c r="EU5" s="1125"/>
      <c r="EV5" s="1121" t="s">
        <v>221</v>
      </c>
      <c r="EW5" s="1122"/>
      <c r="EX5" s="1122"/>
      <c r="EY5" s="1123"/>
      <c r="EZ5" s="1037" t="s">
        <v>199</v>
      </c>
      <c r="FA5" s="1138" t="s">
        <v>201</v>
      </c>
      <c r="FB5" s="1029"/>
      <c r="FC5" s="1139"/>
      <c r="FD5" s="1143" t="s">
        <v>221</v>
      </c>
      <c r="FE5" s="1107"/>
      <c r="FF5" s="1108"/>
      <c r="FJ5" s="31" t="s">
        <v>390</v>
      </c>
      <c r="FP5" s="1036"/>
      <c r="FQ5" s="31"/>
      <c r="FR5" s="31"/>
      <c r="FS5" s="31"/>
      <c r="FT5" s="31"/>
      <c r="FZ5" s="1036"/>
      <c r="GJ5" s="1053" t="s">
        <v>262</v>
      </c>
      <c r="GK5" s="1011" t="s">
        <v>260</v>
      </c>
      <c r="GL5" s="1013" t="s">
        <v>110</v>
      </c>
      <c r="GM5" s="1013" t="s">
        <v>111</v>
      </c>
      <c r="GN5" s="1014"/>
      <c r="GO5" s="1087"/>
      <c r="GP5" s="1091"/>
      <c r="GQ5" s="31"/>
      <c r="GR5" s="1047"/>
      <c r="GS5" s="1101" t="s">
        <v>244</v>
      </c>
      <c r="GT5" s="1102"/>
      <c r="GU5" s="1097" t="s">
        <v>245</v>
      </c>
      <c r="GV5" s="1098"/>
      <c r="GW5" s="1099"/>
      <c r="GX5" s="1100"/>
      <c r="GY5" s="1082" t="s">
        <v>107</v>
      </c>
      <c r="GZ5" s="1083"/>
      <c r="HA5" s="1070" t="s">
        <v>244</v>
      </c>
      <c r="HB5" s="1071"/>
      <c r="HC5" s="1071"/>
      <c r="HD5" s="1072"/>
      <c r="HE5" s="1080" t="s">
        <v>245</v>
      </c>
      <c r="HF5" s="1071"/>
      <c r="HG5" s="1071"/>
      <c r="HH5" s="1081"/>
      <c r="HI5" s="1077"/>
      <c r="HM5" s="895"/>
      <c r="HS5" s="895"/>
      <c r="HT5" s="895"/>
      <c r="HU5" s="895"/>
      <c r="HV5" s="896"/>
      <c r="HW5" s="989" t="s">
        <v>245</v>
      </c>
      <c r="HX5" s="990"/>
      <c r="HY5" s="988" t="s">
        <v>388</v>
      </c>
      <c r="HZ5" s="989"/>
      <c r="IA5" s="989"/>
      <c r="IB5" s="990"/>
      <c r="IC5" s="988" t="s">
        <v>254</v>
      </c>
      <c r="ID5" s="989"/>
      <c r="IE5" s="990"/>
      <c r="IF5" s="844"/>
    </row>
    <row r="6" spans="1:285" ht="15" customHeight="1" thickBot="1" x14ac:dyDescent="0.4">
      <c r="B6" s="1186"/>
      <c r="C6" s="1187"/>
      <c r="D6" s="1187"/>
      <c r="E6" s="1187"/>
      <c r="F6" s="1187"/>
      <c r="G6" s="1187"/>
      <c r="H6" s="1187"/>
      <c r="I6" s="1187"/>
      <c r="J6" s="1187"/>
      <c r="K6" s="1188"/>
      <c r="L6" s="1047" t="str" cm="1">
        <f t="array" ref="L6">IF(OR($K$9:$K$150="Inactive"),"Inactive Element","")</f>
        <v/>
      </c>
      <c r="M6" s="1192"/>
      <c r="N6" s="1218" t="s">
        <v>8</v>
      </c>
      <c r="O6" s="1220" t="s">
        <v>9</v>
      </c>
      <c r="P6" s="1273" t="s">
        <v>10</v>
      </c>
      <c r="Q6" s="1224" t="s">
        <v>11</v>
      </c>
      <c r="R6" s="1225"/>
      <c r="S6" s="1214" t="s">
        <v>10</v>
      </c>
      <c r="T6" s="1248" t="str">
        <f>N6</f>
        <v>X</v>
      </c>
      <c r="U6" s="1250" t="str">
        <f>O6</f>
        <v>Y</v>
      </c>
      <c r="V6" s="1209" t="str">
        <f>P6</f>
        <v>Z</v>
      </c>
      <c r="W6" s="1168" t="str">
        <f>$Q$6</f>
        <v>Projected XY</v>
      </c>
      <c r="X6" s="1169"/>
      <c r="Y6" s="1246" t="str">
        <f>$S$6</f>
        <v>Z</v>
      </c>
      <c r="Z6" s="1230" t="s">
        <v>12</v>
      </c>
      <c r="AA6" s="1193"/>
      <c r="AB6" s="1193"/>
      <c r="AC6" s="1231"/>
      <c r="AD6" s="1198" t="s">
        <v>13</v>
      </c>
      <c r="AE6" s="1199"/>
      <c r="AF6" s="1199"/>
      <c r="AG6" s="1229" t="s">
        <v>7</v>
      </c>
      <c r="AH6" s="1199"/>
      <c r="AI6" s="1198" t="s">
        <v>14</v>
      </c>
      <c r="AJ6" s="1217"/>
      <c r="AK6" s="1253" t="str">
        <f>AD6</f>
        <v>Unit Vector</v>
      </c>
      <c r="AL6" s="1254"/>
      <c r="AM6" s="1255"/>
      <c r="AN6" s="34" t="s">
        <v>15</v>
      </c>
      <c r="AO6" s="35" t="s">
        <v>16</v>
      </c>
      <c r="AP6" s="680" t="s">
        <v>17</v>
      </c>
      <c r="AQ6" s="1238" t="s">
        <v>108</v>
      </c>
      <c r="AS6" s="168">
        <f>(AS5/360)</f>
        <v>2.7777777777777778E-4</v>
      </c>
      <c r="AT6" s="414" t="s">
        <v>48</v>
      </c>
      <c r="AV6" s="1233"/>
      <c r="AW6" s="1226" t="s">
        <v>105</v>
      </c>
      <c r="AX6" s="1227"/>
      <c r="AY6" s="188" t="s">
        <v>110</v>
      </c>
      <c r="AZ6" s="1175" t="s">
        <v>111</v>
      </c>
      <c r="BA6" s="1176"/>
      <c r="BB6" s="1165"/>
      <c r="BC6" s="1168" t="str">
        <f>$Q$6</f>
        <v>Projected XY</v>
      </c>
      <c r="BD6" s="1169"/>
      <c r="BE6" s="1170" t="str">
        <f>$S$6</f>
        <v>Z</v>
      </c>
      <c r="BF6" s="1048" t="s">
        <v>125</v>
      </c>
      <c r="BG6" s="982"/>
      <c r="BH6" s="1052"/>
      <c r="BI6" s="981" t="s">
        <v>126</v>
      </c>
      <c r="BJ6" s="982"/>
      <c r="BK6" s="983"/>
      <c r="BL6" s="1049" t="s">
        <v>127</v>
      </c>
      <c r="BM6" s="982"/>
      <c r="BN6" s="1079"/>
      <c r="BO6" s="1048" t="s">
        <v>135</v>
      </c>
      <c r="BP6" s="982"/>
      <c r="BQ6" s="982"/>
      <c r="BR6" s="1079"/>
      <c r="BS6" s="1048" t="s">
        <v>125</v>
      </c>
      <c r="BT6" s="982"/>
      <c r="BU6" s="1052"/>
      <c r="BV6" s="981" t="s">
        <v>126</v>
      </c>
      <c r="BW6" s="982"/>
      <c r="BX6" s="983"/>
      <c r="BY6" s="1049" t="s">
        <v>127</v>
      </c>
      <c r="BZ6" s="982"/>
      <c r="CA6" s="1079"/>
      <c r="CB6" s="1048" t="s">
        <v>135</v>
      </c>
      <c r="CC6" s="982"/>
      <c r="CD6" s="982"/>
      <c r="CE6" s="1079"/>
      <c r="CF6" s="1154" t="s">
        <v>136</v>
      </c>
      <c r="CG6" s="1155"/>
      <c r="CH6" s="1155"/>
      <c r="CI6" s="1288" t="s">
        <v>137</v>
      </c>
      <c r="CJ6" s="1155"/>
      <c r="CK6" s="1289"/>
      <c r="CL6" s="1286" t="s">
        <v>140</v>
      </c>
      <c r="CM6" s="1155"/>
      <c r="CN6" s="1287"/>
      <c r="CO6" s="1062"/>
      <c r="CP6" s="1062"/>
      <c r="CQ6" s="1127"/>
      <c r="CR6" s="1127"/>
      <c r="CS6" s="1128"/>
      <c r="CT6" s="1127"/>
      <c r="CU6" s="1149"/>
      <c r="CV6" s="1216" t="s">
        <v>147</v>
      </c>
      <c r="CW6" s="982"/>
      <c r="CX6" s="983"/>
      <c r="CY6" s="1111" t="s">
        <v>148</v>
      </c>
      <c r="CZ6" s="1104"/>
      <c r="DA6" s="1112"/>
      <c r="DB6" s="1290" t="s">
        <v>175</v>
      </c>
      <c r="DC6" s="1116"/>
      <c r="DD6" s="1117"/>
      <c r="DE6" s="1291" t="s">
        <v>176</v>
      </c>
      <c r="DF6" s="1116"/>
      <c r="DG6" s="1117"/>
      <c r="DH6" s="242" t="s">
        <v>29</v>
      </c>
      <c r="DI6" s="1003"/>
      <c r="DJ6" s="1003"/>
      <c r="DK6" s="1293"/>
      <c r="DL6" s="1002"/>
      <c r="DM6" s="1003"/>
      <c r="DN6" s="1004"/>
      <c r="DO6" s="1296"/>
      <c r="DP6" s="1297"/>
      <c r="DQ6" s="1297"/>
      <c r="DR6" s="1061"/>
      <c r="DS6" s="1061"/>
      <c r="DT6" s="1061"/>
      <c r="DU6" s="1061"/>
      <c r="DV6" s="1061"/>
      <c r="DW6" s="1061"/>
      <c r="DX6" s="1062"/>
      <c r="DY6" s="1064"/>
      <c r="DZ6" s="1061"/>
      <c r="EA6" s="1061"/>
      <c r="EB6" s="1061"/>
      <c r="EC6" s="1061"/>
      <c r="ED6" s="1061"/>
      <c r="EE6" s="1057"/>
      <c r="EF6" s="1057"/>
      <c r="EG6" s="1058"/>
      <c r="EH6" s="1008"/>
      <c r="EI6" s="1009"/>
      <c r="EJ6" s="1010"/>
      <c r="EK6" s="1061"/>
      <c r="EL6" s="1062"/>
      <c r="EM6" s="996" t="s">
        <v>198</v>
      </c>
      <c r="EN6" s="997"/>
      <c r="EO6" s="998"/>
      <c r="EP6" s="1113" t="s">
        <v>197</v>
      </c>
      <c r="EQ6" s="997"/>
      <c r="ER6" s="1114"/>
      <c r="ES6" s="1126"/>
      <c r="ET6" s="1127"/>
      <c r="EU6" s="1128"/>
      <c r="EV6" s="263" t="s">
        <v>220</v>
      </c>
      <c r="EW6" s="1113" t="s">
        <v>201</v>
      </c>
      <c r="EX6" s="997"/>
      <c r="EY6" s="1132"/>
      <c r="EZ6" s="1038"/>
      <c r="FA6" s="1140"/>
      <c r="FB6" s="1141"/>
      <c r="FC6" s="1142"/>
      <c r="FD6" s="996" t="s">
        <v>201</v>
      </c>
      <c r="FE6" s="997"/>
      <c r="FF6" s="1114"/>
      <c r="FG6" s="1135" t="s">
        <v>223</v>
      </c>
      <c r="FH6" s="1136"/>
      <c r="FI6" s="1137"/>
      <c r="FJ6" s="1133" t="s">
        <v>202</v>
      </c>
      <c r="FK6" s="1060" t="s">
        <v>213</v>
      </c>
      <c r="FL6" s="1094"/>
      <c r="FM6" s="1125"/>
      <c r="FN6" s="1031" t="s">
        <v>203</v>
      </c>
      <c r="FO6" s="1040" t="s">
        <v>226</v>
      </c>
      <c r="FP6" s="1026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28" t="s">
        <v>217</v>
      </c>
      <c r="FV6" s="1029"/>
      <c r="FW6" s="1030"/>
      <c r="FX6" s="1031" t="s">
        <v>218</v>
      </c>
      <c r="FY6" s="1040" t="s">
        <v>226</v>
      </c>
      <c r="FZ6" s="1026" t="s">
        <v>224</v>
      </c>
      <c r="GA6" s="1033" t="s">
        <v>237</v>
      </c>
      <c r="GB6" s="318" t="s">
        <v>206</v>
      </c>
      <c r="GC6" s="319" t="s">
        <v>238</v>
      </c>
      <c r="GD6" s="320" t="s">
        <v>225</v>
      </c>
      <c r="GE6" s="1050"/>
      <c r="GF6" s="1056" t="s">
        <v>256</v>
      </c>
      <c r="GG6" s="318" t="s">
        <v>206</v>
      </c>
      <c r="GH6" s="319" t="s">
        <v>238</v>
      </c>
      <c r="GI6" s="320" t="s">
        <v>225</v>
      </c>
      <c r="GJ6" s="1054"/>
      <c r="GK6" s="1012"/>
      <c r="GL6" s="1015"/>
      <c r="GM6" s="1015"/>
      <c r="GN6" s="1016"/>
      <c r="GO6" s="1088" t="s">
        <v>236</v>
      </c>
      <c r="GP6" s="1092" t="s">
        <v>224</v>
      </c>
      <c r="GQ6" s="1094" t="s">
        <v>202</v>
      </c>
      <c r="GR6" s="1047"/>
      <c r="GS6" s="1105" t="s">
        <v>248</v>
      </c>
      <c r="GT6" s="1106"/>
      <c r="GU6" s="1103" t="s">
        <v>247</v>
      </c>
      <c r="GV6" s="1104"/>
      <c r="GW6" s="1104"/>
      <c r="GX6" s="340" t="s">
        <v>106</v>
      </c>
      <c r="GY6" s="981" t="s">
        <v>246</v>
      </c>
      <c r="GZ6" s="1052"/>
      <c r="HA6" s="1115" t="s">
        <v>248</v>
      </c>
      <c r="HB6" s="1116"/>
      <c r="HC6" s="1116"/>
      <c r="HD6" s="1117"/>
      <c r="HE6" s="981" t="s">
        <v>247</v>
      </c>
      <c r="HF6" s="982"/>
      <c r="HG6" s="982"/>
      <c r="HH6" s="1079"/>
      <c r="HI6" s="1077"/>
      <c r="HM6" s="901" t="s">
        <v>392</v>
      </c>
      <c r="HN6" s="1109" t="s">
        <v>393</v>
      </c>
      <c r="HO6" s="1109"/>
      <c r="HP6" s="1109"/>
      <c r="HQ6" s="1109"/>
      <c r="HR6" s="1110"/>
      <c r="HS6" s="991" t="s">
        <v>105</v>
      </c>
      <c r="HT6" s="992"/>
      <c r="HU6" s="992"/>
      <c r="HV6" s="993"/>
      <c r="HW6" s="877" t="e">
        <f>AVERAGE(HW$9:HW$150)</f>
        <v>#DIV/0!</v>
      </c>
      <c r="HX6" s="878">
        <f t="shared" ref="HX6:IE6" si="0">SUM(HX$9:HX$150)</f>
        <v>0</v>
      </c>
      <c r="HY6" s="879">
        <f t="shared" si="0"/>
        <v>0</v>
      </c>
      <c r="HZ6" s="880">
        <f t="shared" si="0"/>
        <v>0</v>
      </c>
      <c r="IA6" s="881">
        <f t="shared" si="0"/>
        <v>0</v>
      </c>
      <c r="IB6" s="882">
        <f t="shared" si="0"/>
        <v>0</v>
      </c>
      <c r="IC6" s="889">
        <f t="shared" si="0"/>
        <v>0</v>
      </c>
      <c r="ID6" s="890">
        <f t="shared" si="0"/>
        <v>0</v>
      </c>
      <c r="IE6" s="890">
        <f t="shared" si="0"/>
        <v>0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04" t="s">
        <v>40</v>
      </c>
      <c r="C7" s="1205"/>
      <c r="D7" s="1206"/>
      <c r="E7" s="1207" t="s">
        <v>41</v>
      </c>
      <c r="F7" s="1205"/>
      <c r="G7" s="1208"/>
      <c r="H7" s="979" t="s">
        <v>98</v>
      </c>
      <c r="I7" s="977"/>
      <c r="J7" s="980"/>
      <c r="K7" s="169"/>
      <c r="L7" s="1047"/>
      <c r="M7" s="1201"/>
      <c r="N7" s="1219"/>
      <c r="O7" s="1221"/>
      <c r="P7" s="1274"/>
      <c r="Q7" s="36" t="s">
        <v>18</v>
      </c>
      <c r="R7" s="2" t="s">
        <v>19</v>
      </c>
      <c r="S7" s="1215"/>
      <c r="T7" s="1249"/>
      <c r="U7" s="1251"/>
      <c r="V7" s="1210"/>
      <c r="W7" s="37" t="str">
        <f>$Q$7</f>
        <v>&lt; θ°</v>
      </c>
      <c r="X7" s="27" t="str">
        <f>$R$7</f>
        <v>r</v>
      </c>
      <c r="Y7" s="124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239"/>
      <c r="AS7" s="1244" t="s">
        <v>54</v>
      </c>
      <c r="AT7" s="1242" t="s">
        <v>53</v>
      </c>
      <c r="AV7" s="1233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039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134"/>
      <c r="FK7" s="358" t="s">
        <v>210</v>
      </c>
      <c r="FL7" s="361" t="s">
        <v>211</v>
      </c>
      <c r="FM7" s="893" t="s">
        <v>212</v>
      </c>
      <c r="FN7" s="1032"/>
      <c r="FO7" s="1041"/>
      <c r="FP7" s="1027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032"/>
      <c r="FY7" s="1041"/>
      <c r="FZ7" s="1027"/>
      <c r="GA7" s="1034"/>
      <c r="GB7" s="212" t="s">
        <v>231</v>
      </c>
      <c r="GC7" s="127" t="s">
        <v>232</v>
      </c>
      <c r="GD7" s="213" t="s">
        <v>233</v>
      </c>
      <c r="GE7" s="1051"/>
      <c r="GF7" s="1144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089"/>
      <c r="GP7" s="1093"/>
      <c r="GQ7" s="1095"/>
      <c r="GR7" s="1096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078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298" t="s">
        <v>394</v>
      </c>
      <c r="HP7" s="1299"/>
      <c r="HQ7" s="1107" t="s">
        <v>390</v>
      </c>
      <c r="HR7" s="1108"/>
      <c r="HS7" s="883" t="s">
        <v>29</v>
      </c>
      <c r="HT7" s="884" t="s">
        <v>110</v>
      </c>
      <c r="HU7" s="994" t="s">
        <v>391</v>
      </c>
      <c r="HV7" s="995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1067" t="s">
        <v>33</v>
      </c>
      <c r="IJ7" s="1065" t="s">
        <v>376</v>
      </c>
      <c r="IK7" s="1048" t="s">
        <v>324</v>
      </c>
      <c r="IL7" s="1049"/>
      <c r="IM7" s="1049"/>
      <c r="IN7" s="982"/>
      <c r="IO7" s="982"/>
      <c r="IP7" s="982"/>
      <c r="IQ7" s="983"/>
      <c r="IR7" s="981" t="s">
        <v>320</v>
      </c>
      <c r="IS7" s="982"/>
      <c r="IT7" s="982"/>
      <c r="IU7" s="982"/>
      <c r="IV7" s="982"/>
      <c r="IW7" s="981" t="s">
        <v>319</v>
      </c>
      <c r="IX7" s="982"/>
      <c r="IY7" s="982"/>
      <c r="IZ7" s="982"/>
      <c r="JA7" s="983"/>
      <c r="JC7" s="725"/>
      <c r="JD7" s="1276" t="s">
        <v>355</v>
      </c>
      <c r="JE7" s="1276"/>
      <c r="JF7" s="1276"/>
      <c r="JG7" s="1277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47"/>
      <c r="M8" s="411" cm="1">
        <f t="array" ref="M8">IF(AND(ISNUMBER('SN#.Run#'!$P$1),COUNT($M$9:$M$150)&gt;='SN#.Run#'!$P$1),INDEX($M$9:$M$150,'SN#.Run#'!$P$1),"")</f>
        <v>1.111</v>
      </c>
      <c r="N8" s="551"/>
      <c r="O8" s="552"/>
      <c r="P8" s="562"/>
      <c r="Q8" s="554">
        <f>IFERROR(INDEX(Q$9:Q$150,MATCH($M$8,$M$9:$M$150,0)),"")</f>
        <v>89.567109154129014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-9.5132361444785873E-2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245"/>
      <c r="AT8" s="1243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068"/>
      <c r="IJ8" s="1066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1.8793853105215121E-2</v>
      </c>
      <c r="C9" s="641">
        <f t="shared" ref="C9:C40" si="3">IFERROR(R164+($A9*-F9),"")</f>
        <v>0.3453898992173598</v>
      </c>
      <c r="D9" s="642">
        <f t="shared" ref="D9:D40" si="4">IFERROR(S164+($A9*-G9),"")</f>
        <v>-0.67944053768576118</v>
      </c>
      <c r="E9" s="643">
        <f t="shared" ref="E9:E40" si="5">T164</f>
        <v>-0.93969265526075596</v>
      </c>
      <c r="F9" s="641">
        <f t="shared" ref="F9:F40" si="6">U164</f>
        <v>-5.9391149678350096E-2</v>
      </c>
      <c r="G9" s="644">
        <f t="shared" ref="G9:G40" si="7">V164</f>
        <v>0.33682399705020138</v>
      </c>
      <c r="H9" s="643">
        <f t="shared" ref="H9:H40" si="8">W164</f>
        <v>0.3125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1.8793853105215121E-2</v>
      </c>
      <c r="O9" s="567">
        <f t="shared" ref="O9:O40" si="14">IF(M9="","",C9)</f>
        <v>0.3453898992173598</v>
      </c>
      <c r="P9" s="568">
        <f t="shared" ref="P9:P40" si="15">IF(M9="","",D9)</f>
        <v>-0.67944053768576118</v>
      </c>
      <c r="Q9" s="526">
        <f>IF(M9="","",IF(DEGREES(ATAN2(N9,O9))&lt;0,DEGREES(ATAN2(N9,O9))+360,IF(DEGREES(ATAN2(N9,O9))&gt;360,DEGREES(ATAN2(N9,O9))-360,DEGREES(ATAN2(N9,O9)))))</f>
        <v>86.885410940371614</v>
      </c>
      <c r="R9" s="567">
        <f>IF(M9="","",SQRT(N9^2+O9^2))</f>
        <v>0.34590084040938435</v>
      </c>
      <c r="S9" s="569">
        <f>IF(M9="","",P9)</f>
        <v>-0.67944053768576118</v>
      </c>
      <c r="T9" s="570">
        <f>IF(M9="","",X9*COS(RADIANS(W9)))</f>
        <v>0.34552203438420487</v>
      </c>
      <c r="U9" s="567">
        <f>IF(M9="","",X9*SIN(RADIANS(W9)))</f>
        <v>-1.6183792847128075E-2</v>
      </c>
      <c r="V9" s="571">
        <f>IF(M9="","",Y9)</f>
        <v>-0.67944053768576118</v>
      </c>
      <c r="W9" s="526">
        <f t="shared" ref="W9:W13" si="16">IF(M9="","",IF(Q9-$Q$8&lt;0,360+Q9-$Q$8,Q9-$Q$8))</f>
        <v>357.31830178624261</v>
      </c>
      <c r="X9" s="572">
        <f>IF(M9="","",R9)</f>
        <v>0.34590084040938435</v>
      </c>
      <c r="Y9" s="573">
        <f t="shared" ref="Y9:Y15" si="17">IF(M9="","",S9)</f>
        <v>-0.67944053768576118</v>
      </c>
      <c r="Z9" s="566">
        <f t="shared" ref="Z9:Z40" si="18">IF(M9="","",-E9)</f>
        <v>0.93969265526075596</v>
      </c>
      <c r="AA9" s="567">
        <f t="shared" ref="AA9:AA40" si="19">IF(M9="","",-F9)</f>
        <v>5.9391149678350096E-2</v>
      </c>
      <c r="AB9" s="567">
        <f t="shared" ref="AB9:AB40" si="20">IF(M9="","",-G9)</f>
        <v>-0.33682399705020138</v>
      </c>
      <c r="AC9" s="571">
        <f>IF(M9="","",SQRT(Z9^2+AA9^2+AB9^2))</f>
        <v>1</v>
      </c>
      <c r="AD9" s="574">
        <f>IF(M9="","",Z9*(1/SQRT(Z9^2+AA9^2+AB9^2)))</f>
        <v>0.93969265526075596</v>
      </c>
      <c r="AE9" s="567">
        <f>IF(M9="","",AA9*(1/SQRT(Z9^2+AA9^2+AB9^2)))</f>
        <v>5.9391149678350096E-2</v>
      </c>
      <c r="AF9" s="568">
        <f>IF(M9="","",AB9*(1/SQRT(Z9^2+AA9^2+AB9^2)))</f>
        <v>-0.33682399705020138</v>
      </c>
      <c r="AG9" s="542">
        <f>IF(M9="","",DEGREES(ATAN2(-AF9,AE9)))</f>
        <v>9.9999985561788396</v>
      </c>
      <c r="AH9" s="543">
        <f>IF(M9="","",DEGREES(ACOS(AD9)))</f>
        <v>19.999994224715774</v>
      </c>
      <c r="AI9" s="526">
        <f>IF(M9="","",DEGREES(-ACOS(-AF9)))</f>
        <v>-70.316507505733455</v>
      </c>
      <c r="AJ9" s="544">
        <f>IF(M9="","",DEGREES(ATAN2(-AE9,AD9)))</f>
        <v>93.616439926334806</v>
      </c>
      <c r="AK9" s="570">
        <f>IF(M9="","",(COS(RADIANS((90-$Q$8)-W9))*AD9)+(-SIN(RADIANS((90-$Q$8)-W9))*AE9))</f>
        <v>0.93507770195121487</v>
      </c>
      <c r="AL9" s="567">
        <f>IF(M9="","",(SIN(RADIANS((90-$Q$8)-W9))*AD9)+(COS(RADIANS((90-$Q$8)-W9))*AE9))</f>
        <v>0.11035980393585884</v>
      </c>
      <c r="AM9" s="569">
        <f>IF(M9="","",AF9)</f>
        <v>-0.33682399705020138</v>
      </c>
      <c r="AN9" s="524">
        <f>IF(M9="","",DEGREES(ATAN2(-AM9,AL9)))</f>
        <v>18.141294048916745</v>
      </c>
      <c r="AO9" s="525">
        <f>IF(ROUND(IF(M9="",0,DEGREES(ACOS(AK9))),4)=90,0,IF(M9="","",DEGREES(ACOS(AK9))))</f>
        <v>20.759298132405352</v>
      </c>
      <c r="AP9" s="722">
        <f>IF(M9="","",DEGREES(ATAN2(AK9,AL9)))</f>
        <v>6.7310289859631576</v>
      </c>
      <c r="AQ9" s="527">
        <f t="shared" ref="AQ9:AQ40" si="21">IF(M9="","",DEGREES(ATAN(($AS$5*SIN(RADIANS(90)))/(($X9*2*PI())-($AS$5*COS(RADIANS(90)))))))</f>
        <v>2.6344196015637551</v>
      </c>
      <c r="AS9" s="931">
        <f>IF(M9="","",W9)</f>
        <v>357.31830178624261</v>
      </c>
      <c r="AT9" s="927">
        <f t="shared" ref="AT9:AT40" si="22">IF(M9="","",Y9+(((AS9-$AS$9)*$AS$6)*-1))</f>
        <v>-0.67944053768576118</v>
      </c>
      <c r="AU9" s="418"/>
      <c r="AV9" s="164" t="str">
        <f t="shared" ref="AV9:AV40" si="23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24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25">IF(ISNUMBER(AV9),Y9+BB9,"")</f>
        <v/>
      </c>
      <c r="BF9" s="4" t="str">
        <f t="shared" ref="BF9:BF40" si="26">IF(ISNUMBER($AV9),N9,"")</f>
        <v/>
      </c>
      <c r="BG9" s="5" t="str">
        <f t="shared" ref="BG9:BG40" si="27">IF(ISNUMBER($AV9),O9,"")</f>
        <v/>
      </c>
      <c r="BH9" s="10" t="str">
        <f t="shared" ref="BH9:BH40" si="28">IF(ISNUMBER($AV9),P9,"")</f>
        <v/>
      </c>
      <c r="BI9" s="9" t="str">
        <f>IF(ISNUMBER($AV9),BF9+0,"")</f>
        <v/>
      </c>
      <c r="BJ9" s="5" t="str">
        <f t="shared" ref="BJ9:BJ40" si="29">IF(ISNUMBER($AV9),BG9+COS(RADIANS($AG9)),"")</f>
        <v/>
      </c>
      <c r="BK9" s="8" t="str">
        <f t="shared" ref="BK9:BK40" si="30">IF(ISNUMBER($AV9),BH9+SIN(RADIANS($AG9)),"")</f>
        <v/>
      </c>
      <c r="BL9" s="173" t="str">
        <f t="shared" ref="BL9:BL40" si="31">IF(ISNUMBER($AV9),BF9+SIN(RADIANS($AH9)),"")</f>
        <v/>
      </c>
      <c r="BM9" s="5" t="str">
        <f t="shared" ref="BM9:BM40" si="32">IF(ISNUMBER($AV9),BG9-SIN(RADIANS($AG9))*COS(RADIANS($AH9)),"")</f>
        <v/>
      </c>
      <c r="BN9" s="6" t="str">
        <f t="shared" ref="BN9:BN40" si="33">IF(ISNUMBER($AV9),BH9+COS(RADIANS($AG9))*COS(RADIANS($AH9)),"")</f>
        <v/>
      </c>
      <c r="BO9" s="4" t="str">
        <f>IF(ISNUMBER($AV9),BJ9*BN9-BM9*BK9-BG9*(BN9-BK9)+BH9*(BM9-BJ9),"")</f>
        <v/>
      </c>
      <c r="BP9" s="5" t="str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36">IF(ISNUMBER($AV9),CI9+($CT9*(CL9-CI9)),"")</f>
        <v/>
      </c>
      <c r="CW9" s="20" t="str">
        <f t="shared" si="36"/>
        <v/>
      </c>
      <c r="CX9" s="25" t="str">
        <f t="shared" si="36"/>
        <v/>
      </c>
      <c r="CY9" s="24" t="str">
        <f t="shared" ref="CY9:DA10" si="37">IF(ISNUMBER($AV9),CI9+($CU9*(CL9-CI9)),"")</f>
        <v/>
      </c>
      <c r="CZ9" s="20" t="str">
        <f t="shared" si="37"/>
        <v/>
      </c>
      <c r="DA9" s="22" t="str">
        <f t="shared" si="37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38">IF(ISNUMBER($AV9),DE9-DB9,"")</f>
        <v/>
      </c>
      <c r="DJ9" s="5" t="str">
        <f t="shared" si="38"/>
        <v/>
      </c>
      <c r="DK9" s="10" t="str">
        <f t="shared" si="38"/>
        <v/>
      </c>
      <c r="DL9" s="9" t="str">
        <f t="shared" ref="DL9:DN9" si="39">IF(ISNUMBER($AV9),CV9-DB9,"")</f>
        <v/>
      </c>
      <c r="DM9" s="173" t="str">
        <f t="shared" si="39"/>
        <v/>
      </c>
      <c r="DN9" s="178" t="str">
        <f t="shared" si="39"/>
        <v/>
      </c>
      <c r="DO9" s="9" t="str">
        <f t="shared" ref="DO9:DQ10" si="40">IF(ISNUMBER($AV9),CY9-CV9,"")</f>
        <v/>
      </c>
      <c r="DP9" s="173" t="str">
        <f t="shared" si="40"/>
        <v/>
      </c>
      <c r="DQ9" s="11" t="str">
        <f t="shared" si="40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41">IF(ISNUMBER($AV9),CV9+DO9*$EC9,"")</f>
        <v/>
      </c>
      <c r="EF9" s="5" t="str">
        <f t="shared" si="41"/>
        <v/>
      </c>
      <c r="EG9" s="10" t="str">
        <f t="shared" si="41"/>
        <v/>
      </c>
      <c r="EH9" s="9" t="str">
        <f t="shared" ref="EH9:EJ10" si="42">IF(ISNUMBER($AV9),CV9+DO9*$ED9,"")</f>
        <v/>
      </c>
      <c r="EI9" s="5" t="str">
        <f t="shared" si="42"/>
        <v/>
      </c>
      <c r="EJ9" s="6" t="str">
        <f t="shared" si="42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43">IF(ISNUMBER($AV9),IF($EK9=TRUE,EE9,IF($EL9=TRUE,EH9,"")),"")</f>
        <v/>
      </c>
      <c r="EN9" s="5" t="str">
        <f t="shared" si="43"/>
        <v/>
      </c>
      <c r="EO9" s="10" t="str">
        <f t="shared" si="43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44">IF(ISNUMBER($AV9),AE9,"")</f>
        <v/>
      </c>
      <c r="EU9" s="273" t="str">
        <f t="shared" ref="EU9:EU40" si="45">IF(ISNUMBER($AV9),AF9,"")</f>
        <v/>
      </c>
      <c r="EV9" s="174" t="str">
        <f t="shared" ref="EV9:EV14" si="46"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4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4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4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50">IF(ISNUMBER($AV9),EX9-FE9,"")</f>
        <v/>
      </c>
      <c r="FI9" s="10" t="str">
        <f t="shared" ref="FI9:FI40" si="5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5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5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5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56">IF(ISNUMBER($AV9),ABS(GB9)/(ABS($GB9)+ABS($GC9)+ABS($GD9)),"")</f>
        <v/>
      </c>
      <c r="GH9" s="304" t="str">
        <f t="shared" ref="GH9:GH40" si="57">IF(ISNUMBER($AV9),ABS(GC9)/(ABS($GB9)+ABS($GC9)+ABS($GD9)),"")</f>
        <v/>
      </c>
      <c r="GI9" s="305" t="str">
        <f t="shared" ref="GI9:GI40" si="58">IF(ISNUMBER($AV9),ABS(GD9)/(ABS($GB9)+ABS($GC9)+ABS($GD9)),"")</f>
        <v/>
      </c>
      <c r="GJ9" s="167" t="str">
        <f>IF(ISNUMBER($AV9),AW9,"")</f>
        <v/>
      </c>
      <c r="GK9" s="174" t="str">
        <f t="shared" ref="GK9:GK53" si="59">IF(ISNUMBER($AV9),SQRT((2*PI()*$GJ9)^2+$AS$5^2)/12,"")</f>
        <v/>
      </c>
      <c r="GL9" s="174" t="str">
        <f t="shared" ref="GL9:GN10" si="60">IF(ISNUMBER($AV9),AY9,"")</f>
        <v/>
      </c>
      <c r="GM9" s="9" t="str">
        <f t="shared" si="60"/>
        <v/>
      </c>
      <c r="GN9" s="281" t="str">
        <f t="shared" si="6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61">IF(ISNUMBER($AV9),GU9/GH9*GG9,"")</f>
        <v/>
      </c>
      <c r="GT9" s="343" t="str">
        <f t="shared" ref="GT9:GT40" si="62">IF(ISNUMBER($AV9),GS9/$GK9,"")</f>
        <v/>
      </c>
      <c r="GU9" s="344" t="str">
        <f t="shared" ref="GU9:GU53" si="63">IF(ISNUMBER($AV9),$GV9*$GK9,"")</f>
        <v/>
      </c>
      <c r="GV9" s="343" t="str">
        <f>IF(ISNUMBER($AV9),GW9*$GL9,"")</f>
        <v/>
      </c>
      <c r="GW9" s="345" t="str">
        <f t="shared" ref="GW9:GW53" si="64">IF(ISNUMBER($AV9),$GW$2,"")</f>
        <v/>
      </c>
      <c r="GX9" s="346" t="str">
        <f t="shared" ref="GX9:GX53" si="65">IF(ISNUMBER($AV9),($GJ9/12)*$GV9,"")</f>
        <v/>
      </c>
      <c r="GY9" s="344" t="str">
        <f t="shared" ref="GY9:GY40" si="66">IF(ISNUMBER($AV9),GU9/GH9*GI9,"")</f>
        <v/>
      </c>
      <c r="GZ9" s="345" t="str">
        <f t="shared" ref="GZ9:GZ40" si="67">IF(ISNUMBER($AV9),GY9/$GK9,"")</f>
        <v/>
      </c>
      <c r="HA9" s="342" t="str">
        <f t="shared" ref="HA9:HA53" si="6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69">IF(ISNUMBER($AV9),$FY9*$GV9,"")</f>
        <v/>
      </c>
      <c r="HF9" s="5" t="str">
        <f t="shared" ref="HF9:HF53" si="7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71">IF(ISNUMBER($AV9),$M9,"")</f>
        <v/>
      </c>
      <c r="HJ9" s="336"/>
      <c r="HK9" s="315">
        <v>1</v>
      </c>
      <c r="HL9" s="347" t="str">
        <f t="shared" ref="HL9:HL40" si="72">IF(ISNUMBER($HS9),INDEX(HI$9:HI$150,MATCH($HS9,$GJ$9:$GJ$150,0)),"")</f>
        <v/>
      </c>
      <c r="HM9" s="903" t="str">
        <f>IF(ISNUMBER($HL9),INDEX(GO$9:GO$150,MATCH($HL9,$AV$9:$AV$150,0)),"")</f>
        <v/>
      </c>
      <c r="HN9" s="904" t="str">
        <f t="shared" ref="HN9:HN40" si="73">IF(ISNUMBER($HL9),INDEX(AO$9:AO$150,MATCH($HL9,$AV$9:$AV$150,0)),"")</f>
        <v/>
      </c>
      <c r="HO9" s="905"/>
      <c r="HP9" s="906"/>
      <c r="HQ9" s="907" t="str">
        <f t="shared" ref="HQ9:HQ40" si="74">IF(ISNUMBER($HL9),INDEX(GQ$9:GQ$150,MATCH($HL9,$AV$9:$AV$150,0)),"")</f>
        <v/>
      </c>
      <c r="HR9" s="908" t="str">
        <f t="shared" ref="HR9:HR40" si="75">IF(ISNUMBER($HL9),INDEX(GP$9:GP$150,MATCH($HL9,$AV$9:$AV$150,0)),"")</f>
        <v/>
      </c>
      <c r="HS9" s="859" t="str">
        <f>IFERROR(SMALL($GJ$9:$GJ$150,$HK9),"")</f>
        <v/>
      </c>
      <c r="HT9" s="873" t="str">
        <f t="shared" ref="HT9:HT40" si="76">IF(ISNUMBER($HL9),INDEX(GL$9:GL$150,MATCH($HL9,$AV$9:$AV$150,0)),"")</f>
        <v/>
      </c>
      <c r="HU9" s="874" t="str">
        <f t="shared" ref="HU9:HU40" si="77">IF(ISNUMBER($HL9),INDEX(GM$9:GM$150,MATCH($HL9,$AV$9:$AV$150,0)),"")</f>
        <v/>
      </c>
      <c r="HV9" s="871" t="str">
        <f t="shared" ref="HV9:HV40" si="78">IF(ISNUMBER($HL9),INDEX(GN$9:GN$150,MATCH($HL9,$AV$9:$AV$150,0)),"")</f>
        <v/>
      </c>
      <c r="HW9" s="860" t="str">
        <f t="shared" ref="HW9:HW40" si="79">IF(ISNUMBER($HL9),INDEX(GW$9:GW$150,MATCH($HL9,$AV$9:$AV$150,0)),"")</f>
        <v/>
      </c>
      <c r="HX9" s="861" t="str">
        <f t="shared" ref="HX9:HX40" si="80">IF(ISNUMBER($HL9),INDEX(GX$9:GX$150,MATCH($HL9,$AV$9:$AV$150,0)),"")</f>
        <v/>
      </c>
      <c r="HY9" s="860" t="str">
        <f t="shared" ref="HY9:HY40" si="81">IF(ISNUMBER($HL9),INDEX(GS$9:GS$150,MATCH($HL9,$AV$9:$AV$150,0)),"")</f>
        <v/>
      </c>
      <c r="HZ9" s="862" t="str">
        <f t="shared" ref="HZ9:HZ40" si="82">IF(ISNUMBER($HL9),INDEX(GU$9:GU$150,MATCH($HL9,$AV$9:$AV$150,0)),"")</f>
        <v/>
      </c>
      <c r="IA9" s="863" t="str">
        <f t="shared" ref="IA9:IA40" si="83">IF(ISNUMBER($HL9),INDEX(GY$9:GY$150,MATCH($HL9,$AV$9:$AV$150,0)),"")</f>
        <v/>
      </c>
      <c r="IB9" s="864" t="str">
        <f t="shared" ref="IB9:IB40" si="84">IF(ISNUMBER($HL9),INDEX(GR$9:GR$150,MATCH($HL9,$AV$9:$AV$150,0)),"")</f>
        <v/>
      </c>
      <c r="IC9" s="840" t="str">
        <f t="shared" ref="IC9:IC40" si="85">IF(ISNUMBER($HL9),INDEX(GT$9:GT$150,MATCH($HL9,$AV$9:$AV$150,0)),"")</f>
        <v/>
      </c>
      <c r="ID9" s="350" t="str">
        <f t="shared" ref="ID9:ID40" si="86">IF(ISNUMBER($HL9),INDEX(GV$9:GV$150,MATCH($HL9,$AV$9:$AV$150,0)),"")</f>
        <v/>
      </c>
      <c r="IE9" s="842" t="str">
        <f t="shared" ref="IE9:IE40" si="87">IF(ISNUMBER($HL9),INDEX(GZ$9:GZ$150,MATCH($HL9,$AV$9:$AV$150,0)),"")</f>
        <v/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1613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49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1.9318516917106877E-2</v>
      </c>
      <c r="C10" s="572">
        <f t="shared" si="3"/>
        <v>1.1177056052965635</v>
      </c>
      <c r="D10" s="576">
        <f t="shared" si="4"/>
        <v>-0.47080054774438357</v>
      </c>
      <c r="E10" s="580">
        <f t="shared" si="5"/>
        <v>-0.96592584585534391</v>
      </c>
      <c r="F10" s="572">
        <f t="shared" si="6"/>
        <v>-4.4943436424344438E-2</v>
      </c>
      <c r="G10" s="579">
        <f t="shared" si="7"/>
        <v>0.25488693146375618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1.9318516917106877E-2</v>
      </c>
      <c r="O10" s="572">
        <f t="shared" si="14"/>
        <v>1.1177056052965635</v>
      </c>
      <c r="P10" s="576">
        <f t="shared" si="15"/>
        <v>-0.47080054774438357</v>
      </c>
      <c r="Q10" s="528">
        <f>IF(M10="","",IF(DEGREES(ATAN2(N10,O10))&lt;0,DEGREES(ATAN2(N10,O10))+360,IF(DEGREES(ATAN2(N10,O10))&gt;360,DEGREES(ATAN2(N10,O10))-360,DEGREES(ATAN2(N10,O10)))))</f>
        <v>89.009793564229739</v>
      </c>
      <c r="R10" s="572">
        <f t="shared" ref="R10:R105" si="101">IF(M10="","",SQRT(N10^2+O10^2))</f>
        <v>1.117872544258617</v>
      </c>
      <c r="S10" s="577">
        <f t="shared" ref="S10:S105" si="102">IF(M10="","",P10)</f>
        <v>-0.47080054774438357</v>
      </c>
      <c r="T10" s="578">
        <f t="shared" ref="T10:T105" si="103">IF(M10="","",X10*COS(RADIANS(W10)))</f>
        <v>1.1178196612702576</v>
      </c>
      <c r="U10" s="572">
        <f t="shared" ref="U10:U105" si="104">IF(M10="","",X10*SIN(RADIANS(W10)))</f>
        <v>-1.0873365848720644E-2</v>
      </c>
      <c r="V10" s="579">
        <f>IF(M10="","",Y10)</f>
        <v>-0.47080054774438357</v>
      </c>
      <c r="W10" s="528">
        <f t="shared" si="16"/>
        <v>359.44268441010075</v>
      </c>
      <c r="X10" s="572">
        <f t="shared" ref="X10:X105" si="105">IF(M10="","",R10)</f>
        <v>1.117872544258617</v>
      </c>
      <c r="Y10" s="573">
        <f t="shared" si="17"/>
        <v>-0.47080054774438357</v>
      </c>
      <c r="Z10" s="575">
        <f>IF(M10="","",-E10)</f>
        <v>0.96592584585534391</v>
      </c>
      <c r="AA10" s="572">
        <f t="shared" si="19"/>
        <v>4.4943436424344438E-2</v>
      </c>
      <c r="AB10" s="572">
        <f t="shared" si="20"/>
        <v>-0.25488693146375618</v>
      </c>
      <c r="AC10" s="579">
        <f t="shared" ref="AC10:AC105" si="106">IF(M10="","",SQRT(Z10^2+AA10^2+AB10^2))</f>
        <v>1</v>
      </c>
      <c r="AD10" s="580">
        <f>IF(M10="","",Z10*(1/SQRT(Z10^2+AA10^2+AB10^2)))</f>
        <v>0.96592584585534391</v>
      </c>
      <c r="AE10" s="572">
        <f t="shared" ref="AE10:AE105" si="107">IF(M10="","",AA10*(1/SQRT(Z10^2+AA10^2+AB10^2)))</f>
        <v>4.4943436424344438E-2</v>
      </c>
      <c r="AF10" s="576">
        <f t="shared" ref="AF10:AF105" si="108">IF(M10="","",AB10*(1/SQRT(Z10^2+AA10^2+AB10^2)))</f>
        <v>-0.25488693146375618</v>
      </c>
      <c r="AG10" s="545">
        <f t="shared" ref="AG10:AG105" si="109">IF(M10="","",DEGREES(ATAN2(-AF10,AE10)))</f>
        <v>9.9999985561788396</v>
      </c>
      <c r="AH10" s="546">
        <f t="shared" ref="AH10:AH105" si="110">IF(M10="","",DEGREES(ACOS(AD10)))</f>
        <v>14.999995668536782</v>
      </c>
      <c r="AI10" s="528">
        <f t="shared" ref="AI10:AI105" si="111">IF(M10="","",DEGREES(-ACOS(-AF10)))</f>
        <v>-75.2331145853706</v>
      </c>
      <c r="AJ10" s="529">
        <f t="shared" ref="AJ10:AJ105" si="112">IF(M10="","",DEGREES(ATAN2(-AE10,AD10)))</f>
        <v>92.663986432041014</v>
      </c>
      <c r="AK10" s="578">
        <f>IF(M10="","",(COS(RADIANS((90-$Q$8)-W10))*AD10)+(-SIN(RADIANS((90-$Q$8)-W10))*AE10))</f>
        <v>0.96500490795388827</v>
      </c>
      <c r="AL10" s="572">
        <f t="shared" ref="AL10:AL105" si="113">IF(M10="","",(SIN(RADIANS((90-$Q$8)-W10))*AD10)+(COS(RADIANS((90-$Q$8)-W10))*AE10))</f>
        <v>6.1629374440265172E-2</v>
      </c>
      <c r="AM10" s="577">
        <f t="shared" ref="AM10:AM105" si="114">IF(M10="","",AF10)</f>
        <v>-0.25488693146375618</v>
      </c>
      <c r="AN10" s="524">
        <f t="shared" ref="AN10:AN105" si="115">IF(M10="","",DEGREES(ATAN2(-AM10,AL10)))</f>
        <v>13.592723484172373</v>
      </c>
      <c r="AO10" s="525">
        <f t="shared" ref="AO10:AO54" si="116">IF(ROUND(IF(M10="",0,DEGREES(ACOS(AK10))),4)=90,0,IF(M10="","",DEGREES(ACOS(AK10))))</f>
        <v>15.202531777354526</v>
      </c>
      <c r="AP10" s="528">
        <f t="shared" ref="AP10:AP105" si="117">IF(M10="","",DEGREES(ATAN2(AK10,AL10)))</f>
        <v>3.6541928678112621</v>
      </c>
      <c r="AQ10" s="529">
        <f t="shared" si="21"/>
        <v>0.81568247764047197</v>
      </c>
      <c r="AS10" s="932">
        <f>IF($M10="","",IF(AND($W10&lt;($AS$9+180),$W10&gt;($AS$9-180)),$W10,IF($W10&gt;($AS$9+180),$W10-360,IF($W10&lt;($AS$9-180),$W10+360,"Error"))))</f>
        <v>359.44268441010075</v>
      </c>
      <c r="AT10" s="928">
        <f t="shared" si="22"/>
        <v>-0.4713906540287886</v>
      </c>
      <c r="AU10" s="418"/>
      <c r="AV10" s="164" t="str">
        <f t="shared" si="23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24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25"/>
        <v/>
      </c>
      <c r="BF10" s="4" t="str">
        <f t="shared" si="26"/>
        <v/>
      </c>
      <c r="BG10" s="5" t="str">
        <f t="shared" si="27"/>
        <v/>
      </c>
      <c r="BH10" s="10" t="str">
        <f t="shared" si="28"/>
        <v/>
      </c>
      <c r="BI10" s="9" t="str">
        <f>IF(ISNUMBER($AV10),BF10+0,"")</f>
        <v/>
      </c>
      <c r="BJ10" s="5" t="str">
        <f t="shared" si="29"/>
        <v/>
      </c>
      <c r="BK10" s="8" t="str">
        <f t="shared" si="30"/>
        <v/>
      </c>
      <c r="BL10" s="173" t="str">
        <f t="shared" si="31"/>
        <v/>
      </c>
      <c r="BM10" s="5" t="str">
        <f t="shared" si="32"/>
        <v/>
      </c>
      <c r="BN10" s="6" t="str">
        <f t="shared" si="33"/>
        <v/>
      </c>
      <c r="BO10" s="4" t="str">
        <f>IF(ISNUMBER($AV10),BJ10*BN10-BM10*BK10-BG10*(BN10-BK10)+BH10*(BM10-BJ10),"")</f>
        <v/>
      </c>
      <c r="BP10" s="5" t="str">
        <f t="shared" si="34"/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8">IF(ISNUMBER($AV10),0,"")</f>
        <v/>
      </c>
      <c r="BT10" s="5" t="str">
        <f t="shared" si="118"/>
        <v/>
      </c>
      <c r="BU10" s="10" t="str">
        <f t="shared" ref="BU10:BU73" si="119">IF(ISNUMBER($AV10),$BE10,"")</f>
        <v/>
      </c>
      <c r="BV10" s="9" t="str">
        <f t="shared" ref="BV10:BV73" si="120">IF(ISNUMBER($AV10),0,"")</f>
        <v/>
      </c>
      <c r="BW10" s="5" t="str">
        <f t="shared" ref="BW10:BW73" si="121">IF(ISNUMBER($AV10),1,"")</f>
        <v/>
      </c>
      <c r="BX10" s="8" t="str">
        <f t="shared" ref="BX10:BX73" si="122">IF(ISNUMBER($AV10),$BE10,"")</f>
        <v/>
      </c>
      <c r="BY10" s="173" t="str">
        <f t="shared" ref="BY10:BY73" si="123">IF(ISNUMBER($AV10),1,"")</f>
        <v/>
      </c>
      <c r="BZ10" s="5" t="str">
        <f t="shared" ref="BZ10:BZ73" si="124">IF(ISNUMBER($AV10),0,"")</f>
        <v/>
      </c>
      <c r="CA10" s="6" t="str">
        <f t="shared" ref="CA10:CA73" si="125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6">IF(ISNUMBER($AV10),0,"")</f>
        <v/>
      </c>
      <c r="CJ10" s="5" t="str">
        <f t="shared" ref="CJ10:CJ73" si="127">IF(ISNUMBER($AV10),(CD10*BR10-BQ10*CE10)/(BQ10*CC10-CD10*BP10),"")</f>
        <v/>
      </c>
      <c r="CK10" s="8" t="str">
        <f t="shared" ref="CK10:CK73" si="128">IF(ISNUMBER($AV10),(CC10*BR10-BP10*CE10)/(-CC10*BQ10+BP10*CD10),"")</f>
        <v/>
      </c>
      <c r="CL10" s="173" t="str">
        <f t="shared" ref="CL10:CL73" si="129">IF(ISNUMBER($AV10),CI10+CF10,"")</f>
        <v/>
      </c>
      <c r="CM10" s="5" t="str">
        <f t="shared" ref="CM10:CM73" si="130">IF(ISNUMBER($AV10),CJ10+CG10,"")</f>
        <v/>
      </c>
      <c r="CN10" s="6" t="str">
        <f t="shared" ref="CN10:CN73" si="131">IF(ISNUMBER($AV10),CK10+CH10,"")</f>
        <v/>
      </c>
      <c r="CO10" s="167" t="str">
        <f t="shared" si="35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36"/>
        <v/>
      </c>
      <c r="CW10" s="5" t="str">
        <f t="shared" si="36"/>
        <v/>
      </c>
      <c r="CX10" s="8" t="str">
        <f t="shared" si="36"/>
        <v/>
      </c>
      <c r="CY10" s="9" t="str">
        <f t="shared" si="37"/>
        <v/>
      </c>
      <c r="CZ10" s="5" t="str">
        <f t="shared" si="37"/>
        <v/>
      </c>
      <c r="DA10" s="6" t="str">
        <f t="shared" si="37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40"/>
        <v/>
      </c>
      <c r="DP10" s="173" t="str">
        <f t="shared" si="40"/>
        <v/>
      </c>
      <c r="DQ10" s="11" t="str">
        <f t="shared" si="40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41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42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43"/>
        <v/>
      </c>
      <c r="EN10" s="5" t="str">
        <f t="shared" si="43"/>
        <v/>
      </c>
      <c r="EO10" s="10" t="str">
        <f t="shared" si="43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32">IF(ISNUMBER($AV10),AD10,"")</f>
        <v/>
      </c>
      <c r="ET10" s="5" t="str">
        <f t="shared" si="44"/>
        <v/>
      </c>
      <c r="EU10" s="10" t="str">
        <f t="shared" si="45"/>
        <v/>
      </c>
      <c r="EV10" s="174" t="str">
        <f t="shared" si="46"/>
        <v/>
      </c>
      <c r="EW10" s="9" t="str">
        <f t="shared" ref="EW10:EW40" si="133">IF(ISNUMBER($AV10),(COS(RADIANS($EV10))*ES10)+(-SIN(RADIANS($EV10))*ET10),"")</f>
        <v/>
      </c>
      <c r="EX10" s="5" t="str">
        <f t="shared" si="4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34">IF(ISNUMBER($AV10),SIN(RADIANS($EP10))*COS(RADIANS($EZ10)),"")</f>
        <v/>
      </c>
      <c r="FB10" s="267" t="str">
        <f t="shared" ref="FB10:FB53" si="135">IF(ISNUMBER($AV10),-1*COS(RADIANS($EP10))*COS(RADIANS($EZ10)),"")</f>
        <v/>
      </c>
      <c r="FC10" s="269" t="str">
        <f t="shared" si="48"/>
        <v/>
      </c>
      <c r="FD10" s="4" t="str">
        <f t="shared" ref="FD10:FD40" si="136">IF(ISNUMBER($AV10),(COS(RADIANS($EV10))*FA10)+(-SIN(RADIANS($EV10))*FB10),"")</f>
        <v/>
      </c>
      <c r="FE10" s="5" t="str">
        <f t="shared" si="4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50"/>
        <v/>
      </c>
      <c r="FI10" s="10" t="str">
        <f t="shared" si="51"/>
        <v/>
      </c>
      <c r="FJ10" s="279" t="str">
        <f>IF(ISNUMBER($AV10),DEGREES(ACOS((2-SQRT((FG10)^2+(FH10)^2+(FI10)^2)^2)/2)),"")</f>
        <v/>
      </c>
      <c r="FK10" s="4" t="str">
        <f t="shared" si="5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53"/>
        <v/>
      </c>
      <c r="FP10" s="277" t="str">
        <f t="shared" si="5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56"/>
        <v/>
      </c>
      <c r="GH10" s="286" t="str">
        <f t="shared" si="57"/>
        <v/>
      </c>
      <c r="GI10" s="281" t="str">
        <f t="shared" si="58"/>
        <v/>
      </c>
      <c r="GJ10" s="167" t="str">
        <f>IF(ISNUMBER($AV10),AW10,"")</f>
        <v/>
      </c>
      <c r="GK10" s="174" t="str">
        <f t="shared" si="59"/>
        <v/>
      </c>
      <c r="GL10" s="174" t="str">
        <f t="shared" si="6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61"/>
        <v/>
      </c>
      <c r="GT10" s="343" t="str">
        <f t="shared" si="62"/>
        <v/>
      </c>
      <c r="GU10" s="344" t="str">
        <f t="shared" si="63"/>
        <v/>
      </c>
      <c r="GV10" s="343" t="str">
        <f>IF(ISNUMBER($AV10),GW10*$GL10,"")</f>
        <v/>
      </c>
      <c r="GW10" s="345" t="str">
        <f t="shared" si="64"/>
        <v/>
      </c>
      <c r="GX10" s="346" t="str">
        <f t="shared" si="65"/>
        <v/>
      </c>
      <c r="GY10" s="344" t="str">
        <f t="shared" si="66"/>
        <v/>
      </c>
      <c r="GZ10" s="345" t="str">
        <f t="shared" si="67"/>
        <v/>
      </c>
      <c r="HA10" s="342" t="str">
        <f t="shared" si="6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69"/>
        <v/>
      </c>
      <c r="HF10" s="5" t="str">
        <f t="shared" si="7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71"/>
        <v/>
      </c>
      <c r="HJ10" s="336"/>
      <c r="HK10" s="310" t="str">
        <f t="shared" ref="HK10:HK41" si="137">IF(ISNUMBER(HS10),HK9+1,"")</f>
        <v/>
      </c>
      <c r="HL10" s="348" t="str">
        <f t="shared" si="72"/>
        <v/>
      </c>
      <c r="HM10" s="909" t="str">
        <f t="shared" ref="HM10:HM40" si="138">IF(ISNUMBER($HL10),INDEX(GO$9:GO$150,MATCH($HL10,$AV$9:$AV$150,0)),"")</f>
        <v/>
      </c>
      <c r="HN10" s="910" t="str">
        <f t="shared" si="73"/>
        <v/>
      </c>
      <c r="HO10" s="911"/>
      <c r="HP10" s="912"/>
      <c r="HQ10" s="910" t="str">
        <f t="shared" si="74"/>
        <v/>
      </c>
      <c r="HR10" s="913" t="str">
        <f t="shared" si="75"/>
        <v/>
      </c>
      <c r="HS10" s="865" t="str">
        <f>IFERROR(SMALL($GJ$9:$GJ$150,($HK9+1)),"")</f>
        <v/>
      </c>
      <c r="HT10" s="875" t="str">
        <f t="shared" si="76"/>
        <v/>
      </c>
      <c r="HU10" s="876" t="str">
        <f t="shared" si="77"/>
        <v/>
      </c>
      <c r="HV10" s="872" t="str">
        <f t="shared" si="78"/>
        <v/>
      </c>
      <c r="HW10" s="866" t="str">
        <f t="shared" si="79"/>
        <v/>
      </c>
      <c r="HX10" s="867" t="str">
        <f t="shared" si="80"/>
        <v/>
      </c>
      <c r="HY10" s="866" t="str">
        <f t="shared" si="81"/>
        <v/>
      </c>
      <c r="HZ10" s="868" t="str">
        <f t="shared" si="82"/>
        <v/>
      </c>
      <c r="IA10" s="869" t="str">
        <f t="shared" si="83"/>
        <v/>
      </c>
      <c r="IB10" s="870" t="str">
        <f t="shared" si="84"/>
        <v/>
      </c>
      <c r="IC10" s="841" t="str">
        <f t="shared" si="85"/>
        <v/>
      </c>
      <c r="ID10" s="351" t="str">
        <f t="shared" si="86"/>
        <v/>
      </c>
      <c r="IE10" s="843" t="str">
        <f t="shared" si="87"/>
        <v/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1613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>
        <v>1313</v>
      </c>
      <c r="JD10" s="728" cm="1">
        <f t="array" ref="JD10">IF($JC10="","",COUNT(IF(IF($IK$9:$IK$150="",$IL$9:$IL$150,"")=$JC10,$II$9:$II$150,"")))</f>
        <v>6</v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1.9318516917106874E-2</v>
      </c>
      <c r="C11" s="572">
        <f t="shared" si="3"/>
        <v>1.8450099923900107</v>
      </c>
      <c r="D11" s="576">
        <f t="shared" si="4"/>
        <v>-0.27589937210226512</v>
      </c>
      <c r="E11" s="580">
        <f t="shared" si="5"/>
        <v>-0.96592584585534369</v>
      </c>
      <c r="F11" s="572">
        <f t="shared" si="6"/>
        <v>-4.4943436424344438E-2</v>
      </c>
      <c r="G11" s="579">
        <f t="shared" si="7"/>
        <v>0.25488693146375646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1.9318516917106874E-2</v>
      </c>
      <c r="O11" s="572">
        <f t="shared" si="14"/>
        <v>1.8450099923900107</v>
      </c>
      <c r="P11" s="576">
        <f t="shared" si="15"/>
        <v>-0.27589937210226512</v>
      </c>
      <c r="Q11" s="528">
        <f t="shared" ref="Q11:Q73" si="140">IF(M11="","",IF(DEGREES(ATAN2(N11,O11))&lt;0,DEGREES(ATAN2(N11,O11))+360,IF(DEGREES(ATAN2(N11,O11))&gt;360,DEGREES(ATAN2(N11,O11))-360,DEGREES(ATAN2(N11,O11)))))</f>
        <v>89.400095911458934</v>
      </c>
      <c r="R11" s="572">
        <f t="shared" si="101"/>
        <v>1.8451111286626787</v>
      </c>
      <c r="S11" s="577">
        <f t="shared" si="102"/>
        <v>-0.27589937210226512</v>
      </c>
      <c r="T11" s="578">
        <f t="shared" si="103"/>
        <v>1.8451032898772488</v>
      </c>
      <c r="U11" s="572">
        <f t="shared" si="104"/>
        <v>-5.3783639721748785E-3</v>
      </c>
      <c r="V11" s="579">
        <f t="shared" ref="V11:V105" si="141">IF(M11="","",Y11)</f>
        <v>-0.27589937210226512</v>
      </c>
      <c r="W11" s="528">
        <f t="shared" si="16"/>
        <v>359.83298675732993</v>
      </c>
      <c r="X11" s="572">
        <f>IF(M11="","",R11)</f>
        <v>1.8451111286626787</v>
      </c>
      <c r="Y11" s="573">
        <f t="shared" si="17"/>
        <v>-0.27589937210226512</v>
      </c>
      <c r="Z11" s="575">
        <f t="shared" si="18"/>
        <v>0.96592584585534369</v>
      </c>
      <c r="AA11" s="572">
        <f t="shared" si="19"/>
        <v>4.4943436424344438E-2</v>
      </c>
      <c r="AB11" s="572">
        <f t="shared" si="20"/>
        <v>-0.25488693146375646</v>
      </c>
      <c r="AC11" s="579">
        <f t="shared" si="106"/>
        <v>1</v>
      </c>
      <c r="AD11" s="580">
        <f t="shared" ref="AD11:AD105" si="142">IF(M11="","",Z11*(1/SQRT(Z11^2+AA11^2+AB11^2)))</f>
        <v>0.96592584585534369</v>
      </c>
      <c r="AE11" s="572">
        <f t="shared" si="107"/>
        <v>4.4943436424344438E-2</v>
      </c>
      <c r="AF11" s="576">
        <f t="shared" si="108"/>
        <v>-0.25488693146375646</v>
      </c>
      <c r="AG11" s="545">
        <f>IF(M11="","",DEGREES(ATAN2(-AF11,AE11)))</f>
        <v>9.9999985561788289</v>
      </c>
      <c r="AH11" s="546">
        <f t="shared" si="110"/>
        <v>14.999995668536833</v>
      </c>
      <c r="AI11" s="528">
        <f t="shared" si="111"/>
        <v>-75.233114585370586</v>
      </c>
      <c r="AJ11" s="529">
        <f t="shared" si="112"/>
        <v>92.663986432041014</v>
      </c>
      <c r="AK11" s="578">
        <f>IF(M11="","",(COS(RADIANS((90-$Q$8)-W11))*AD11)+(-SIN(RADIANS((90-$Q$8)-W11))*AE11))</f>
        <v>0.96540233772534811</v>
      </c>
      <c r="AL11" s="572">
        <f t="shared" si="113"/>
        <v>5.5054323022111176E-2</v>
      </c>
      <c r="AM11" s="577">
        <f t="shared" si="114"/>
        <v>-0.25488693146375646</v>
      </c>
      <c r="AN11" s="524">
        <f>IF(M11="","",DEGREES(ATAN2(-AM11,AL11)))</f>
        <v>12.188363844259069</v>
      </c>
      <c r="AO11" s="525">
        <f>IF(ROUND(IF(M11="",0,DEGREES(ACOS(AK11))),4)=90,0,IF(M11="","",DEGREES(ACOS(AK11))))</f>
        <v>15.1154526663362</v>
      </c>
      <c r="AP11" s="528">
        <f t="shared" si="117"/>
        <v>3.2638905205820694</v>
      </c>
      <c r="AQ11" s="529">
        <f>IF(M11="","",DEGREES(ATAN(($AS$5*SIN(RADIANS(90)))/(($X11*2*PI())-($AS$5*COS(RADIANS(90)))))))</f>
        <v>0.49420765154865964</v>
      </c>
      <c r="AS11" s="932">
        <f t="shared" ref="AS11:AS42" si="143">IF(G11="","",IF(AND(W11&lt;(AS10+180),W11&gt;(AS10-180)),W11,IF(W11&gt;(AS10+180),W11-360,IF(W11&lt;(AS10-180),W11+360,"Error"))))</f>
        <v>359.83298675732993</v>
      </c>
      <c r="AT11" s="928">
        <f t="shared" si="22"/>
        <v>-0.27659789570534493</v>
      </c>
      <c r="AU11" s="418"/>
      <c r="AV11" s="164" t="str">
        <f t="shared" si="23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4">IF(ISNUMBER(AV11),$AY11*SQRT((2*PI()*$AW11)^2+$AS$5^2),"")</f>
        <v/>
      </c>
      <c r="BA11" s="296" t="str">
        <f t="shared" si="24"/>
        <v/>
      </c>
      <c r="BB11" s="291" t="str">
        <f t="shared" ref="BB11:BB73" si="145">IF(ISNUMBER($AV11),$AX11-($AT11+$AS$5),"")</f>
        <v/>
      </c>
      <c r="BC11" s="9"/>
      <c r="BD11" s="5" t="str">
        <f t="shared" ref="BD11:BD73" si="146">IF(ISNUMBER(AV11),AW11,"")</f>
        <v/>
      </c>
      <c r="BE11" s="6" t="str">
        <f t="shared" si="25"/>
        <v/>
      </c>
      <c r="BF11" s="4" t="str">
        <f t="shared" si="26"/>
        <v/>
      </c>
      <c r="BG11" s="5" t="str">
        <f t="shared" si="27"/>
        <v/>
      </c>
      <c r="BH11" s="10" t="str">
        <f t="shared" si="28"/>
        <v/>
      </c>
      <c r="BI11" s="9" t="str">
        <f t="shared" ref="BI11:BI74" si="147">IF(ISNUMBER($AV11),BF11+0,"")</f>
        <v/>
      </c>
      <c r="BJ11" s="5" t="str">
        <f t="shared" si="29"/>
        <v/>
      </c>
      <c r="BK11" s="8" t="str">
        <f t="shared" si="30"/>
        <v/>
      </c>
      <c r="BL11" s="173" t="str">
        <f t="shared" si="31"/>
        <v/>
      </c>
      <c r="BM11" s="5" t="str">
        <f t="shared" si="32"/>
        <v/>
      </c>
      <c r="BN11" s="6" t="str">
        <f t="shared" si="33"/>
        <v/>
      </c>
      <c r="BO11" s="4" t="str">
        <f t="shared" ref="BO11:BO74" si="148">IF(ISNUMBER($AV11),BJ11*BN11-BM11*BK11-BG11*(BN11-BK11)+BH11*(BM11-BJ11),"")</f>
        <v/>
      </c>
      <c r="BP11" s="5" t="str">
        <f>IF(IF(ISNUMBER($AV11),BF11*(BN11-BK11)-(BI11*BN11-BL11*BK11)+BH11*(BI11-BL11),"")=0,IF(ISNUMBER($AV11),BF11*(BN11-BK11)-(BI11*BN11-BL11*BK11)+BH11*(BI11-BL11),"")+0.00001,IF(ISNUMBER($AV11),BF11*(BN11-BK11)-(BI11*BN11-BL11*BK11)+BH11*(BI11-BL11),""))</f>
        <v/>
      </c>
      <c r="BQ11" s="5" t="str">
        <f t="shared" ref="BQ11:BQ74" si="149">IF(ISNUMBER($AV11),BF11*(BJ11-BM11)-BG11*(BI11-BL11)+(BI11*BM11-BL11*BJ11),"")</f>
        <v/>
      </c>
      <c r="BR11" s="6" t="str">
        <f t="shared" ref="BR11:BR74" si="150">IF(ISNUMBER($AV11),-(BF11*(BJ11*BN11-BM11*BK11)-BG11*(BI11*BN11-BL11*BK11)+BH11*(BI11*BM11-BL11*BJ11)),"")</f>
        <v/>
      </c>
      <c r="BS11" s="4" t="str">
        <f t="shared" si="118"/>
        <v/>
      </c>
      <c r="BT11" s="5" t="str">
        <f t="shared" si="118"/>
        <v/>
      </c>
      <c r="BU11" s="10" t="str">
        <f t="shared" si="119"/>
        <v/>
      </c>
      <c r="BV11" s="9" t="str">
        <f t="shared" si="120"/>
        <v/>
      </c>
      <c r="BW11" s="5" t="str">
        <f t="shared" si="121"/>
        <v/>
      </c>
      <c r="BX11" s="8" t="str">
        <f t="shared" si="122"/>
        <v/>
      </c>
      <c r="BY11" s="173" t="str">
        <f t="shared" si="123"/>
        <v/>
      </c>
      <c r="BZ11" s="5" t="str">
        <f t="shared" si="124"/>
        <v/>
      </c>
      <c r="CA11" s="6" t="str">
        <f t="shared" si="125"/>
        <v/>
      </c>
      <c r="CB11" s="4" t="str">
        <f t="shared" ref="CB11:CB74" si="151">IF(ISNUMBER($AV11),BW11*CA11-BZ11*BX11-BT11*(CA11-BX11)+BU11*(BZ11-BW11),"")</f>
        <v/>
      </c>
      <c r="CC11" s="5" t="str">
        <f t="shared" ref="CC11:CC74" si="152">IF(ISNUMBER($AV11),BS11*(CA11-BX11)-(BV11*CA11-BY11*BX11)+BU11*(BV11-BY11),"")</f>
        <v/>
      </c>
      <c r="CD11" s="5" t="str">
        <f t="shared" ref="CD11:CD74" si="153">IF(ISNUMBER($AV11),BS11*(BW11-BZ11)-BT11*(BV11-BY11)+(BV11*BZ11-BY11*BW11),"")</f>
        <v/>
      </c>
      <c r="CE11" s="6" t="str">
        <f t="shared" ref="CE11:CE74" si="154">IF(ISNUMBER($AV11),-(BS11*(BW11*CA11-BZ11*BX11)-BT11*(BV11*CA11-BY11*BX11)+BU11*(BV11*BZ11-BY11*BW11)),"")</f>
        <v/>
      </c>
      <c r="CF11" s="4" t="str">
        <f t="shared" ref="CF11:CF74" si="155">IF(ISNUMBER($AV11),(BP11*CD11)-(BQ11*CC11),"")</f>
        <v/>
      </c>
      <c r="CG11" s="5" t="str">
        <f t="shared" ref="CG11:CG74" si="156">IF(ISNUMBER($AV11),(BQ11*CB11)-(BO11*CD11),"")</f>
        <v/>
      </c>
      <c r="CH11" s="5" t="str">
        <f t="shared" ref="CH11:CH74" si="157">IF(ISNUMBER($AV11),(BO11*CC11)-(BP11*CB11),"")</f>
        <v/>
      </c>
      <c r="CI11" s="4" t="str">
        <f t="shared" si="126"/>
        <v/>
      </c>
      <c r="CJ11" s="5" t="str">
        <f t="shared" si="127"/>
        <v/>
      </c>
      <c r="CK11" s="8" t="str">
        <f t="shared" si="128"/>
        <v/>
      </c>
      <c r="CL11" s="173" t="str">
        <f t="shared" si="129"/>
        <v/>
      </c>
      <c r="CM11" s="5" t="str">
        <f t="shared" si="130"/>
        <v/>
      </c>
      <c r="CN11" s="6" t="str">
        <f t="shared" si="131"/>
        <v/>
      </c>
      <c r="CO11" s="167" t="str">
        <f t="shared" si="35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58">IF(ISNUMBER($AV11),BF11^2+BG11^2+BH11^2+CI11^2+CJ11^2+CK11^2-2*(BF11*CI11+BG11*CJ11+BH11*CK11)-CO11^2,"")</f>
        <v/>
      </c>
      <c r="CS11" s="8" t="str">
        <f t="shared" ref="CS11:CS74" si="159">IF(ISNUMBER($AV11),CQ11^2-(4*CP11*CR11),"")</f>
        <v/>
      </c>
      <c r="CT11" s="9" t="str">
        <f t="shared" ref="CT11:CT74" si="160">IF(ISNUMBER($AV11),(-CQ11+SQRT(CS11))/(CP11*2),"")</f>
        <v/>
      </c>
      <c r="CU11" s="6" t="str">
        <f t="shared" ref="CU11:CU74" si="161">IF(ISNUMBER($AV11),(-CQ11-SQRT(CS11))/(CP11*2),"")</f>
        <v/>
      </c>
      <c r="CV11" s="4" t="str">
        <f>IF(ISNUMBER($AV11),CI11+($CT11*(CL11-CI11)),"")</f>
        <v/>
      </c>
      <c r="CW11" s="5" t="str">
        <f t="shared" ref="CW11:CW74" si="162">IF(ISNUMBER($AV11),CJ11+($CT11*(CM11-CJ11)),"")</f>
        <v/>
      </c>
      <c r="CX11" s="8" t="str">
        <f t="shared" ref="CX11:CX74" si="163">IF(ISNUMBER($AV11),CK11+($CT11*(CN11-CK11)),"")</f>
        <v/>
      </c>
      <c r="CY11" s="9" t="str">
        <f t="shared" ref="CY11:CY74" si="164">IF(ISNUMBER($AV11),CI11+($CU11*(CL11-CI11)),"")</f>
        <v/>
      </c>
      <c r="CZ11" s="5" t="str">
        <f t="shared" ref="CZ11:CZ74" si="165">IF(ISNUMBER($AV11),CJ11+($CU11*(CM11-CJ11)),"")</f>
        <v/>
      </c>
      <c r="DA11" s="6" t="str">
        <f t="shared" ref="DA11:DA74" si="166">IF(ISNUMBER($AV11),CK11+($CU11*(CN11-CK11)),"")</f>
        <v/>
      </c>
      <c r="DB11" s="4" t="str">
        <f t="shared" ref="DB11:DC42" si="167">IF(ISNUMBER($AV11),0,"")</f>
        <v/>
      </c>
      <c r="DC11" s="5" t="str">
        <f t="shared" si="167"/>
        <v/>
      </c>
      <c r="DD11" s="10" t="str">
        <f t="shared" ref="DD11:DD74" si="168">IF(ISNUMBER($AV11),-10,"")</f>
        <v/>
      </c>
      <c r="DE11" s="9" t="str">
        <f t="shared" ref="DE11:DF42" si="169">IF(ISNUMBER($AV11),0,"")</f>
        <v/>
      </c>
      <c r="DF11" s="5" t="str">
        <f t="shared" si="169"/>
        <v/>
      </c>
      <c r="DG11" s="10" t="str">
        <f t="shared" ref="DG11:DG74" si="170">IF(ISNUMBER($AV11),10,"")</f>
        <v/>
      </c>
      <c r="DH11" s="70" t="str">
        <f t="shared" ref="DH11:DH74" si="171">IF(ISNUMBER($AV11),BD11,"")</f>
        <v/>
      </c>
      <c r="DI11" s="4" t="str">
        <f t="shared" ref="DI11:DI74" si="172">IF(ISNUMBER($AV11),DE11-DB11,"")</f>
        <v/>
      </c>
      <c r="DJ11" s="5" t="str">
        <f t="shared" ref="DJ11:DJ74" si="173">IF(ISNUMBER($AV11),DF11-DC11,"")</f>
        <v/>
      </c>
      <c r="DK11" s="10" t="str">
        <f t="shared" ref="DK11:DK74" si="174">IF(ISNUMBER($AV11),DG11-DD11,"")</f>
        <v/>
      </c>
      <c r="DL11" s="9" t="str">
        <f t="shared" ref="DL11:DL74" si="175">IF(ISNUMBER($AV11),CV11-DB11,"")</f>
        <v/>
      </c>
      <c r="DM11" s="173" t="str">
        <f t="shared" ref="DM11:DM74" si="176">IF(ISNUMBER($AV11),CW11-DC11,"")</f>
        <v/>
      </c>
      <c r="DN11" s="178" t="str">
        <f t="shared" ref="DN11:DN74" si="177">IF(ISNUMBER($AV11),CX11-DD11,"")</f>
        <v/>
      </c>
      <c r="DO11" s="9" t="str">
        <f t="shared" ref="DO11:DO74" si="178">IF(ISNUMBER($AV11),CY11-CV11,"")</f>
        <v/>
      </c>
      <c r="DP11" s="173" t="str">
        <f t="shared" ref="DP11:DP74" si="179">IF(ISNUMBER($AV11),CZ11-CW11,"")</f>
        <v/>
      </c>
      <c r="DQ11" s="11" t="str">
        <f t="shared" ref="DQ11:DQ74" si="180">IF(ISNUMBER($AV11),DA11-CX11,"")</f>
        <v/>
      </c>
      <c r="DR11" s="173" t="str">
        <f t="shared" ref="DR11:DR74" si="181">IF(ISNUMBER($AV11),SUMPRODUCT(DI11:DK11,DL11:DN11),"")</f>
        <v/>
      </c>
      <c r="DS11" s="5" t="str">
        <f t="shared" ref="DS11:DS74" si="182">IF(ISNUMBER($AV11),SUMPRODUCT(DO11:DQ11,DI11:DK11),"")</f>
        <v/>
      </c>
      <c r="DT11" s="5" t="str">
        <f t="shared" ref="DT11:DT74" si="183">IF(ISNUMBER($AV11),SUMPRODUCT(DI11:DK11,DI11:DK11),"")</f>
        <v/>
      </c>
      <c r="DU11" s="5" t="str">
        <f t="shared" ref="DU11:DU74" si="184">IF(ISNUMBER($AV11),SUMPRODUCT(DO11:DQ11,DO11:DQ11),"")</f>
        <v/>
      </c>
      <c r="DV11" s="5" t="str">
        <f t="shared" ref="DV11:DV74" si="185">IF(ISNUMBER($AV11),SUMPRODUCT(DL11:DN11,DO11:DQ11),"")</f>
        <v/>
      </c>
      <c r="DW11" s="5" t="str">
        <f t="shared" ref="DW11:DW74" si="186">IF(ISNUMBER($AV11),SUMPRODUCT(DL11:DN11,DL11:DN11),"")</f>
        <v/>
      </c>
      <c r="DX11" s="167" t="str">
        <f t="shared" ref="DX11:DX74" si="187">IF(ISNUMBER($AV11),DW11-DH11*DH11,"")</f>
        <v/>
      </c>
      <c r="DY11" s="9" t="str">
        <f t="shared" ref="DY11:DY74" si="188">IF(ISNUMBER($AV11),DT11*DU11-DS11*DS11,"")</f>
        <v/>
      </c>
      <c r="DZ11" s="5" t="str">
        <f t="shared" ref="DZ11:DZ74" si="189">IF(ISNUMBER($AV11),DT11*DV11-DS11*DR11,"")</f>
        <v/>
      </c>
      <c r="EA11" s="10" t="str">
        <f t="shared" ref="EA11:EA74" si="190">IF(ISNUMBER($AV11),DT11*DX11-DR11*DR11,"")</f>
        <v/>
      </c>
      <c r="EB11" s="6" t="str">
        <f t="shared" ref="EB11:EB74" si="191">IF(ISNUMBER($AV11),DZ11*DZ11-DY11*EA11,"")</f>
        <v/>
      </c>
      <c r="EC11" s="173" t="str">
        <f t="shared" ref="EC11:EC74" si="192">IF(ISNUMBER($AV11),(-DZ11+SQRT(DZ11^2-DY11*EA11))/DY11,"")</f>
        <v/>
      </c>
      <c r="ED11" s="5" t="str">
        <f t="shared" ref="ED11:ED74" si="193">IF(ISNUMBER($AV11),(-DZ11-SQRT(DZ11^2-DY11*EA11))/DY11,"")</f>
        <v/>
      </c>
      <c r="EE11" s="4" t="str">
        <f t="shared" ref="EE11:EE74" si="194">IF(ISNUMBER($AV11),CV11+DO11*$EC11,"")</f>
        <v/>
      </c>
      <c r="EF11" s="5" t="str">
        <f t="shared" ref="EF11:EF74" si="195">IF(ISNUMBER($AV11),CW11+DP11*$EC11,"")</f>
        <v/>
      </c>
      <c r="EG11" s="10" t="str">
        <f t="shared" ref="EG11:EG74" si="196">IF(ISNUMBER($AV11),CX11+DQ11*$EC11,"")</f>
        <v/>
      </c>
      <c r="EH11" s="9" t="str">
        <f t="shared" ref="EH11:EH74" si="197">IF(ISNUMBER($AV11),CV11+DO11*$ED11,"")</f>
        <v/>
      </c>
      <c r="EI11" s="5" t="str">
        <f t="shared" ref="EI11:EI74" si="198">IF(ISNUMBER($AV11),CW11+DP11*$ED11,"")</f>
        <v/>
      </c>
      <c r="EJ11" s="6" t="str">
        <f t="shared" ref="EJ11:EJ74" si="199">IF(ISNUMBER($AV11),CX11+DQ11*$ED11,"")</f>
        <v/>
      </c>
      <c r="EK11" s="236" t="str">
        <f t="shared" ref="EK11:EK74" si="200">IF(ISNUMBER($AV11),IF(OR($EC11&lt;0,$EC11&gt;1),FALSE,TRUE),"")</f>
        <v/>
      </c>
      <c r="EL11" s="238" t="str">
        <f t="shared" ref="EL11:EL74" si="201">IF(ISNUMBER($AV11),IF(OR($ED11&lt;0,$ED11&gt;1),FALSE,TRUE),"")</f>
        <v/>
      </c>
      <c r="EM11" s="4" t="str">
        <f t="shared" ref="EM11:EM74" si="202">IF(ISNUMBER($AV11),IF($EK11=TRUE,EE11,IF($EL11=TRUE,EH11,"")),"")</f>
        <v/>
      </c>
      <c r="EN11" s="5" t="str">
        <f t="shared" ref="EN11:EN74" si="203">IF(ISNUMBER($AV11),IF($EK11=TRUE,EF11,IF($EL11=TRUE,EI11,"")),"")</f>
        <v/>
      </c>
      <c r="EO11" s="10" t="str">
        <f t="shared" ref="EO11:EO74" si="204">IF(ISNUMBER($AV11),IF($EK11=TRUE,EG11,IF($EL11=TRUE,EJ11,"")),"")</f>
        <v/>
      </c>
      <c r="EP11" s="9" t="str">
        <f t="shared" ref="EP11:EP74" si="205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06">IF(ISNUMBER($AV11),SQRT(EM11^2+EN11^2),"")</f>
        <v/>
      </c>
      <c r="ER11" s="7" t="str">
        <f t="shared" ref="ER11:ER74" si="207">IF(ISNUMBER($AV11),EO11,"")</f>
        <v/>
      </c>
      <c r="ES11" s="21" t="str">
        <f t="shared" si="132"/>
        <v/>
      </c>
      <c r="ET11" s="5" t="str">
        <f t="shared" si="44"/>
        <v/>
      </c>
      <c r="EU11" s="10" t="str">
        <f t="shared" si="45"/>
        <v/>
      </c>
      <c r="EV11" s="174" t="str">
        <f t="shared" si="46"/>
        <v/>
      </c>
      <c r="EW11" s="9" t="str">
        <f t="shared" si="133"/>
        <v/>
      </c>
      <c r="EX11" s="5" t="str">
        <f t="shared" si="47"/>
        <v/>
      </c>
      <c r="EY11" s="6" t="str">
        <f t="shared" ref="EY11:EY74" si="208">IF(ISNUMBER($AV11),EU11,"")</f>
        <v/>
      </c>
      <c r="EZ11" s="51" t="str">
        <f t="shared" ref="EZ11:EZ74" si="209">IF(ISNUMBER($AV11),DEGREES(ATAN($AS$5/($EQ11*2*PI()))),"")</f>
        <v/>
      </c>
      <c r="FA11" s="266" t="str">
        <f t="shared" si="134"/>
        <v/>
      </c>
      <c r="FB11" s="267" t="str">
        <f t="shared" si="135"/>
        <v/>
      </c>
      <c r="FC11" s="269" t="str">
        <f t="shared" si="48"/>
        <v/>
      </c>
      <c r="FD11" s="4" t="str">
        <f t="shared" si="136"/>
        <v/>
      </c>
      <c r="FE11" s="5" t="str">
        <f t="shared" si="49"/>
        <v/>
      </c>
      <c r="FF11" s="7" t="str">
        <f t="shared" ref="FF11:FF74" si="210">IF(ISNUMBER($AV11),FC11,"")</f>
        <v/>
      </c>
      <c r="FG11" s="173" t="str">
        <f t="shared" ref="FG11:FG40" si="211">IF(ISNUMBER($AV11),EW11-FD11,"")</f>
        <v/>
      </c>
      <c r="FH11" s="5" t="str">
        <f t="shared" si="50"/>
        <v/>
      </c>
      <c r="FI11" s="10" t="str">
        <f t="shared" si="51"/>
        <v/>
      </c>
      <c r="FJ11" s="279" t="str">
        <f t="shared" ref="FJ11:FJ74" si="212">IF(ISNUMBER($AV11),DEGREES(ACOS((2-SQRT((FG11)^2+(FH11)^2+(FI11)^2)^2)/2)),"")</f>
        <v/>
      </c>
      <c r="FK11" s="4" t="str">
        <f t="shared" si="52"/>
        <v/>
      </c>
      <c r="FL11" s="5" t="str">
        <f t="shared" ref="FL11:FL73" si="213">IF(ISNUMBER($AV11),SQRT(FA11^2+FB11^2),"")</f>
        <v/>
      </c>
      <c r="FM11" s="8" t="str">
        <f t="shared" ref="FM11:FM73" si="214">IF(ISNUMBER($AV11),SQRT(FG11^2+FH11^2),"")</f>
        <v/>
      </c>
      <c r="FN11" s="9" t="str">
        <f t="shared" ref="FN11:FN73" si="215">IF(ISNUMBER($AV11),DEGREES(ACOS((FK11^2+FL11^2-FM11^2)/(2*FK11*FL11))),"")</f>
        <v/>
      </c>
      <c r="FO11" s="10" t="str">
        <f t="shared" si="53"/>
        <v/>
      </c>
      <c r="FP11" s="277" t="str">
        <f t="shared" si="54"/>
        <v/>
      </c>
      <c r="FQ11" s="173" t="str">
        <f>IF(ISNUMBER($AV11),SIN(RADIANS(FN11)),"")</f>
        <v/>
      </c>
      <c r="FR11" s="10" t="str">
        <f t="shared" ref="FR11:FR74" si="216">IF(ISNUMBER($AV11),COS(RADIANS(FN11)),"")</f>
        <v/>
      </c>
      <c r="FS11" s="9" t="str">
        <f t="shared" ref="FS11:FS74" si="217">IF(ISNUMBER($AV11),FQ11/(FQ11+FR11),"")</f>
        <v/>
      </c>
      <c r="FT11" s="6" t="str">
        <f t="shared" ref="FT11:FT74" si="218">IF(ISNUMBER($AV11),FR11/(FQ11+FR11),"")</f>
        <v/>
      </c>
      <c r="FU11" s="4" t="str">
        <f t="shared" ref="FU11:FU74" si="219">IF(ISNUMBER($AV11),SQRT(EW11^2+EY11^2),"")</f>
        <v/>
      </c>
      <c r="FV11" s="5" t="str">
        <f t="shared" ref="FV11:FV74" si="220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5"/>
        <v/>
      </c>
      <c r="FZ11" s="277" t="str">
        <f>IF(ISNUMBER($AV11),FX11*FY11,"")</f>
        <v/>
      </c>
      <c r="GA11" s="177" t="str">
        <f t="shared" ref="GA11:GA74" si="221">IF(ISNUMBER($AV11),DEGREES(FZ11*SIN(RADIANS(FU11))),"")</f>
        <v/>
      </c>
      <c r="GB11" s="4" t="str">
        <f t="shared" ref="GB11:GB74" si="222">IF(ISNUMBER($AV11),COS(RADIANS(FP11+90))*COS(RADIANS(FZ11)),"")</f>
        <v/>
      </c>
      <c r="GC11" s="5" t="str">
        <f t="shared" ref="GC11:GC74" si="223">IF(ISNUMBER($AV11),SIN(RADIANS(FP11+90))*COS(RADIANS(FZ11)),"")</f>
        <v/>
      </c>
      <c r="GD11" s="10" t="str">
        <f t="shared" ref="GD11:GD74" si="224">IF(ISNUMBER($AV11),-SIN(RADIANS(FZ11)),"")</f>
        <v/>
      </c>
      <c r="GE11" s="311" t="str">
        <f t="shared" ref="GE11:GE74" si="225">IF(ISNUMBER($AV11),SUM(ABS(GB11),ABS(GC11),ABS(GD11)),"")</f>
        <v/>
      </c>
      <c r="GF11" s="341" t="str">
        <f>IF(ISNUMBER($AV11),1/GE11,"")</f>
        <v/>
      </c>
      <c r="GG11" s="285" t="str">
        <f t="shared" si="56"/>
        <v/>
      </c>
      <c r="GH11" s="286" t="str">
        <f t="shared" si="57"/>
        <v/>
      </c>
      <c r="GI11" s="281" t="str">
        <f t="shared" si="58"/>
        <v/>
      </c>
      <c r="GJ11" s="167" t="str">
        <f t="shared" ref="GJ11:GJ74" si="226">IF(ISNUMBER($AV11),AW11,"")</f>
        <v/>
      </c>
      <c r="GK11" s="174" t="str">
        <f>IF(ISNUMBER($AV11),SQRT((2*PI()*$GJ11)^2+$AS$5^2)/12,"")</f>
        <v/>
      </c>
      <c r="GL11" s="174" t="str">
        <f t="shared" ref="GL11:GL74" si="227">IF(ISNUMBER($AV11),AY11,"")</f>
        <v/>
      </c>
      <c r="GM11" s="9" t="str">
        <f>IF(ISNUMBER($AV11),AZ11,"")</f>
        <v/>
      </c>
      <c r="GN11" s="281" t="str">
        <f t="shared" ref="GN11:GN74" si="228">IF(ISNUMBER($AV11),BA11,"")</f>
        <v/>
      </c>
      <c r="GO11" s="4" t="str">
        <f t="shared" ref="GO11:GO74" si="229">IF(ISNUMBER($AV11),FP11,"")</f>
        <v/>
      </c>
      <c r="GP11" s="8" t="str">
        <f>IF(ISNUMBER($AV11),FZ11,"")</f>
        <v/>
      </c>
      <c r="GQ11" s="177" t="str">
        <f t="shared" ref="GQ11:GQ74" si="230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6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65"/>
        <v/>
      </c>
      <c r="GY11" s="344" t="str">
        <f t="shared" si="66"/>
        <v/>
      </c>
      <c r="GZ11" s="345" t="str">
        <f t="shared" si="67"/>
        <v/>
      </c>
      <c r="HA11" s="342" t="str">
        <f t="shared" si="68"/>
        <v/>
      </c>
      <c r="HB11" s="5" t="str">
        <f t="shared" ref="HB11:HB74" si="231">IF(ISNUMBER($AV11),$EV11,"")</f>
        <v/>
      </c>
      <c r="HC11" s="343" t="str">
        <f t="shared" ref="HC11:HC74" si="232">IF(ISNUMBER($AV11),HA11*COS(RADIANS(HB11)),"")</f>
        <v/>
      </c>
      <c r="HD11" s="345" t="str">
        <f t="shared" ref="HD11:HD74" si="233">IF(ISNUMBER($AV11),HA11*SIN(RADIANS(HB11)),"")</f>
        <v/>
      </c>
      <c r="HE11" s="344" t="str">
        <f t="shared" si="69"/>
        <v/>
      </c>
      <c r="HF11" s="5" t="str">
        <f t="shared" si="70"/>
        <v/>
      </c>
      <c r="HG11" s="343" t="str">
        <f t="shared" ref="HG11:HG74" si="234">IF(ISNUMBER($AV11),HE11*COS(RADIANS(HF11)),"")</f>
        <v/>
      </c>
      <c r="HH11" s="349" t="str">
        <f t="shared" ref="HH11:HH74" si="235">IF(ISNUMBER($AV11),HE11*SIN(RADIANS(HF11)),"")</f>
        <v/>
      </c>
      <c r="HI11" s="317" t="str">
        <f t="shared" si="71"/>
        <v/>
      </c>
      <c r="HJ11" s="336"/>
      <c r="HK11" s="310" t="str">
        <f t="shared" si="137"/>
        <v/>
      </c>
      <c r="HL11" s="348" t="str">
        <f t="shared" si="72"/>
        <v/>
      </c>
      <c r="HM11" s="909" t="str">
        <f>IF(ISNUMBER($HL11),INDEX(GO$9:GO$150,MATCH($HL11,$AV$9:$AV$150,0)),"")</f>
        <v/>
      </c>
      <c r="HN11" s="910" t="str">
        <f t="shared" si="73"/>
        <v/>
      </c>
      <c r="HO11" s="911"/>
      <c r="HP11" s="912"/>
      <c r="HQ11" s="910" t="str">
        <f t="shared" si="74"/>
        <v/>
      </c>
      <c r="HR11" s="913" t="str">
        <f t="shared" si="75"/>
        <v/>
      </c>
      <c r="HS11" s="865" t="str">
        <f>IFERROR(SMALL($GJ$9:$GJ$150,($HK10+1)),"")</f>
        <v/>
      </c>
      <c r="HT11" s="875" t="str">
        <f t="shared" si="76"/>
        <v/>
      </c>
      <c r="HU11" s="876" t="str">
        <f t="shared" si="77"/>
        <v/>
      </c>
      <c r="HV11" s="872" t="str">
        <f t="shared" si="78"/>
        <v/>
      </c>
      <c r="HW11" s="866" t="str">
        <f t="shared" si="79"/>
        <v/>
      </c>
      <c r="HX11" s="867" t="str">
        <f t="shared" si="80"/>
        <v/>
      </c>
      <c r="HY11" s="866" t="str">
        <f t="shared" si="81"/>
        <v/>
      </c>
      <c r="HZ11" s="868" t="str">
        <f t="shared" si="82"/>
        <v/>
      </c>
      <c r="IA11" s="869" t="str">
        <f t="shared" si="83"/>
        <v/>
      </c>
      <c r="IB11" s="870" t="str">
        <f t="shared" si="84"/>
        <v/>
      </c>
      <c r="IC11" s="841" t="str">
        <f t="shared" si="85"/>
        <v/>
      </c>
      <c r="ID11" s="351" t="str">
        <f t="shared" si="86"/>
        <v/>
      </c>
      <c r="IE11" s="843" t="str">
        <f t="shared" si="87"/>
        <v/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1.9300330248867979E-2</v>
      </c>
      <c r="C12" s="572">
        <f t="shared" si="3"/>
        <v>2.5544694127621379</v>
      </c>
      <c r="D12" s="576">
        <f t="shared" si="4"/>
        <v>-9.5132361444785873E-2</v>
      </c>
      <c r="E12" s="580">
        <f t="shared" si="5"/>
        <v>-0.96501651244339892</v>
      </c>
      <c r="F12" s="572">
        <f t="shared" si="6"/>
        <v>-1.7700318061921998E-2</v>
      </c>
      <c r="G12" s="579">
        <f t="shared" si="7"/>
        <v>0.26159095827663092</v>
      </c>
      <c r="H12" s="580">
        <f t="shared" si="8"/>
        <v>0.3125</v>
      </c>
      <c r="I12" s="572">
        <f t="shared" si="9"/>
        <v>0.52</v>
      </c>
      <c r="J12" s="483">
        <f t="shared" si="10"/>
        <v>1.111</v>
      </c>
      <c r="K12" s="806">
        <f t="shared" si="11"/>
        <v>1613</v>
      </c>
      <c r="L12" s="716" t="s">
        <v>357</v>
      </c>
      <c r="M12" s="164">
        <f t="shared" si="12"/>
        <v>1.111</v>
      </c>
      <c r="N12" s="575">
        <f t="shared" si="13"/>
        <v>1.9300330248867979E-2</v>
      </c>
      <c r="O12" s="572">
        <f t="shared" si="14"/>
        <v>2.5544694127621379</v>
      </c>
      <c r="P12" s="576">
        <f t="shared" si="15"/>
        <v>-9.5132361444785873E-2</v>
      </c>
      <c r="Q12" s="528">
        <f>IF(M12="","",IF(DEGREES(ATAN2(N12,O12))&lt;0,DEGREES(ATAN2(N12,O12))+360,IF(DEGREES(ATAN2(N12,O12))&gt;360,DEGREES(ATAN2(N12,O12))-360,DEGREES(ATAN2(N12,O12)))))</f>
        <v>89.567109154129014</v>
      </c>
      <c r="R12" s="572">
        <f t="shared" si="101"/>
        <v>2.5545423236824747</v>
      </c>
      <c r="S12" s="577">
        <f t="shared" si="102"/>
        <v>-9.5132361444785873E-2</v>
      </c>
      <c r="T12" s="578">
        <f>IF(M12="","",X12*COS(RADIANS(W12)))</f>
        <v>2.5545423236824747</v>
      </c>
      <c r="U12" s="572">
        <f t="shared" si="104"/>
        <v>0</v>
      </c>
      <c r="V12" s="579">
        <f t="shared" si="141"/>
        <v>-9.5132361444785873E-2</v>
      </c>
      <c r="W12" s="528">
        <f>IF(M12="","",IF(Q12-$Q$8&lt;0,360+Q12-$Q$8,Q12-$Q$8))</f>
        <v>0</v>
      </c>
      <c r="X12" s="572">
        <f t="shared" si="105"/>
        <v>2.5545423236824747</v>
      </c>
      <c r="Y12" s="573">
        <f t="shared" si="17"/>
        <v>-9.5132361444785873E-2</v>
      </c>
      <c r="Z12" s="575">
        <f t="shared" si="18"/>
        <v>0.96501651244339892</v>
      </c>
      <c r="AA12" s="572">
        <f t="shared" si="19"/>
        <v>1.7700318061921998E-2</v>
      </c>
      <c r="AB12" s="572">
        <f t="shared" si="20"/>
        <v>-0.26159095827663092</v>
      </c>
      <c r="AC12" s="579">
        <f t="shared" si="106"/>
        <v>1</v>
      </c>
      <c r="AD12" s="580">
        <f t="shared" si="142"/>
        <v>0.96501651244339892</v>
      </c>
      <c r="AE12" s="572">
        <f t="shared" si="107"/>
        <v>1.7700318061921998E-2</v>
      </c>
      <c r="AF12" s="576">
        <f t="shared" si="108"/>
        <v>-0.26159095827663092</v>
      </c>
      <c r="AG12" s="545">
        <f t="shared" si="109"/>
        <v>3.8709671830369397</v>
      </c>
      <c r="AH12" s="546">
        <f t="shared" si="110"/>
        <v>15.199996072806668</v>
      </c>
      <c r="AI12" s="528">
        <f t="shared" si="111"/>
        <v>-74.835515059629472</v>
      </c>
      <c r="AJ12" s="529">
        <f t="shared" si="112"/>
        <v>91.050800479419408</v>
      </c>
      <c r="AK12" s="578">
        <f t="shared" ref="AK12:AK105" si="238">IF(M12="","",(COS(RADIANS((90-$Q$8)-W12))*AD12)+(-SIN(RADIANS((90-$Q$8)-W12))*AE12))</f>
        <v>0.96485523806467832</v>
      </c>
      <c r="AL12" s="572">
        <f>IF(M12="","",(SIN(RADIANS((90-$Q$8)-W12))*AD12)+(COS(RADIANS((90-$Q$8)-W12))*AE12))</f>
        <v>2.4990800848850719E-2</v>
      </c>
      <c r="AM12" s="577">
        <f t="shared" si="114"/>
        <v>-0.26159095827663092</v>
      </c>
      <c r="AN12" s="524">
        <f>IF(M12="","",DEGREES(ATAN2(-AM12,AL12)))</f>
        <v>5.4571267998021593</v>
      </c>
      <c r="AO12" s="525">
        <f t="shared" si="116"/>
        <v>15.23519930996278</v>
      </c>
      <c r="AP12" s="528">
        <f t="shared" si="117"/>
        <v>1.4836913252904009</v>
      </c>
      <c r="AQ12" s="529">
        <f t="shared" si="21"/>
        <v>0.35696369007620654</v>
      </c>
      <c r="AS12" s="932">
        <f t="shared" si="143"/>
        <v>360</v>
      </c>
      <c r="AT12" s="928">
        <f>IF(M12="","",Y12+(((AS12-$AS$9)*$AS$6)*-1))</f>
        <v>-9.5877277615274037E-2</v>
      </c>
      <c r="AU12" s="418"/>
      <c r="AV12" s="164" t="str">
        <f t="shared" si="23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4"/>
        <v/>
      </c>
      <c r="BA12" s="296" t="str">
        <f t="shared" si="24"/>
        <v/>
      </c>
      <c r="BB12" s="291" t="str">
        <f t="shared" si="145"/>
        <v/>
      </c>
      <c r="BC12" s="9"/>
      <c r="BD12" s="5" t="str">
        <f t="shared" si="146"/>
        <v/>
      </c>
      <c r="BE12" s="6" t="str">
        <f t="shared" si="25"/>
        <v/>
      </c>
      <c r="BF12" s="4" t="str">
        <f t="shared" si="26"/>
        <v/>
      </c>
      <c r="BG12" s="5" t="str">
        <f t="shared" si="27"/>
        <v/>
      </c>
      <c r="BH12" s="10" t="str">
        <f t="shared" si="28"/>
        <v/>
      </c>
      <c r="BI12" s="9" t="str">
        <f t="shared" si="147"/>
        <v/>
      </c>
      <c r="BJ12" s="5" t="str">
        <f t="shared" si="29"/>
        <v/>
      </c>
      <c r="BK12" s="8" t="str">
        <f t="shared" si="30"/>
        <v/>
      </c>
      <c r="BL12" s="173" t="str">
        <f t="shared" si="31"/>
        <v/>
      </c>
      <c r="BM12" s="5" t="str">
        <f t="shared" si="32"/>
        <v/>
      </c>
      <c r="BN12" s="6" t="str">
        <f t="shared" si="33"/>
        <v/>
      </c>
      <c r="BO12" s="4" t="str">
        <f t="shared" si="148"/>
        <v/>
      </c>
      <c r="BP12" s="5" t="str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/>
      </c>
      <c r="BQ12" s="5" t="str">
        <f t="shared" si="149"/>
        <v/>
      </c>
      <c r="BR12" s="6" t="str">
        <f t="shared" si="150"/>
        <v/>
      </c>
      <c r="BS12" s="4" t="str">
        <f t="shared" si="118"/>
        <v/>
      </c>
      <c r="BT12" s="5" t="str">
        <f t="shared" si="118"/>
        <v/>
      </c>
      <c r="BU12" s="10" t="str">
        <f t="shared" si="119"/>
        <v/>
      </c>
      <c r="BV12" s="9" t="str">
        <f t="shared" si="120"/>
        <v/>
      </c>
      <c r="BW12" s="5" t="str">
        <f t="shared" si="121"/>
        <v/>
      </c>
      <c r="BX12" s="8" t="str">
        <f t="shared" si="122"/>
        <v/>
      </c>
      <c r="BY12" s="173" t="str">
        <f t="shared" si="123"/>
        <v/>
      </c>
      <c r="BZ12" s="5" t="str">
        <f t="shared" si="124"/>
        <v/>
      </c>
      <c r="CA12" s="6" t="str">
        <f t="shared" si="125"/>
        <v/>
      </c>
      <c r="CB12" s="4" t="str">
        <f t="shared" si="151"/>
        <v/>
      </c>
      <c r="CC12" s="5" t="str">
        <f t="shared" si="152"/>
        <v/>
      </c>
      <c r="CD12" s="5" t="str">
        <f t="shared" si="153"/>
        <v/>
      </c>
      <c r="CE12" s="6" t="str">
        <f t="shared" si="154"/>
        <v/>
      </c>
      <c r="CF12" s="4" t="str">
        <f t="shared" si="155"/>
        <v/>
      </c>
      <c r="CG12" s="5" t="str">
        <f t="shared" si="156"/>
        <v/>
      </c>
      <c r="CH12" s="5" t="str">
        <f t="shared" si="157"/>
        <v/>
      </c>
      <c r="CI12" s="4" t="str">
        <f t="shared" si="126"/>
        <v/>
      </c>
      <c r="CJ12" s="5" t="str">
        <f t="shared" si="127"/>
        <v/>
      </c>
      <c r="CK12" s="8" t="str">
        <f t="shared" si="128"/>
        <v/>
      </c>
      <c r="CL12" s="173" t="str">
        <f t="shared" si="129"/>
        <v/>
      </c>
      <c r="CM12" s="5" t="str">
        <f t="shared" si="130"/>
        <v/>
      </c>
      <c r="CN12" s="6" t="str">
        <f t="shared" si="131"/>
        <v/>
      </c>
      <c r="CO12" s="167" t="str">
        <f t="shared" si="35"/>
        <v/>
      </c>
      <c r="CP12" s="4" t="str">
        <f t="shared" ref="CP12:CP74" si="240">IF(ISNUMBER($AV12),(CL12-CI12)^2+(CM12-CJ12)^2+(CN12-CK12)^2,"")</f>
        <v/>
      </c>
      <c r="CQ12" s="5" t="str">
        <f t="shared" ref="CQ12:CQ74" si="241">IF(ISNUMBER($AV12),2*((CL12-CI12)*(CI12-BF12)+(CM12-CJ12)*(CJ12-BG12)+(CN12-CK12)*(CK12-BH12)),"")</f>
        <v/>
      </c>
      <c r="CR12" s="5" t="str">
        <f t="shared" si="158"/>
        <v/>
      </c>
      <c r="CS12" s="8" t="str">
        <f t="shared" si="159"/>
        <v/>
      </c>
      <c r="CT12" s="9" t="str">
        <f t="shared" si="160"/>
        <v/>
      </c>
      <c r="CU12" s="6" t="str">
        <f t="shared" si="161"/>
        <v/>
      </c>
      <c r="CV12" s="4" t="str">
        <f t="shared" ref="CV12:CV74" si="242">IF(ISNUMBER($AV12),CI12+($CT12*(CL12-CI12)),"")</f>
        <v/>
      </c>
      <c r="CW12" s="5" t="str">
        <f t="shared" si="162"/>
        <v/>
      </c>
      <c r="CX12" s="8" t="str">
        <f t="shared" si="163"/>
        <v/>
      </c>
      <c r="CY12" s="9" t="str">
        <f t="shared" si="164"/>
        <v/>
      </c>
      <c r="CZ12" s="5" t="str">
        <f t="shared" si="165"/>
        <v/>
      </c>
      <c r="DA12" s="6" t="str">
        <f t="shared" si="166"/>
        <v/>
      </c>
      <c r="DB12" s="4" t="str">
        <f t="shared" si="167"/>
        <v/>
      </c>
      <c r="DC12" s="5" t="str">
        <f t="shared" si="167"/>
        <v/>
      </c>
      <c r="DD12" s="10" t="str">
        <f t="shared" si="168"/>
        <v/>
      </c>
      <c r="DE12" s="9" t="str">
        <f t="shared" si="169"/>
        <v/>
      </c>
      <c r="DF12" s="5" t="str">
        <f t="shared" si="169"/>
        <v/>
      </c>
      <c r="DG12" s="10" t="str">
        <f t="shared" si="170"/>
        <v/>
      </c>
      <c r="DH12" s="70" t="str">
        <f t="shared" si="171"/>
        <v/>
      </c>
      <c r="DI12" s="4" t="str">
        <f t="shared" si="172"/>
        <v/>
      </c>
      <c r="DJ12" s="5" t="str">
        <f t="shared" si="173"/>
        <v/>
      </c>
      <c r="DK12" s="10" t="str">
        <f t="shared" si="174"/>
        <v/>
      </c>
      <c r="DL12" s="9" t="str">
        <f t="shared" si="175"/>
        <v/>
      </c>
      <c r="DM12" s="173" t="str">
        <f t="shared" si="176"/>
        <v/>
      </c>
      <c r="DN12" s="178" t="str">
        <f t="shared" si="177"/>
        <v/>
      </c>
      <c r="DO12" s="9" t="str">
        <f t="shared" si="178"/>
        <v/>
      </c>
      <c r="DP12" s="173" t="str">
        <f t="shared" si="179"/>
        <v/>
      </c>
      <c r="DQ12" s="11" t="str">
        <f t="shared" si="180"/>
        <v/>
      </c>
      <c r="DR12" s="173" t="str">
        <f t="shared" si="181"/>
        <v/>
      </c>
      <c r="DS12" s="5" t="str">
        <f t="shared" si="182"/>
        <v/>
      </c>
      <c r="DT12" s="5" t="str">
        <f t="shared" si="183"/>
        <v/>
      </c>
      <c r="DU12" s="5" t="str">
        <f t="shared" si="184"/>
        <v/>
      </c>
      <c r="DV12" s="5" t="str">
        <f t="shared" si="185"/>
        <v/>
      </c>
      <c r="DW12" s="5" t="str">
        <f t="shared" si="186"/>
        <v/>
      </c>
      <c r="DX12" s="167" t="str">
        <f t="shared" si="187"/>
        <v/>
      </c>
      <c r="DY12" s="9" t="str">
        <f t="shared" si="188"/>
        <v/>
      </c>
      <c r="DZ12" s="5" t="str">
        <f t="shared" si="189"/>
        <v/>
      </c>
      <c r="EA12" s="10" t="str">
        <f t="shared" si="190"/>
        <v/>
      </c>
      <c r="EB12" s="6" t="str">
        <f t="shared" si="191"/>
        <v/>
      </c>
      <c r="EC12" s="173" t="str">
        <f t="shared" si="192"/>
        <v/>
      </c>
      <c r="ED12" s="5" t="str">
        <f t="shared" si="193"/>
        <v/>
      </c>
      <c r="EE12" s="4" t="str">
        <f t="shared" si="194"/>
        <v/>
      </c>
      <c r="EF12" s="5" t="str">
        <f t="shared" si="195"/>
        <v/>
      </c>
      <c r="EG12" s="10" t="str">
        <f t="shared" si="196"/>
        <v/>
      </c>
      <c r="EH12" s="9" t="str">
        <f t="shared" si="197"/>
        <v/>
      </c>
      <c r="EI12" s="5" t="str">
        <f t="shared" si="198"/>
        <v/>
      </c>
      <c r="EJ12" s="6" t="str">
        <f t="shared" si="199"/>
        <v/>
      </c>
      <c r="EK12" s="236" t="str">
        <f t="shared" si="200"/>
        <v/>
      </c>
      <c r="EL12" s="238" t="str">
        <f t="shared" si="201"/>
        <v/>
      </c>
      <c r="EM12" s="4" t="str">
        <f t="shared" si="202"/>
        <v/>
      </c>
      <c r="EN12" s="5" t="str">
        <f t="shared" si="203"/>
        <v/>
      </c>
      <c r="EO12" s="10" t="str">
        <f t="shared" si="204"/>
        <v/>
      </c>
      <c r="EP12" s="9" t="str">
        <f t="shared" si="205"/>
        <v/>
      </c>
      <c r="EQ12" s="5" t="str">
        <f t="shared" si="206"/>
        <v/>
      </c>
      <c r="ER12" s="7" t="str">
        <f t="shared" si="207"/>
        <v/>
      </c>
      <c r="ES12" s="21" t="str">
        <f t="shared" si="132"/>
        <v/>
      </c>
      <c r="ET12" s="5" t="str">
        <f t="shared" si="44"/>
        <v/>
      </c>
      <c r="EU12" s="10" t="str">
        <f t="shared" si="45"/>
        <v/>
      </c>
      <c r="EV12" s="174" t="str">
        <f t="shared" si="46"/>
        <v/>
      </c>
      <c r="EW12" s="9" t="str">
        <f t="shared" si="133"/>
        <v/>
      </c>
      <c r="EX12" s="5" t="str">
        <f t="shared" si="47"/>
        <v/>
      </c>
      <c r="EY12" s="6" t="str">
        <f t="shared" si="208"/>
        <v/>
      </c>
      <c r="EZ12" s="51" t="str">
        <f t="shared" si="209"/>
        <v/>
      </c>
      <c r="FA12" s="266" t="str">
        <f t="shared" si="134"/>
        <v/>
      </c>
      <c r="FB12" s="267" t="str">
        <f t="shared" si="135"/>
        <v/>
      </c>
      <c r="FC12" s="269" t="str">
        <f t="shared" si="48"/>
        <v/>
      </c>
      <c r="FD12" s="4" t="str">
        <f t="shared" si="136"/>
        <v/>
      </c>
      <c r="FE12" s="5" t="str">
        <f t="shared" si="49"/>
        <v/>
      </c>
      <c r="FF12" s="7" t="str">
        <f t="shared" si="210"/>
        <v/>
      </c>
      <c r="FG12" s="173" t="str">
        <f t="shared" si="211"/>
        <v/>
      </c>
      <c r="FH12" s="5" t="str">
        <f t="shared" si="50"/>
        <v/>
      </c>
      <c r="FI12" s="10" t="str">
        <f t="shared" si="51"/>
        <v/>
      </c>
      <c r="FJ12" s="279" t="str">
        <f t="shared" si="212"/>
        <v/>
      </c>
      <c r="FK12" s="4" t="str">
        <f t="shared" si="52"/>
        <v/>
      </c>
      <c r="FL12" s="5" t="str">
        <f t="shared" si="213"/>
        <v/>
      </c>
      <c r="FM12" s="8" t="str">
        <f t="shared" si="214"/>
        <v/>
      </c>
      <c r="FN12" s="9" t="str">
        <f t="shared" si="215"/>
        <v/>
      </c>
      <c r="FO12" s="10" t="str">
        <f t="shared" si="53"/>
        <v/>
      </c>
      <c r="FP12" s="277" t="str">
        <f t="shared" si="54"/>
        <v/>
      </c>
      <c r="FQ12" s="173" t="str">
        <f t="shared" ref="FQ12:FQ74" si="243">IF(ISNUMBER($AV12),SIN(RADIANS(FN12)),"")</f>
        <v/>
      </c>
      <c r="FR12" s="10" t="str">
        <f t="shared" si="216"/>
        <v/>
      </c>
      <c r="FS12" s="9" t="str">
        <f t="shared" si="217"/>
        <v/>
      </c>
      <c r="FT12" s="6" t="str">
        <f t="shared" si="218"/>
        <v/>
      </c>
      <c r="FU12" s="4" t="str">
        <f t="shared" si="219"/>
        <v/>
      </c>
      <c r="FV12" s="5" t="str">
        <f t="shared" si="220"/>
        <v/>
      </c>
      <c r="FW12" s="8" t="str">
        <f t="shared" ref="FW12:FW74" si="244">IF(ISNUMBER($AV12),SQRT(FG12^2+FI12^2),"")</f>
        <v/>
      </c>
      <c r="FX12" s="9" t="str">
        <f t="shared" ref="FX12:FX74" si="245">IF(ISNUMBER($AV12),DEGREES(ACOS((FU12^2+FV12^2-FW12^2)/(2*FU12*FV12))),"")</f>
        <v/>
      </c>
      <c r="FY12" s="10" t="str">
        <f t="shared" si="55"/>
        <v/>
      </c>
      <c r="FZ12" s="277" t="str">
        <f t="shared" ref="FZ12:FZ74" si="246">IF(ISNUMBER($AV12),FX12*FY12,"")</f>
        <v/>
      </c>
      <c r="GA12" s="177" t="str">
        <f t="shared" si="221"/>
        <v/>
      </c>
      <c r="GB12" s="4" t="str">
        <f t="shared" si="222"/>
        <v/>
      </c>
      <c r="GC12" s="5" t="str">
        <f t="shared" si="223"/>
        <v/>
      </c>
      <c r="GD12" s="10" t="str">
        <f t="shared" si="224"/>
        <v/>
      </c>
      <c r="GE12" s="311" t="str">
        <f t="shared" si="225"/>
        <v/>
      </c>
      <c r="GF12" s="341" t="str">
        <f t="shared" ref="GF12:GF74" si="247">IF(ISNUMBER($AV12),1/GE12,"")</f>
        <v/>
      </c>
      <c r="GG12" s="285" t="str">
        <f t="shared" si="56"/>
        <v/>
      </c>
      <c r="GH12" s="286" t="str">
        <f t="shared" si="57"/>
        <v/>
      </c>
      <c r="GI12" s="281" t="str">
        <f t="shared" si="58"/>
        <v/>
      </c>
      <c r="GJ12" s="167" t="str">
        <f t="shared" si="226"/>
        <v/>
      </c>
      <c r="GK12" s="174" t="str">
        <f t="shared" si="59"/>
        <v/>
      </c>
      <c r="GL12" s="174" t="str">
        <f t="shared" si="227"/>
        <v/>
      </c>
      <c r="GM12" s="177" t="str">
        <f t="shared" ref="GM12:GM74" si="248">IF(ISNUMBER($AV12),AZ12,"")</f>
        <v/>
      </c>
      <c r="GN12" s="280" t="str">
        <f t="shared" si="228"/>
        <v/>
      </c>
      <c r="GO12" s="4" t="str">
        <f t="shared" si="229"/>
        <v/>
      </c>
      <c r="GP12" s="8" t="str">
        <f t="shared" ref="GP12:GP74" si="249">IF(ISNUMBER($AV12),FZ12,"")</f>
        <v/>
      </c>
      <c r="GQ12" s="177" t="str">
        <f t="shared" si="230"/>
        <v/>
      </c>
      <c r="GR12" s="371" t="str">
        <f t="shared" ref="GR12:GR74" si="250">IF(ISNUMBER($AV12),GS12+GU12+GY12,"")</f>
        <v/>
      </c>
      <c r="GS12" s="342" t="str">
        <f t="shared" si="61"/>
        <v/>
      </c>
      <c r="GT12" s="343" t="str">
        <f t="shared" si="6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64"/>
        <v/>
      </c>
      <c r="GX12" s="346" t="str">
        <f>IF(ISNUMBER($AV12),($GJ12/12)*$GV12,"")</f>
        <v/>
      </c>
      <c r="GY12" s="344" t="str">
        <f t="shared" si="66"/>
        <v/>
      </c>
      <c r="GZ12" s="345" t="str">
        <f t="shared" si="67"/>
        <v/>
      </c>
      <c r="HA12" s="342" t="str">
        <f t="shared" si="68"/>
        <v/>
      </c>
      <c r="HB12" s="5" t="str">
        <f t="shared" si="231"/>
        <v/>
      </c>
      <c r="HC12" s="343" t="str">
        <f t="shared" si="232"/>
        <v/>
      </c>
      <c r="HD12" s="345" t="str">
        <f t="shared" si="233"/>
        <v/>
      </c>
      <c r="HE12" s="344" t="str">
        <f t="shared" si="69"/>
        <v/>
      </c>
      <c r="HF12" s="5" t="str">
        <f t="shared" si="70"/>
        <v/>
      </c>
      <c r="HG12" s="343" t="str">
        <f t="shared" si="234"/>
        <v/>
      </c>
      <c r="HH12" s="349" t="str">
        <f t="shared" si="235"/>
        <v/>
      </c>
      <c r="HI12" s="317" t="str">
        <f t="shared" si="71"/>
        <v/>
      </c>
      <c r="HJ12" s="336"/>
      <c r="HK12" s="310" t="str">
        <f t="shared" si="137"/>
        <v/>
      </c>
      <c r="HL12" s="348" t="str">
        <f t="shared" si="72"/>
        <v/>
      </c>
      <c r="HM12" s="909" t="str">
        <f t="shared" si="138"/>
        <v/>
      </c>
      <c r="HN12" s="910" t="str">
        <f t="shared" si="73"/>
        <v/>
      </c>
      <c r="HO12" s="911"/>
      <c r="HP12" s="912"/>
      <c r="HQ12" s="910" t="str">
        <f t="shared" si="74"/>
        <v/>
      </c>
      <c r="HR12" s="913" t="str">
        <f t="shared" si="75"/>
        <v/>
      </c>
      <c r="HS12" s="865" t="str">
        <f>IFERROR(SMALL($GJ$9:$GJ$150,($HK11+1)),"")</f>
        <v/>
      </c>
      <c r="HT12" s="875" t="str">
        <f t="shared" si="76"/>
        <v/>
      </c>
      <c r="HU12" s="876" t="str">
        <f t="shared" si="77"/>
        <v/>
      </c>
      <c r="HV12" s="872" t="str">
        <f t="shared" si="78"/>
        <v/>
      </c>
      <c r="HW12" s="866" t="str">
        <f t="shared" si="79"/>
        <v/>
      </c>
      <c r="HX12" s="867" t="str">
        <f t="shared" si="80"/>
        <v/>
      </c>
      <c r="HY12" s="866" t="str">
        <f t="shared" si="81"/>
        <v/>
      </c>
      <c r="HZ12" s="868" t="str">
        <f t="shared" si="82"/>
        <v/>
      </c>
      <c r="IA12" s="869" t="str">
        <f t="shared" si="83"/>
        <v/>
      </c>
      <c r="IB12" s="870" t="str">
        <f t="shared" si="84"/>
        <v/>
      </c>
      <c r="IC12" s="841" t="str">
        <f t="shared" si="85"/>
        <v/>
      </c>
      <c r="ID12" s="351" t="str">
        <f t="shared" si="86"/>
        <v/>
      </c>
      <c r="IE12" s="843" t="str">
        <f t="shared" si="87"/>
        <v/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2.5852535138055441E-2</v>
      </c>
      <c r="C13" s="572">
        <f t="shared" si="3"/>
        <v>3.3212102236749148</v>
      </c>
      <c r="D13" s="576">
        <f t="shared" si="4"/>
        <v>-0.10477236489563337</v>
      </c>
      <c r="E13" s="580">
        <f t="shared" si="5"/>
        <v>-0.96208031115016845</v>
      </c>
      <c r="F13" s="572">
        <f t="shared" si="6"/>
        <v>7.0162076877133495E-2</v>
      </c>
      <c r="G13" s="579">
        <f t="shared" si="7"/>
        <v>0.2635882354458986</v>
      </c>
      <c r="H13" s="580">
        <f t="shared" si="8"/>
        <v>0.3125</v>
      </c>
      <c r="I13" s="572">
        <f t="shared" si="9"/>
        <v>0.52</v>
      </c>
      <c r="J13" s="483">
        <f t="shared" si="10"/>
        <v>1.117</v>
      </c>
      <c r="K13" s="806">
        <f t="shared" si="11"/>
        <v>1613</v>
      </c>
      <c r="L13" s="717">
        <f>IF($L12=$JJ$22,$JJ$29,IF($L12=$JK$22,$JK$29,""))</f>
        <v>720</v>
      </c>
      <c r="M13" s="164">
        <f t="shared" si="12"/>
        <v>1.117</v>
      </c>
      <c r="N13" s="575">
        <f t="shared" si="13"/>
        <v>2.5852535138055441E-2</v>
      </c>
      <c r="O13" s="572">
        <f t="shared" si="14"/>
        <v>3.3212102236749148</v>
      </c>
      <c r="P13" s="576">
        <f t="shared" si="15"/>
        <v>-0.10477236489563337</v>
      </c>
      <c r="Q13" s="528">
        <f t="shared" si="140"/>
        <v>89.554014609899696</v>
      </c>
      <c r="R13" s="572">
        <f t="shared" si="101"/>
        <v>3.3213108411312309</v>
      </c>
      <c r="S13" s="577">
        <f t="shared" si="102"/>
        <v>-0.10477236489563337</v>
      </c>
      <c r="T13" s="578">
        <f>IF(M13="","",X13*COS(RADIANS(W13)))</f>
        <v>3.3213107543921061</v>
      </c>
      <c r="U13" s="572">
        <f t="shared" si="104"/>
        <v>-7.5906204086109306E-4</v>
      </c>
      <c r="V13" s="579">
        <f t="shared" si="141"/>
        <v>-0.10477236489563337</v>
      </c>
      <c r="W13" s="528">
        <f t="shared" si="16"/>
        <v>359.98690545577068</v>
      </c>
      <c r="X13" s="572">
        <f t="shared" si="105"/>
        <v>3.3213108411312309</v>
      </c>
      <c r="Y13" s="573">
        <f t="shared" si="17"/>
        <v>-0.10477236489563337</v>
      </c>
      <c r="Z13" s="575">
        <f t="shared" si="18"/>
        <v>0.96208031115016845</v>
      </c>
      <c r="AA13" s="572">
        <f t="shared" si="19"/>
        <v>-7.0162076877133495E-2</v>
      </c>
      <c r="AB13" s="572">
        <f t="shared" si="20"/>
        <v>-0.2635882354458986</v>
      </c>
      <c r="AC13" s="579">
        <f t="shared" si="106"/>
        <v>1</v>
      </c>
      <c r="AD13" s="580">
        <f>IF(M13="","",Z13*(1/SQRT(Z13^2+AA13^2+AB13^2)))</f>
        <v>0.96208031115016845</v>
      </c>
      <c r="AE13" s="572">
        <f t="shared" si="107"/>
        <v>-7.0162076877133495E-2</v>
      </c>
      <c r="AF13" s="576">
        <f t="shared" si="108"/>
        <v>-0.2635882354458986</v>
      </c>
      <c r="AG13" s="545">
        <f>IF(M13="","",DEGREES(ATAN2(-AF13,AE13)))</f>
        <v>-14.905413847842439</v>
      </c>
      <c r="AH13" s="546">
        <f t="shared" si="110"/>
        <v>15.828946586556215</v>
      </c>
      <c r="AI13" s="528">
        <f t="shared" si="111"/>
        <v>-74.716917615044224</v>
      </c>
      <c r="AJ13" s="529">
        <f t="shared" si="112"/>
        <v>85.828948128306862</v>
      </c>
      <c r="AK13" s="578">
        <f t="shared" si="238"/>
        <v>0.96259729542724415</v>
      </c>
      <c r="AL13" s="572">
        <f t="shared" si="113"/>
        <v>-6.2671277078680601E-2</v>
      </c>
      <c r="AM13" s="577">
        <f t="shared" si="114"/>
        <v>-0.2635882354458986</v>
      </c>
      <c r="AN13" s="524">
        <f t="shared" si="115"/>
        <v>-13.374429842880255</v>
      </c>
      <c r="AO13" s="525">
        <f t="shared" si="116"/>
        <v>15.719986249129448</v>
      </c>
      <c r="AP13" s="528">
        <f t="shared" si="117"/>
        <v>-3.7250664815928571</v>
      </c>
      <c r="AQ13" s="529">
        <f t="shared" si="21"/>
        <v>0.27455535380442375</v>
      </c>
      <c r="AS13" s="932">
        <f t="shared" si="143"/>
        <v>359.98690545577068</v>
      </c>
      <c r="AT13" s="928">
        <f t="shared" si="22"/>
        <v>-0.10551364369272449</v>
      </c>
      <c r="AU13" s="418"/>
      <c r="AV13" s="164" t="str">
        <f t="shared" si="23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4"/>
        <v/>
      </c>
      <c r="BA13" s="296" t="str">
        <f t="shared" si="24"/>
        <v/>
      </c>
      <c r="BB13" s="291" t="str">
        <f t="shared" si="145"/>
        <v/>
      </c>
      <c r="BC13" s="9"/>
      <c r="BD13" s="5" t="str">
        <f t="shared" si="146"/>
        <v/>
      </c>
      <c r="BE13" s="6" t="str">
        <f t="shared" si="25"/>
        <v/>
      </c>
      <c r="BF13" s="4" t="str">
        <f t="shared" si="26"/>
        <v/>
      </c>
      <c r="BG13" s="5" t="str">
        <f t="shared" si="27"/>
        <v/>
      </c>
      <c r="BH13" s="10" t="str">
        <f t="shared" si="28"/>
        <v/>
      </c>
      <c r="BI13" s="9" t="str">
        <f t="shared" si="147"/>
        <v/>
      </c>
      <c r="BJ13" s="5" t="str">
        <f t="shared" si="29"/>
        <v/>
      </c>
      <c r="BK13" s="8" t="str">
        <f t="shared" si="30"/>
        <v/>
      </c>
      <c r="BL13" s="173" t="str">
        <f t="shared" si="31"/>
        <v/>
      </c>
      <c r="BM13" s="5" t="str">
        <f t="shared" si="32"/>
        <v/>
      </c>
      <c r="BN13" s="6" t="str">
        <f t="shared" si="33"/>
        <v/>
      </c>
      <c r="BO13" s="4" t="str">
        <f t="shared" si="148"/>
        <v/>
      </c>
      <c r="BP13" s="5" t="str">
        <f t="shared" si="239"/>
        <v/>
      </c>
      <c r="BQ13" s="5" t="str">
        <f t="shared" si="149"/>
        <v/>
      </c>
      <c r="BR13" s="6" t="str">
        <f t="shared" si="150"/>
        <v/>
      </c>
      <c r="BS13" s="4" t="str">
        <f t="shared" si="118"/>
        <v/>
      </c>
      <c r="BT13" s="5" t="str">
        <f t="shared" si="118"/>
        <v/>
      </c>
      <c r="BU13" s="10" t="str">
        <f t="shared" si="119"/>
        <v/>
      </c>
      <c r="BV13" s="9" t="str">
        <f t="shared" si="120"/>
        <v/>
      </c>
      <c r="BW13" s="5" t="str">
        <f t="shared" si="121"/>
        <v/>
      </c>
      <c r="BX13" s="8" t="str">
        <f t="shared" si="122"/>
        <v/>
      </c>
      <c r="BY13" s="173" t="str">
        <f t="shared" si="123"/>
        <v/>
      </c>
      <c r="BZ13" s="5" t="str">
        <f t="shared" si="124"/>
        <v/>
      </c>
      <c r="CA13" s="6" t="str">
        <f t="shared" si="125"/>
        <v/>
      </c>
      <c r="CB13" s="4" t="str">
        <f t="shared" si="151"/>
        <v/>
      </c>
      <c r="CC13" s="5" t="str">
        <f t="shared" si="152"/>
        <v/>
      </c>
      <c r="CD13" s="5" t="str">
        <f t="shared" si="153"/>
        <v/>
      </c>
      <c r="CE13" s="6" t="str">
        <f t="shared" si="154"/>
        <v/>
      </c>
      <c r="CF13" s="4" t="str">
        <f t="shared" si="155"/>
        <v/>
      </c>
      <c r="CG13" s="5" t="str">
        <f t="shared" si="156"/>
        <v/>
      </c>
      <c r="CH13" s="5" t="str">
        <f t="shared" si="157"/>
        <v/>
      </c>
      <c r="CI13" s="4" t="str">
        <f t="shared" si="126"/>
        <v/>
      </c>
      <c r="CJ13" s="5" t="str">
        <f t="shared" si="127"/>
        <v/>
      </c>
      <c r="CK13" s="8" t="str">
        <f t="shared" si="128"/>
        <v/>
      </c>
      <c r="CL13" s="173" t="str">
        <f t="shared" si="129"/>
        <v/>
      </c>
      <c r="CM13" s="5" t="str">
        <f t="shared" si="130"/>
        <v/>
      </c>
      <c r="CN13" s="6" t="str">
        <f t="shared" si="131"/>
        <v/>
      </c>
      <c r="CO13" s="167" t="str">
        <f t="shared" si="35"/>
        <v/>
      </c>
      <c r="CP13" s="4" t="str">
        <f t="shared" si="240"/>
        <v/>
      </c>
      <c r="CQ13" s="5" t="str">
        <f t="shared" si="241"/>
        <v/>
      </c>
      <c r="CR13" s="5" t="str">
        <f t="shared" si="158"/>
        <v/>
      </c>
      <c r="CS13" s="8" t="str">
        <f t="shared" si="159"/>
        <v/>
      </c>
      <c r="CT13" s="9" t="str">
        <f t="shared" si="160"/>
        <v/>
      </c>
      <c r="CU13" s="6" t="str">
        <f t="shared" si="161"/>
        <v/>
      </c>
      <c r="CV13" s="4" t="str">
        <f t="shared" si="242"/>
        <v/>
      </c>
      <c r="CW13" s="5" t="str">
        <f t="shared" si="162"/>
        <v/>
      </c>
      <c r="CX13" s="8" t="str">
        <f t="shared" si="163"/>
        <v/>
      </c>
      <c r="CY13" s="9" t="str">
        <f t="shared" si="164"/>
        <v/>
      </c>
      <c r="CZ13" s="5" t="str">
        <f t="shared" si="165"/>
        <v/>
      </c>
      <c r="DA13" s="6" t="str">
        <f t="shared" si="166"/>
        <v/>
      </c>
      <c r="DB13" s="4" t="str">
        <f t="shared" si="167"/>
        <v/>
      </c>
      <c r="DC13" s="5" t="str">
        <f t="shared" si="167"/>
        <v/>
      </c>
      <c r="DD13" s="10" t="str">
        <f t="shared" si="168"/>
        <v/>
      </c>
      <c r="DE13" s="9" t="str">
        <f t="shared" si="169"/>
        <v/>
      </c>
      <c r="DF13" s="5" t="str">
        <f t="shared" si="169"/>
        <v/>
      </c>
      <c r="DG13" s="10" t="str">
        <f t="shared" si="170"/>
        <v/>
      </c>
      <c r="DH13" s="70" t="str">
        <f t="shared" si="171"/>
        <v/>
      </c>
      <c r="DI13" s="4" t="str">
        <f t="shared" si="172"/>
        <v/>
      </c>
      <c r="DJ13" s="5" t="str">
        <f t="shared" si="173"/>
        <v/>
      </c>
      <c r="DK13" s="10" t="str">
        <f t="shared" si="174"/>
        <v/>
      </c>
      <c r="DL13" s="9" t="str">
        <f t="shared" si="175"/>
        <v/>
      </c>
      <c r="DM13" s="173" t="str">
        <f t="shared" si="176"/>
        <v/>
      </c>
      <c r="DN13" s="178" t="str">
        <f t="shared" si="177"/>
        <v/>
      </c>
      <c r="DO13" s="9" t="str">
        <f t="shared" si="178"/>
        <v/>
      </c>
      <c r="DP13" s="173" t="str">
        <f t="shared" si="179"/>
        <v/>
      </c>
      <c r="DQ13" s="11" t="str">
        <f t="shared" si="180"/>
        <v/>
      </c>
      <c r="DR13" s="173" t="str">
        <f t="shared" si="181"/>
        <v/>
      </c>
      <c r="DS13" s="5" t="str">
        <f t="shared" si="182"/>
        <v/>
      </c>
      <c r="DT13" s="5" t="str">
        <f t="shared" si="183"/>
        <v/>
      </c>
      <c r="DU13" s="5" t="str">
        <f t="shared" si="184"/>
        <v/>
      </c>
      <c r="DV13" s="5" t="str">
        <f t="shared" si="185"/>
        <v/>
      </c>
      <c r="DW13" s="5" t="str">
        <f t="shared" si="186"/>
        <v/>
      </c>
      <c r="DX13" s="167" t="str">
        <f t="shared" si="187"/>
        <v/>
      </c>
      <c r="DY13" s="9" t="str">
        <f t="shared" si="188"/>
        <v/>
      </c>
      <c r="DZ13" s="5" t="str">
        <f t="shared" si="189"/>
        <v/>
      </c>
      <c r="EA13" s="10" t="str">
        <f t="shared" si="190"/>
        <v/>
      </c>
      <c r="EB13" s="6" t="str">
        <f t="shared" si="191"/>
        <v/>
      </c>
      <c r="EC13" s="173" t="str">
        <f t="shared" si="192"/>
        <v/>
      </c>
      <c r="ED13" s="5" t="str">
        <f t="shared" si="193"/>
        <v/>
      </c>
      <c r="EE13" s="4" t="str">
        <f t="shared" si="194"/>
        <v/>
      </c>
      <c r="EF13" s="5" t="str">
        <f t="shared" si="195"/>
        <v/>
      </c>
      <c r="EG13" s="10" t="str">
        <f t="shared" si="196"/>
        <v/>
      </c>
      <c r="EH13" s="9" t="str">
        <f t="shared" si="197"/>
        <v/>
      </c>
      <c r="EI13" s="5" t="str">
        <f t="shared" si="198"/>
        <v/>
      </c>
      <c r="EJ13" s="6" t="str">
        <f t="shared" si="199"/>
        <v/>
      </c>
      <c r="EK13" s="236" t="str">
        <f t="shared" si="200"/>
        <v/>
      </c>
      <c r="EL13" s="238" t="str">
        <f t="shared" si="201"/>
        <v/>
      </c>
      <c r="EM13" s="4" t="str">
        <f t="shared" si="202"/>
        <v/>
      </c>
      <c r="EN13" s="5" t="str">
        <f t="shared" si="203"/>
        <v/>
      </c>
      <c r="EO13" s="10" t="str">
        <f t="shared" si="204"/>
        <v/>
      </c>
      <c r="EP13" s="9" t="str">
        <f t="shared" si="205"/>
        <v/>
      </c>
      <c r="EQ13" s="5" t="str">
        <f t="shared" si="206"/>
        <v/>
      </c>
      <c r="ER13" s="7" t="str">
        <f t="shared" si="207"/>
        <v/>
      </c>
      <c r="ES13" s="21" t="str">
        <f t="shared" si="132"/>
        <v/>
      </c>
      <c r="ET13" s="5" t="str">
        <f t="shared" si="44"/>
        <v/>
      </c>
      <c r="EU13" s="10" t="str">
        <f t="shared" si="45"/>
        <v/>
      </c>
      <c r="EV13" s="174" t="str">
        <f t="shared" si="46"/>
        <v/>
      </c>
      <c r="EW13" s="9" t="str">
        <f t="shared" si="133"/>
        <v/>
      </c>
      <c r="EX13" s="5" t="str">
        <f t="shared" si="47"/>
        <v/>
      </c>
      <c r="EY13" s="6" t="str">
        <f t="shared" si="208"/>
        <v/>
      </c>
      <c r="EZ13" s="51" t="str">
        <f t="shared" si="209"/>
        <v/>
      </c>
      <c r="FA13" s="266" t="str">
        <f t="shared" si="134"/>
        <v/>
      </c>
      <c r="FB13" s="267" t="str">
        <f t="shared" si="135"/>
        <v/>
      </c>
      <c r="FC13" s="269" t="str">
        <f t="shared" si="48"/>
        <v/>
      </c>
      <c r="FD13" s="4" t="str">
        <f t="shared" si="136"/>
        <v/>
      </c>
      <c r="FE13" s="5" t="str">
        <f t="shared" si="49"/>
        <v/>
      </c>
      <c r="FF13" s="7" t="str">
        <f t="shared" si="210"/>
        <v/>
      </c>
      <c r="FG13" s="173" t="str">
        <f t="shared" si="211"/>
        <v/>
      </c>
      <c r="FH13" s="5" t="str">
        <f t="shared" si="50"/>
        <v/>
      </c>
      <c r="FI13" s="10" t="str">
        <f t="shared" si="51"/>
        <v/>
      </c>
      <c r="FJ13" s="279" t="str">
        <f t="shared" si="212"/>
        <v/>
      </c>
      <c r="FK13" s="4" t="str">
        <f t="shared" si="52"/>
        <v/>
      </c>
      <c r="FL13" s="5" t="str">
        <f t="shared" si="213"/>
        <v/>
      </c>
      <c r="FM13" s="8" t="str">
        <f t="shared" si="214"/>
        <v/>
      </c>
      <c r="FN13" s="9" t="str">
        <f t="shared" si="215"/>
        <v/>
      </c>
      <c r="FO13" s="10" t="str">
        <f t="shared" si="53"/>
        <v/>
      </c>
      <c r="FP13" s="277" t="str">
        <f t="shared" si="54"/>
        <v/>
      </c>
      <c r="FQ13" s="173" t="str">
        <f t="shared" si="243"/>
        <v/>
      </c>
      <c r="FR13" s="10" t="str">
        <f t="shared" si="216"/>
        <v/>
      </c>
      <c r="FS13" s="9" t="str">
        <f t="shared" si="217"/>
        <v/>
      </c>
      <c r="FT13" s="6" t="str">
        <f t="shared" si="218"/>
        <v/>
      </c>
      <c r="FU13" s="4" t="str">
        <f t="shared" si="219"/>
        <v/>
      </c>
      <c r="FV13" s="5" t="str">
        <f t="shared" si="220"/>
        <v/>
      </c>
      <c r="FW13" s="8" t="str">
        <f t="shared" si="244"/>
        <v/>
      </c>
      <c r="FX13" s="9" t="str">
        <f t="shared" si="245"/>
        <v/>
      </c>
      <c r="FY13" s="10" t="str">
        <f t="shared" si="55"/>
        <v/>
      </c>
      <c r="FZ13" s="277" t="str">
        <f t="shared" si="246"/>
        <v/>
      </c>
      <c r="GA13" s="177" t="str">
        <f t="shared" si="221"/>
        <v/>
      </c>
      <c r="GB13" s="4" t="str">
        <f t="shared" si="222"/>
        <v/>
      </c>
      <c r="GC13" s="5" t="str">
        <f t="shared" si="223"/>
        <v/>
      </c>
      <c r="GD13" s="10" t="str">
        <f t="shared" si="224"/>
        <v/>
      </c>
      <c r="GE13" s="311" t="str">
        <f t="shared" si="225"/>
        <v/>
      </c>
      <c r="GF13" s="341" t="str">
        <f t="shared" si="247"/>
        <v/>
      </c>
      <c r="GG13" s="285" t="str">
        <f t="shared" si="56"/>
        <v/>
      </c>
      <c r="GH13" s="286" t="str">
        <f t="shared" si="57"/>
        <v/>
      </c>
      <c r="GI13" s="281" t="str">
        <f t="shared" si="58"/>
        <v/>
      </c>
      <c r="GJ13" s="167" t="str">
        <f t="shared" si="226"/>
        <v/>
      </c>
      <c r="GK13" s="174" t="str">
        <f t="shared" si="59"/>
        <v/>
      </c>
      <c r="GL13" s="174" t="str">
        <f t="shared" si="227"/>
        <v/>
      </c>
      <c r="GM13" s="177" t="str">
        <f t="shared" si="248"/>
        <v/>
      </c>
      <c r="GN13" s="280" t="str">
        <f t="shared" si="228"/>
        <v/>
      </c>
      <c r="GO13" s="4" t="str">
        <f t="shared" si="229"/>
        <v/>
      </c>
      <c r="GP13" s="8" t="str">
        <f t="shared" si="249"/>
        <v/>
      </c>
      <c r="GQ13" s="177" t="str">
        <f t="shared" si="230"/>
        <v/>
      </c>
      <c r="GR13" s="371" t="str">
        <f t="shared" si="250"/>
        <v/>
      </c>
      <c r="GS13" s="342" t="str">
        <f t="shared" si="61"/>
        <v/>
      </c>
      <c r="GT13" s="343" t="str">
        <f t="shared" si="62"/>
        <v/>
      </c>
      <c r="GU13" s="344" t="str">
        <f t="shared" si="63"/>
        <v/>
      </c>
      <c r="GV13" s="343" t="str">
        <f>IF(ISNUMBER($AV13),GW13*$GL13,"")</f>
        <v/>
      </c>
      <c r="GW13" s="345" t="str">
        <f t="shared" si="64"/>
        <v/>
      </c>
      <c r="GX13" s="346" t="str">
        <f>IF(ISNUMBER($AV13),($GJ13/12)*$GV13,"")</f>
        <v/>
      </c>
      <c r="GY13" s="344" t="str">
        <f t="shared" si="66"/>
        <v/>
      </c>
      <c r="GZ13" s="345" t="str">
        <f t="shared" si="67"/>
        <v/>
      </c>
      <c r="HA13" s="342" t="str">
        <f t="shared" si="68"/>
        <v/>
      </c>
      <c r="HB13" s="5" t="str">
        <f t="shared" si="231"/>
        <v/>
      </c>
      <c r="HC13" s="343" t="str">
        <f t="shared" si="232"/>
        <v/>
      </c>
      <c r="HD13" s="345" t="str">
        <f t="shared" si="233"/>
        <v/>
      </c>
      <c r="HE13" s="344" t="str">
        <f t="shared" si="69"/>
        <v/>
      </c>
      <c r="HF13" s="5" t="str">
        <f t="shared" si="70"/>
        <v/>
      </c>
      <c r="HG13" s="343" t="str">
        <f t="shared" si="234"/>
        <v/>
      </c>
      <c r="HH13" s="349" t="str">
        <f t="shared" si="235"/>
        <v/>
      </c>
      <c r="HI13" s="317" t="str">
        <f t="shared" si="71"/>
        <v/>
      </c>
      <c r="HJ13" s="336"/>
      <c r="HK13" s="310" t="str">
        <f t="shared" si="137"/>
        <v/>
      </c>
      <c r="HL13" s="348" t="str">
        <f t="shared" si="72"/>
        <v/>
      </c>
      <c r="HM13" s="909" t="str">
        <f t="shared" si="138"/>
        <v/>
      </c>
      <c r="HN13" s="910" t="str">
        <f t="shared" si="73"/>
        <v/>
      </c>
      <c r="HO13" s="911"/>
      <c r="HP13" s="912"/>
      <c r="HQ13" s="910" t="str">
        <f t="shared" si="74"/>
        <v/>
      </c>
      <c r="HR13" s="913" t="str">
        <f t="shared" si="75"/>
        <v/>
      </c>
      <c r="HS13" s="865" t="str">
        <f t="shared" ref="HS13:HS41" si="251">IFERROR(SMALL($GJ$9:$GJ$150,($HK12+1)),"")</f>
        <v/>
      </c>
      <c r="HT13" s="875" t="str">
        <f t="shared" si="76"/>
        <v/>
      </c>
      <c r="HU13" s="876" t="str">
        <f t="shared" si="77"/>
        <v/>
      </c>
      <c r="HV13" s="872" t="str">
        <f t="shared" si="78"/>
        <v/>
      </c>
      <c r="HW13" s="866" t="str">
        <f t="shared" si="79"/>
        <v/>
      </c>
      <c r="HX13" s="867" t="str">
        <f t="shared" si="80"/>
        <v/>
      </c>
      <c r="HY13" s="866" t="str">
        <f t="shared" si="81"/>
        <v/>
      </c>
      <c r="HZ13" s="868" t="str">
        <f>IF(ISNUMBER($HL13),INDEX(GU$9:GU$150,MATCH($HL13,$AV$9:$AV$150,0)),"")</f>
        <v/>
      </c>
      <c r="IA13" s="869" t="str">
        <f t="shared" si="83"/>
        <v/>
      </c>
      <c r="IB13" s="870" t="str">
        <f t="shared" si="84"/>
        <v/>
      </c>
      <c r="IC13" s="841" t="str">
        <f t="shared" si="85"/>
        <v/>
      </c>
      <c r="ID13" s="351" t="str">
        <f t="shared" si="86"/>
        <v/>
      </c>
      <c r="IE13" s="843" t="str">
        <f t="shared" si="87"/>
        <v/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7.0554003240190788E-2</v>
      </c>
      <c r="C14" s="572">
        <f t="shared" si="3"/>
        <v>4.0334751993227815</v>
      </c>
      <c r="D14" s="576">
        <f t="shared" si="4"/>
        <v>-0.387275698883291</v>
      </c>
      <c r="E14" s="580">
        <f t="shared" si="5"/>
        <v>-0.9451157257678009</v>
      </c>
      <c r="F14" s="572">
        <f t="shared" si="6"/>
        <v>0.18593768732828911</v>
      </c>
      <c r="G14" s="579">
        <f t="shared" si="7"/>
        <v>0.26866976260348052</v>
      </c>
      <c r="H14" s="580">
        <f t="shared" si="8"/>
        <v>0.3125</v>
      </c>
      <c r="I14" s="572">
        <f t="shared" si="9"/>
        <v>0.52</v>
      </c>
      <c r="J14" s="483">
        <f t="shared" si="10"/>
        <v>1.123</v>
      </c>
      <c r="K14" s="806">
        <f t="shared" si="11"/>
        <v>1613</v>
      </c>
      <c r="L14" s="719" t="s">
        <v>358</v>
      </c>
      <c r="M14" s="164">
        <f t="shared" si="12"/>
        <v>1.123</v>
      </c>
      <c r="N14" s="575">
        <f t="shared" si="13"/>
        <v>7.0554003240190788E-2</v>
      </c>
      <c r="O14" s="572">
        <f t="shared" si="14"/>
        <v>4.0334751993227815</v>
      </c>
      <c r="P14" s="576">
        <f t="shared" si="15"/>
        <v>-0.387275698883291</v>
      </c>
      <c r="Q14" s="528">
        <f t="shared" si="140"/>
        <v>88.997877960118984</v>
      </c>
      <c r="R14" s="572">
        <f t="shared" si="101"/>
        <v>4.0340922214204733</v>
      </c>
      <c r="S14" s="577">
        <f>IF(M14="","",P14)</f>
        <v>-0.387275698883291</v>
      </c>
      <c r="T14" s="578">
        <f t="shared" si="103"/>
        <v>4.0338931337465258</v>
      </c>
      <c r="U14" s="572">
        <f t="shared" si="104"/>
        <v>-4.0077879657067085E-2</v>
      </c>
      <c r="V14" s="579">
        <f t="shared" si="141"/>
        <v>-0.387275698883291</v>
      </c>
      <c r="W14" s="528">
        <f>IF(M14="","",IF(Q14-$Q$8&lt;0,360+Q14-$Q$8,Q14-$Q$8))</f>
        <v>359.43076880599</v>
      </c>
      <c r="X14" s="572">
        <f t="shared" si="105"/>
        <v>4.0340922214204733</v>
      </c>
      <c r="Y14" s="573">
        <f t="shared" si="17"/>
        <v>-0.387275698883291</v>
      </c>
      <c r="Z14" s="575">
        <f t="shared" si="18"/>
        <v>0.9451157257678009</v>
      </c>
      <c r="AA14" s="572">
        <f t="shared" si="19"/>
        <v>-0.18593768732828911</v>
      </c>
      <c r="AB14" s="572">
        <f t="shared" si="20"/>
        <v>-0.26866976260348052</v>
      </c>
      <c r="AC14" s="579">
        <f t="shared" si="106"/>
        <v>1</v>
      </c>
      <c r="AD14" s="580">
        <f>IF(M14="","",Z14*(1/SQRT(Z14^2+AA14^2+AB14^2)))</f>
        <v>0.9451157257678009</v>
      </c>
      <c r="AE14" s="572">
        <f t="shared" si="107"/>
        <v>-0.18593768732828911</v>
      </c>
      <c r="AF14" s="576">
        <f t="shared" si="108"/>
        <v>-0.26866976260348052</v>
      </c>
      <c r="AG14" s="545">
        <f t="shared" si="109"/>
        <v>-34.685860385829443</v>
      </c>
      <c r="AH14" s="546">
        <f t="shared" si="110"/>
        <v>19.07076944118171</v>
      </c>
      <c r="AI14" s="528">
        <f t="shared" si="111"/>
        <v>-74.414874695223517</v>
      </c>
      <c r="AJ14" s="529">
        <f t="shared" si="112"/>
        <v>78.870035501738286</v>
      </c>
      <c r="AK14" s="578">
        <f>IF(M14="","",(COS(RADIANS((90-$Q$8)-W14))*AD14)+(-SIN(RADIANS((90-$Q$8)-W14))*AE14))</f>
        <v>0.94822311405208382</v>
      </c>
      <c r="AL14" s="572">
        <f t="shared" si="113"/>
        <v>-0.16937970551385015</v>
      </c>
      <c r="AM14" s="577">
        <f t="shared" si="114"/>
        <v>-0.26866976260348052</v>
      </c>
      <c r="AN14" s="524">
        <f t="shared" si="115"/>
        <v>-32.228901208944677</v>
      </c>
      <c r="AO14" s="525">
        <f t="shared" si="116"/>
        <v>18.518146153032774</v>
      </c>
      <c r="AP14" s="528">
        <f>IF(M14="","",DEGREES(ATAN2(AK14,AL14)))</f>
        <v>-10.127842458380719</v>
      </c>
      <c r="AQ14" s="529">
        <f t="shared" si="21"/>
        <v>0.22604488732212888</v>
      </c>
      <c r="AS14" s="932">
        <f t="shared" si="143"/>
        <v>359.43076880599</v>
      </c>
      <c r="AT14" s="928">
        <f>IF(M14="","",Y14+(((AS14-$AS$9)*$AS$6)*-1))</f>
        <v>-0.38786249527766525</v>
      </c>
      <c r="AU14" s="418"/>
      <c r="AV14" s="164" t="str">
        <f t="shared" si="23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4"/>
        <v/>
      </c>
      <c r="BA14" s="296" t="str">
        <f t="shared" si="24"/>
        <v/>
      </c>
      <c r="BB14" s="291" t="str">
        <f>IF(ISNUMBER($AV14),$AX14-($AT14+$AS$5),"")</f>
        <v/>
      </c>
      <c r="BC14" s="9"/>
      <c r="BD14" s="5" t="str">
        <f t="shared" si="146"/>
        <v/>
      </c>
      <c r="BE14" s="6" t="str">
        <f>IF(ISNUMBER(AV14),Y14+BB14,"")</f>
        <v/>
      </c>
      <c r="BF14" s="4" t="str">
        <f t="shared" si="26"/>
        <v/>
      </c>
      <c r="BG14" s="5" t="str">
        <f t="shared" si="27"/>
        <v/>
      </c>
      <c r="BH14" s="10" t="str">
        <f t="shared" si="28"/>
        <v/>
      </c>
      <c r="BI14" s="9" t="str">
        <f t="shared" si="147"/>
        <v/>
      </c>
      <c r="BJ14" s="5" t="str">
        <f t="shared" si="29"/>
        <v/>
      </c>
      <c r="BK14" s="8" t="str">
        <f t="shared" si="30"/>
        <v/>
      </c>
      <c r="BL14" s="173" t="str">
        <f t="shared" si="31"/>
        <v/>
      </c>
      <c r="BM14" s="5" t="str">
        <f t="shared" si="32"/>
        <v/>
      </c>
      <c r="BN14" s="6" t="str">
        <f t="shared" si="33"/>
        <v/>
      </c>
      <c r="BO14" s="4" t="str">
        <f t="shared" si="148"/>
        <v/>
      </c>
      <c r="BP14" s="5" t="str">
        <f t="shared" si="239"/>
        <v/>
      </c>
      <c r="BQ14" s="5" t="str">
        <f t="shared" si="149"/>
        <v/>
      </c>
      <c r="BR14" s="6" t="str">
        <f t="shared" si="150"/>
        <v/>
      </c>
      <c r="BS14" s="4" t="str">
        <f t="shared" si="118"/>
        <v/>
      </c>
      <c r="BT14" s="5" t="str">
        <f t="shared" si="118"/>
        <v/>
      </c>
      <c r="BU14" s="10" t="str">
        <f t="shared" si="119"/>
        <v/>
      </c>
      <c r="BV14" s="9" t="str">
        <f t="shared" si="120"/>
        <v/>
      </c>
      <c r="BW14" s="5" t="str">
        <f t="shared" si="121"/>
        <v/>
      </c>
      <c r="BX14" s="8" t="str">
        <f t="shared" si="122"/>
        <v/>
      </c>
      <c r="BY14" s="173" t="str">
        <f t="shared" si="123"/>
        <v/>
      </c>
      <c r="BZ14" s="5" t="str">
        <f t="shared" si="124"/>
        <v/>
      </c>
      <c r="CA14" s="6" t="str">
        <f t="shared" si="125"/>
        <v/>
      </c>
      <c r="CB14" s="4" t="str">
        <f t="shared" si="151"/>
        <v/>
      </c>
      <c r="CC14" s="5" t="str">
        <f t="shared" si="152"/>
        <v/>
      </c>
      <c r="CD14" s="5" t="str">
        <f t="shared" si="153"/>
        <v/>
      </c>
      <c r="CE14" s="6" t="str">
        <f t="shared" si="154"/>
        <v/>
      </c>
      <c r="CF14" s="4" t="str">
        <f t="shared" si="155"/>
        <v/>
      </c>
      <c r="CG14" s="5" t="str">
        <f t="shared" si="156"/>
        <v/>
      </c>
      <c r="CH14" s="5" t="str">
        <f t="shared" si="157"/>
        <v/>
      </c>
      <c r="CI14" s="4" t="str">
        <f t="shared" si="126"/>
        <v/>
      </c>
      <c r="CJ14" s="5" t="str">
        <f t="shared" si="127"/>
        <v/>
      </c>
      <c r="CK14" s="8" t="str">
        <f t="shared" si="128"/>
        <v/>
      </c>
      <c r="CL14" s="173" t="str">
        <f t="shared" si="129"/>
        <v/>
      </c>
      <c r="CM14" s="5" t="str">
        <f t="shared" si="130"/>
        <v/>
      </c>
      <c r="CN14" s="6" t="str">
        <f t="shared" si="131"/>
        <v/>
      </c>
      <c r="CO14" s="167" t="str">
        <f t="shared" si="35"/>
        <v/>
      </c>
      <c r="CP14" s="4" t="str">
        <f t="shared" si="240"/>
        <v/>
      </c>
      <c r="CQ14" s="5" t="str">
        <f t="shared" si="241"/>
        <v/>
      </c>
      <c r="CR14" s="5" t="str">
        <f t="shared" si="158"/>
        <v/>
      </c>
      <c r="CS14" s="8" t="str">
        <f t="shared" si="159"/>
        <v/>
      </c>
      <c r="CT14" s="9" t="str">
        <f t="shared" si="160"/>
        <v/>
      </c>
      <c r="CU14" s="6" t="str">
        <f t="shared" si="161"/>
        <v/>
      </c>
      <c r="CV14" s="4" t="str">
        <f>IF(ISNUMBER($AV14),CI14+($CT14*(CL14-CI14)),"")</f>
        <v/>
      </c>
      <c r="CW14" s="5" t="str">
        <f t="shared" si="162"/>
        <v/>
      </c>
      <c r="CX14" s="8" t="str">
        <f t="shared" si="163"/>
        <v/>
      </c>
      <c r="CY14" s="9" t="str">
        <f t="shared" si="164"/>
        <v/>
      </c>
      <c r="CZ14" s="5" t="str">
        <f t="shared" si="165"/>
        <v/>
      </c>
      <c r="DA14" s="6" t="str">
        <f t="shared" si="166"/>
        <v/>
      </c>
      <c r="DB14" s="4" t="str">
        <f t="shared" si="167"/>
        <v/>
      </c>
      <c r="DC14" s="5" t="str">
        <f t="shared" si="167"/>
        <v/>
      </c>
      <c r="DD14" s="10" t="str">
        <f t="shared" si="168"/>
        <v/>
      </c>
      <c r="DE14" s="9" t="str">
        <f t="shared" si="169"/>
        <v/>
      </c>
      <c r="DF14" s="5" t="str">
        <f t="shared" si="169"/>
        <v/>
      </c>
      <c r="DG14" s="10" t="str">
        <f t="shared" si="170"/>
        <v/>
      </c>
      <c r="DH14" s="70" t="str">
        <f t="shared" si="171"/>
        <v/>
      </c>
      <c r="DI14" s="4" t="str">
        <f t="shared" si="172"/>
        <v/>
      </c>
      <c r="DJ14" s="5" t="str">
        <f t="shared" si="173"/>
        <v/>
      </c>
      <c r="DK14" s="10" t="str">
        <f t="shared" si="174"/>
        <v/>
      </c>
      <c r="DL14" s="9" t="str">
        <f t="shared" si="175"/>
        <v/>
      </c>
      <c r="DM14" s="173" t="str">
        <f t="shared" si="176"/>
        <v/>
      </c>
      <c r="DN14" s="178" t="str">
        <f t="shared" si="177"/>
        <v/>
      </c>
      <c r="DO14" s="9" t="str">
        <f t="shared" si="178"/>
        <v/>
      </c>
      <c r="DP14" s="173" t="str">
        <f t="shared" si="179"/>
        <v/>
      </c>
      <c r="DQ14" s="11" t="str">
        <f t="shared" si="180"/>
        <v/>
      </c>
      <c r="DR14" s="173" t="str">
        <f t="shared" si="181"/>
        <v/>
      </c>
      <c r="DS14" s="5" t="str">
        <f t="shared" si="182"/>
        <v/>
      </c>
      <c r="DT14" s="5" t="str">
        <f t="shared" si="183"/>
        <v/>
      </c>
      <c r="DU14" s="5" t="str">
        <f t="shared" si="184"/>
        <v/>
      </c>
      <c r="DV14" s="5" t="str">
        <f t="shared" si="185"/>
        <v/>
      </c>
      <c r="DW14" s="5" t="str">
        <f t="shared" si="186"/>
        <v/>
      </c>
      <c r="DX14" s="167" t="str">
        <f t="shared" si="187"/>
        <v/>
      </c>
      <c r="DY14" s="9" t="str">
        <f t="shared" si="188"/>
        <v/>
      </c>
      <c r="DZ14" s="5" t="str">
        <f t="shared" si="189"/>
        <v/>
      </c>
      <c r="EA14" s="10" t="str">
        <f t="shared" si="190"/>
        <v/>
      </c>
      <c r="EB14" s="6" t="str">
        <f t="shared" si="191"/>
        <v/>
      </c>
      <c r="EC14" s="173" t="str">
        <f t="shared" si="192"/>
        <v/>
      </c>
      <c r="ED14" s="5" t="str">
        <f t="shared" si="193"/>
        <v/>
      </c>
      <c r="EE14" s="4" t="str">
        <f t="shared" si="194"/>
        <v/>
      </c>
      <c r="EF14" s="5" t="str">
        <f t="shared" si="195"/>
        <v/>
      </c>
      <c r="EG14" s="10" t="str">
        <f t="shared" si="196"/>
        <v/>
      </c>
      <c r="EH14" s="9" t="str">
        <f t="shared" si="197"/>
        <v/>
      </c>
      <c r="EI14" s="5" t="str">
        <f t="shared" si="198"/>
        <v/>
      </c>
      <c r="EJ14" s="6" t="str">
        <f t="shared" si="199"/>
        <v/>
      </c>
      <c r="EK14" s="236" t="str">
        <f t="shared" si="200"/>
        <v/>
      </c>
      <c r="EL14" s="238" t="str">
        <f t="shared" si="201"/>
        <v/>
      </c>
      <c r="EM14" s="4" t="str">
        <f t="shared" si="202"/>
        <v/>
      </c>
      <c r="EN14" s="5" t="str">
        <f t="shared" si="203"/>
        <v/>
      </c>
      <c r="EO14" s="10" t="str">
        <f t="shared" si="204"/>
        <v/>
      </c>
      <c r="EP14" s="9" t="str">
        <f>IF(ISNUMBER($AV14),IF(DEGREES(ATAN2(EM14,EN14))&lt;0,DEGREES(ATAN2(EM14,EN14))+360,IF(DEGREES(ATAN2(EM14,EN14))&gt;360,DEGREES(ATAN2(EM14,EN14))-360,DEGREES(ATAN2(EM14,EN14)))),"")</f>
        <v/>
      </c>
      <c r="EQ14" s="5" t="str">
        <f t="shared" si="206"/>
        <v/>
      </c>
      <c r="ER14" s="7" t="str">
        <f t="shared" si="207"/>
        <v/>
      </c>
      <c r="ES14" s="21" t="str">
        <f>IF(ISNUMBER($AV14),AD14,"")</f>
        <v/>
      </c>
      <c r="ET14" s="5" t="str">
        <f t="shared" si="44"/>
        <v/>
      </c>
      <c r="EU14" s="10" t="str">
        <f t="shared" si="45"/>
        <v/>
      </c>
      <c r="EV14" s="174" t="str">
        <f t="shared" si="46"/>
        <v/>
      </c>
      <c r="EW14" s="9" t="str">
        <f>IF(ISNUMBER($AV14),(COS(RADIANS($EV14))*ES14)+(-SIN(RADIANS($EV14))*ET14),"")</f>
        <v/>
      </c>
      <c r="EX14" s="5" t="str">
        <f t="shared" si="47"/>
        <v/>
      </c>
      <c r="EY14" s="6" t="str">
        <f t="shared" si="208"/>
        <v/>
      </c>
      <c r="EZ14" s="51" t="str">
        <f>IF(ISNUMBER($AV14),DEGREES(ATAN($AS$5/($EQ14*2*PI()))),"")</f>
        <v/>
      </c>
      <c r="FA14" s="266" t="str">
        <f>IF(ISNUMBER($AV14),SIN(RADIANS($EP14))*COS(RADIANS($EZ14)),"")</f>
        <v/>
      </c>
      <c r="FB14" s="267" t="str">
        <f>IF(ISNUMBER($AV14),-1*COS(RADIANS($EP14))*COS(RADIANS($EZ14)),"")</f>
        <v/>
      </c>
      <c r="FC14" s="269" t="str">
        <f>IF(ISNUMBER($AV14),-1*SIN(RADIANS($EZ14)),"")</f>
        <v/>
      </c>
      <c r="FD14" s="4" t="str">
        <f>IF(ISNUMBER($AV14),(COS(RADIANS($EV14))*FA14)+(-SIN(RADIANS($EV14))*FB14),"")</f>
        <v/>
      </c>
      <c r="FE14" s="5" t="str">
        <f t="shared" si="49"/>
        <v/>
      </c>
      <c r="FF14" s="7" t="str">
        <f t="shared" si="210"/>
        <v/>
      </c>
      <c r="FG14" s="173" t="str">
        <f>IF(ISNUMBER($AV14),EW14-FD14,"")</f>
        <v/>
      </c>
      <c r="FH14" s="5" t="str">
        <f>IF(ISNUMBER($AV14),EX14-FE14,"")</f>
        <v/>
      </c>
      <c r="FI14" s="10" t="str">
        <f>IF(ISNUMBER($AV14),EY14-FF14,"")</f>
        <v/>
      </c>
      <c r="FJ14" s="967" t="str">
        <f>IF(ISNUMBER($AV14),DEGREES(ACOS((2-SQRT((FG14)^2+(FH14)^2+(FI14)^2)^2)/2)),"")</f>
        <v/>
      </c>
      <c r="FK14" s="4" t="str">
        <f t="shared" si="52"/>
        <v/>
      </c>
      <c r="FL14" s="5" t="str">
        <f t="shared" si="213"/>
        <v/>
      </c>
      <c r="FM14" s="8" t="str">
        <f t="shared" si="214"/>
        <v/>
      </c>
      <c r="FN14" s="9" t="str">
        <f>IF(ISNUMBER($AV14),DEGREES(ACOS((FK14^2+FL14^2-FM14^2)/(2*FK14*FL14))),"")</f>
        <v/>
      </c>
      <c r="FO14" s="10" t="str">
        <f t="shared" si="53"/>
        <v/>
      </c>
      <c r="FP14" s="277" t="str">
        <f>IF(ISNUMBER($AV14),FN14*FO14,"")</f>
        <v/>
      </c>
      <c r="FQ14" s="173" t="str">
        <f t="shared" si="243"/>
        <v/>
      </c>
      <c r="FR14" s="10" t="str">
        <f t="shared" si="216"/>
        <v/>
      </c>
      <c r="FS14" s="9" t="str">
        <f t="shared" si="217"/>
        <v/>
      </c>
      <c r="FT14" s="6" t="str">
        <f t="shared" si="218"/>
        <v/>
      </c>
      <c r="FU14" s="4" t="str">
        <f t="shared" si="219"/>
        <v/>
      </c>
      <c r="FV14" s="5" t="str">
        <f t="shared" si="220"/>
        <v/>
      </c>
      <c r="FW14" s="8" t="str">
        <f t="shared" si="244"/>
        <v/>
      </c>
      <c r="FX14" s="9" t="str">
        <f t="shared" si="245"/>
        <v/>
      </c>
      <c r="FY14" s="10" t="str">
        <f t="shared" si="55"/>
        <v/>
      </c>
      <c r="FZ14" s="277" t="str">
        <f t="shared" si="246"/>
        <v/>
      </c>
      <c r="GA14" s="177" t="str">
        <f t="shared" si="221"/>
        <v/>
      </c>
      <c r="GB14" s="4" t="str">
        <f>IF(ISNUMBER($AV14),COS(RADIANS(FP14+90))*COS(RADIANS(FZ14)),"")</f>
        <v/>
      </c>
      <c r="GC14" s="5" t="str">
        <f t="shared" si="223"/>
        <v/>
      </c>
      <c r="GD14" s="10" t="str">
        <f t="shared" si="224"/>
        <v/>
      </c>
      <c r="GE14" s="311" t="str">
        <f t="shared" si="225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58"/>
        <v/>
      </c>
      <c r="GJ14" s="167" t="str">
        <f t="shared" si="226"/>
        <v/>
      </c>
      <c r="GK14" s="174" t="str">
        <f t="shared" si="59"/>
        <v/>
      </c>
      <c r="GL14" s="174" t="str">
        <f t="shared" si="227"/>
        <v/>
      </c>
      <c r="GM14" s="177" t="str">
        <f t="shared" si="248"/>
        <v/>
      </c>
      <c r="GN14" s="280" t="str">
        <f t="shared" si="228"/>
        <v/>
      </c>
      <c r="GO14" s="4" t="str">
        <f t="shared" si="229"/>
        <v/>
      </c>
      <c r="GP14" s="8" t="str">
        <f t="shared" si="249"/>
        <v/>
      </c>
      <c r="GQ14" s="177" t="str">
        <f t="shared" si="230"/>
        <v/>
      </c>
      <c r="GR14" s="371" t="str">
        <f t="shared" si="250"/>
        <v/>
      </c>
      <c r="GS14" s="342" t="str">
        <f>IF(ISNUMBER($AV14),GU14/GH14*GG14,"")</f>
        <v/>
      </c>
      <c r="GT14" s="343" t="str">
        <f t="shared" si="62"/>
        <v/>
      </c>
      <c r="GU14" s="344" t="str">
        <f t="shared" si="63"/>
        <v/>
      </c>
      <c r="GV14" s="343" t="str">
        <f t="shared" ref="GV14:GV74" si="252">IF(ISNUMBER($AV14),GW14*$GL14,"")</f>
        <v/>
      </c>
      <c r="GW14" s="345" t="str">
        <f t="shared" si="64"/>
        <v/>
      </c>
      <c r="GX14" s="346" t="str">
        <f t="shared" si="65"/>
        <v/>
      </c>
      <c r="GY14" s="344" t="str">
        <f t="shared" si="66"/>
        <v/>
      </c>
      <c r="GZ14" s="345" t="str">
        <f t="shared" si="67"/>
        <v/>
      </c>
      <c r="HA14" s="342" t="str">
        <f t="shared" si="68"/>
        <v/>
      </c>
      <c r="HB14" s="5" t="str">
        <f t="shared" si="231"/>
        <v/>
      </c>
      <c r="HC14" s="343" t="str">
        <f t="shared" si="232"/>
        <v/>
      </c>
      <c r="HD14" s="345" t="str">
        <f t="shared" si="233"/>
        <v/>
      </c>
      <c r="HE14" s="344" t="str">
        <f t="shared" si="69"/>
        <v/>
      </c>
      <c r="HF14" s="5" t="str">
        <f t="shared" si="70"/>
        <v/>
      </c>
      <c r="HG14" s="343" t="str">
        <f t="shared" si="234"/>
        <v/>
      </c>
      <c r="HH14" s="349" t="str">
        <f t="shared" si="235"/>
        <v/>
      </c>
      <c r="HI14" s="317" t="str">
        <f t="shared" si="71"/>
        <v/>
      </c>
      <c r="HJ14" s="336"/>
      <c r="HK14" s="310" t="str">
        <f t="shared" si="137"/>
        <v/>
      </c>
      <c r="HL14" s="348" t="str">
        <f t="shared" si="72"/>
        <v/>
      </c>
      <c r="HM14" s="909" t="str">
        <f t="shared" si="138"/>
        <v/>
      </c>
      <c r="HN14" s="910" t="str">
        <f t="shared" si="73"/>
        <v/>
      </c>
      <c r="HO14" s="911"/>
      <c r="HP14" s="912"/>
      <c r="HQ14" s="910" t="str">
        <f t="shared" si="74"/>
        <v/>
      </c>
      <c r="HR14" s="913" t="str">
        <f t="shared" si="75"/>
        <v/>
      </c>
      <c r="HS14" s="865" t="str">
        <f t="shared" si="251"/>
        <v/>
      </c>
      <c r="HT14" s="875" t="str">
        <f t="shared" si="76"/>
        <v/>
      </c>
      <c r="HU14" s="876" t="str">
        <f t="shared" si="77"/>
        <v/>
      </c>
      <c r="HV14" s="872" t="str">
        <f t="shared" si="78"/>
        <v/>
      </c>
      <c r="HW14" s="866" t="str">
        <f t="shared" si="79"/>
        <v/>
      </c>
      <c r="HX14" s="867" t="str">
        <f t="shared" si="80"/>
        <v/>
      </c>
      <c r="HY14" s="866" t="str">
        <f t="shared" si="81"/>
        <v/>
      </c>
      <c r="HZ14" s="868" t="str">
        <f t="shared" si="82"/>
        <v/>
      </c>
      <c r="IA14" s="869" t="str">
        <f t="shared" si="83"/>
        <v/>
      </c>
      <c r="IB14" s="870" t="str">
        <f t="shared" si="84"/>
        <v/>
      </c>
      <c r="IC14" s="841" t="str">
        <f t="shared" si="85"/>
        <v/>
      </c>
      <c r="ID14" s="351" t="str">
        <f t="shared" si="86"/>
        <v/>
      </c>
      <c r="IE14" s="843" t="str">
        <f t="shared" si="87"/>
        <v/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1.123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0.1362734339743896</v>
      </c>
      <c r="C15" s="572">
        <f t="shared" si="3"/>
        <v>4.5971335030292799</v>
      </c>
      <c r="D15" s="576">
        <f t="shared" si="4"/>
        <v>-0.90492359121278754</v>
      </c>
      <c r="E15" s="580">
        <f t="shared" si="5"/>
        <v>-0.91482010490391252</v>
      </c>
      <c r="F15" s="572">
        <f t="shared" si="6"/>
        <v>0.32414112389035665</v>
      </c>
      <c r="G15" s="579">
        <f t="shared" si="7"/>
        <v>0.24090808925125587</v>
      </c>
      <c r="H15" s="580">
        <f t="shared" si="8"/>
        <v>0.3125</v>
      </c>
      <c r="I15" s="572">
        <f t="shared" si="9"/>
        <v>0.52</v>
      </c>
      <c r="J15" s="483">
        <f t="shared" si="10"/>
        <v>1.129</v>
      </c>
      <c r="K15" s="806">
        <f t="shared" si="11"/>
        <v>1613</v>
      </c>
      <c r="L15" s="814">
        <f>IF($L14=$JJ$22,$JJ$29,IF($L14=$JK$22,$JK$29,""))</f>
        <v>760</v>
      </c>
      <c r="M15" s="164">
        <f t="shared" si="12"/>
        <v>1.129</v>
      </c>
      <c r="N15" s="575">
        <f t="shared" si="13"/>
        <v>0.1362734339743896</v>
      </c>
      <c r="O15" s="572">
        <f t="shared" si="14"/>
        <v>4.5971335030292799</v>
      </c>
      <c r="P15" s="576">
        <f t="shared" si="15"/>
        <v>-0.90492359121278754</v>
      </c>
      <c r="Q15" s="528">
        <f t="shared" si="140"/>
        <v>88.302070876366017</v>
      </c>
      <c r="R15" s="572">
        <f t="shared" si="101"/>
        <v>4.599152845196758</v>
      </c>
      <c r="S15" s="577">
        <f t="shared" si="102"/>
        <v>-0.90492359121278754</v>
      </c>
      <c r="T15" s="578">
        <f t="shared" si="103"/>
        <v>4.5980318796284703</v>
      </c>
      <c r="U15" s="572">
        <f t="shared" si="104"/>
        <v>-0.1015368278099736</v>
      </c>
      <c r="V15" s="579">
        <f t="shared" si="141"/>
        <v>-0.90492359121278754</v>
      </c>
      <c r="W15" s="528">
        <f t="shared" ref="W15:W78" si="253">IF(M15="","",IF(Q15-$Q$8&lt;0,360+Q15-$Q$8,Q15-$Q$8))</f>
        <v>358.73496172223702</v>
      </c>
      <c r="X15" s="572">
        <f>IF(M15="","",R15)</f>
        <v>4.599152845196758</v>
      </c>
      <c r="Y15" s="573">
        <f t="shared" si="17"/>
        <v>-0.90492359121278754</v>
      </c>
      <c r="Z15" s="575">
        <f t="shared" si="18"/>
        <v>0.91482010490391252</v>
      </c>
      <c r="AA15" s="572">
        <f t="shared" si="19"/>
        <v>-0.32414112389035665</v>
      </c>
      <c r="AB15" s="572">
        <f t="shared" si="20"/>
        <v>-0.24090808925125587</v>
      </c>
      <c r="AC15" s="579">
        <f t="shared" si="106"/>
        <v>1</v>
      </c>
      <c r="AD15" s="580">
        <f t="shared" si="142"/>
        <v>0.91482010490391252</v>
      </c>
      <c r="AE15" s="572">
        <f t="shared" si="107"/>
        <v>-0.32414112389035665</v>
      </c>
      <c r="AF15" s="576">
        <f t="shared" si="108"/>
        <v>-0.24090808925125587</v>
      </c>
      <c r="AG15" s="545">
        <f t="shared" si="109"/>
        <v>-53.379539118739778</v>
      </c>
      <c r="AH15" s="546">
        <f t="shared" si="110"/>
        <v>23.819807529347141</v>
      </c>
      <c r="AI15" s="528">
        <f t="shared" si="111"/>
        <v>-76.059857288774083</v>
      </c>
      <c r="AJ15" s="529">
        <f t="shared" si="112"/>
        <v>70.489630810408201</v>
      </c>
      <c r="AK15" s="578">
        <f t="shared" si="238"/>
        <v>0.92402277562523238</v>
      </c>
      <c r="AL15" s="572">
        <f t="shared" si="113"/>
        <v>-0.29689257764240329</v>
      </c>
      <c r="AM15" s="577">
        <f t="shared" si="114"/>
        <v>-0.24090808925125587</v>
      </c>
      <c r="AN15" s="524">
        <f>IF(M15="","",DEGREES(ATAN2(-AM15,AL15)))</f>
        <v>-50.943025181030578</v>
      </c>
      <c r="AO15" s="525">
        <f t="shared" si="116"/>
        <v>22.478543785706282</v>
      </c>
      <c r="AP15" s="528">
        <f t="shared" si="117"/>
        <v>-17.812440065957855</v>
      </c>
      <c r="AQ15" s="529">
        <f t="shared" si="21"/>
        <v>0.19827282185677444</v>
      </c>
      <c r="AS15" s="932">
        <f t="shared" si="143"/>
        <v>358.73496172223702</v>
      </c>
      <c r="AT15" s="928">
        <f t="shared" si="22"/>
        <v>-0.90531710786167485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5"/>
        <v/>
      </c>
      <c r="BC15" s="9"/>
      <c r="BD15" s="5" t="str">
        <f t="shared" si="146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7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8"/>
        <v/>
      </c>
      <c r="BP15" s="5" t="str">
        <f t="shared" si="239"/>
        <v/>
      </c>
      <c r="BQ15" s="5" t="str">
        <f t="shared" si="149"/>
        <v/>
      </c>
      <c r="BR15" s="6" t="str">
        <f t="shared" si="150"/>
        <v/>
      </c>
      <c r="BS15" s="4" t="str">
        <f t="shared" si="118"/>
        <v/>
      </c>
      <c r="BT15" s="5" t="str">
        <f t="shared" si="118"/>
        <v/>
      </c>
      <c r="BU15" s="10" t="str">
        <f t="shared" si="119"/>
        <v/>
      </c>
      <c r="BV15" s="9" t="str">
        <f t="shared" si="120"/>
        <v/>
      </c>
      <c r="BW15" s="5" t="str">
        <f t="shared" si="121"/>
        <v/>
      </c>
      <c r="BX15" s="8" t="str">
        <f t="shared" si="122"/>
        <v/>
      </c>
      <c r="BY15" s="173" t="str">
        <f t="shared" si="123"/>
        <v/>
      </c>
      <c r="BZ15" s="5" t="str">
        <f t="shared" si="124"/>
        <v/>
      </c>
      <c r="CA15" s="6" t="str">
        <f t="shared" si="125"/>
        <v/>
      </c>
      <c r="CB15" s="4" t="str">
        <f t="shared" si="151"/>
        <v/>
      </c>
      <c r="CC15" s="5" t="str">
        <f t="shared" si="152"/>
        <v/>
      </c>
      <c r="CD15" s="5" t="str">
        <f t="shared" si="153"/>
        <v/>
      </c>
      <c r="CE15" s="6" t="str">
        <f t="shared" si="154"/>
        <v/>
      </c>
      <c r="CF15" s="4" t="str">
        <f t="shared" si="155"/>
        <v/>
      </c>
      <c r="CG15" s="5" t="str">
        <f t="shared" si="156"/>
        <v/>
      </c>
      <c r="CH15" s="5" t="str">
        <f t="shared" si="157"/>
        <v/>
      </c>
      <c r="CI15" s="4" t="str">
        <f t="shared" si="126"/>
        <v/>
      </c>
      <c r="CJ15" s="5" t="str">
        <f t="shared" si="127"/>
        <v/>
      </c>
      <c r="CK15" s="8" t="str">
        <f t="shared" si="128"/>
        <v/>
      </c>
      <c r="CL15" s="173" t="str">
        <f t="shared" si="129"/>
        <v/>
      </c>
      <c r="CM15" s="5" t="str">
        <f t="shared" si="130"/>
        <v/>
      </c>
      <c r="CN15" s="6" t="str">
        <f t="shared" si="131"/>
        <v/>
      </c>
      <c r="CO15" s="167" t="str">
        <f t="shared" si="35"/>
        <v/>
      </c>
      <c r="CP15" s="4" t="str">
        <f t="shared" si="240"/>
        <v/>
      </c>
      <c r="CQ15" s="5" t="str">
        <f t="shared" si="241"/>
        <v/>
      </c>
      <c r="CR15" s="5" t="str">
        <f t="shared" si="158"/>
        <v/>
      </c>
      <c r="CS15" s="8" t="str">
        <f t="shared" si="159"/>
        <v/>
      </c>
      <c r="CT15" s="9" t="str">
        <f t="shared" si="160"/>
        <v/>
      </c>
      <c r="CU15" s="6" t="str">
        <f t="shared" si="161"/>
        <v/>
      </c>
      <c r="CV15" s="4" t="str">
        <f t="shared" si="242"/>
        <v/>
      </c>
      <c r="CW15" s="5" t="str">
        <f t="shared" si="162"/>
        <v/>
      </c>
      <c r="CX15" s="8" t="str">
        <f t="shared" si="163"/>
        <v/>
      </c>
      <c r="CY15" s="9" t="str">
        <f t="shared" si="164"/>
        <v/>
      </c>
      <c r="CZ15" s="5" t="str">
        <f t="shared" si="165"/>
        <v/>
      </c>
      <c r="DA15" s="6" t="str">
        <f t="shared" si="166"/>
        <v/>
      </c>
      <c r="DB15" s="4" t="str">
        <f t="shared" si="167"/>
        <v/>
      </c>
      <c r="DC15" s="5" t="str">
        <f t="shared" si="167"/>
        <v/>
      </c>
      <c r="DD15" s="10" t="str">
        <f t="shared" si="168"/>
        <v/>
      </c>
      <c r="DE15" s="9" t="str">
        <f t="shared" si="169"/>
        <v/>
      </c>
      <c r="DF15" s="5" t="str">
        <f t="shared" si="169"/>
        <v/>
      </c>
      <c r="DG15" s="10" t="str">
        <f t="shared" si="170"/>
        <v/>
      </c>
      <c r="DH15" s="70" t="str">
        <f t="shared" si="171"/>
        <v/>
      </c>
      <c r="DI15" s="4" t="str">
        <f t="shared" si="172"/>
        <v/>
      </c>
      <c r="DJ15" s="5" t="str">
        <f t="shared" si="173"/>
        <v/>
      </c>
      <c r="DK15" s="10" t="str">
        <f t="shared" si="174"/>
        <v/>
      </c>
      <c r="DL15" s="9" t="str">
        <f t="shared" si="175"/>
        <v/>
      </c>
      <c r="DM15" s="173" t="str">
        <f t="shared" si="176"/>
        <v/>
      </c>
      <c r="DN15" s="178" t="str">
        <f t="shared" si="177"/>
        <v/>
      </c>
      <c r="DO15" s="9" t="str">
        <f t="shared" si="178"/>
        <v/>
      </c>
      <c r="DP15" s="173" t="str">
        <f t="shared" si="179"/>
        <v/>
      </c>
      <c r="DQ15" s="11" t="str">
        <f t="shared" si="180"/>
        <v/>
      </c>
      <c r="DR15" s="173" t="str">
        <f t="shared" si="181"/>
        <v/>
      </c>
      <c r="DS15" s="5" t="str">
        <f t="shared" si="182"/>
        <v/>
      </c>
      <c r="DT15" s="5" t="str">
        <f t="shared" si="183"/>
        <v/>
      </c>
      <c r="DU15" s="5" t="str">
        <f t="shared" si="184"/>
        <v/>
      </c>
      <c r="DV15" s="5" t="str">
        <f t="shared" si="185"/>
        <v/>
      </c>
      <c r="DW15" s="5" t="str">
        <f t="shared" si="186"/>
        <v/>
      </c>
      <c r="DX15" s="167" t="str">
        <f t="shared" si="187"/>
        <v/>
      </c>
      <c r="DY15" s="9" t="str">
        <f t="shared" si="188"/>
        <v/>
      </c>
      <c r="DZ15" s="5" t="str">
        <f t="shared" si="189"/>
        <v/>
      </c>
      <c r="EA15" s="10" t="str">
        <f t="shared" si="190"/>
        <v/>
      </c>
      <c r="EB15" s="6" t="str">
        <f t="shared" si="191"/>
        <v/>
      </c>
      <c r="EC15" s="173" t="str">
        <f t="shared" si="192"/>
        <v/>
      </c>
      <c r="ED15" s="5" t="str">
        <f t="shared" si="193"/>
        <v/>
      </c>
      <c r="EE15" s="4" t="str">
        <f t="shared" si="194"/>
        <v/>
      </c>
      <c r="EF15" s="5" t="str">
        <f t="shared" si="195"/>
        <v/>
      </c>
      <c r="EG15" s="10" t="str">
        <f t="shared" si="196"/>
        <v/>
      </c>
      <c r="EH15" s="9" t="str">
        <f t="shared" si="197"/>
        <v/>
      </c>
      <c r="EI15" s="5" t="str">
        <f t="shared" si="198"/>
        <v/>
      </c>
      <c r="EJ15" s="6" t="str">
        <f t="shared" si="199"/>
        <v/>
      </c>
      <c r="EK15" s="236" t="str">
        <f t="shared" si="200"/>
        <v/>
      </c>
      <c r="EL15" s="238" t="str">
        <f t="shared" si="201"/>
        <v/>
      </c>
      <c r="EM15" s="4" t="str">
        <f t="shared" si="202"/>
        <v/>
      </c>
      <c r="EN15" s="5" t="str">
        <f t="shared" si="203"/>
        <v/>
      </c>
      <c r="EO15" s="10" t="str">
        <f t="shared" si="204"/>
        <v/>
      </c>
      <c r="EP15" s="9" t="str">
        <f t="shared" si="205"/>
        <v/>
      </c>
      <c r="EQ15" s="5" t="str">
        <f t="shared" si="206"/>
        <v/>
      </c>
      <c r="ER15" s="7" t="str">
        <f t="shared" si="207"/>
        <v/>
      </c>
      <c r="ES15" s="21" t="str">
        <f t="shared" si="132"/>
        <v/>
      </c>
      <c r="ET15" s="5" t="str">
        <f t="shared" si="44"/>
        <v/>
      </c>
      <c r="EU15" s="10" t="str">
        <f t="shared" si="45"/>
        <v/>
      </c>
      <c r="EV15" s="174" t="str">
        <f t="shared" ref="EV15:EV40" si="254">IF(ISNUMBER($AV15),IF(($EV$1-EP15)&lt;0,(360+($EV$1-EP15)),($EV$1-EP15)),"")</f>
        <v/>
      </c>
      <c r="EW15" s="9" t="str">
        <f>IF(ISNUMBER($AV15),(COS(RADIANS($EV15))*ES15)+(-SIN(RADIANS($EV15))*ET15),"")</f>
        <v/>
      </c>
      <c r="EX15" s="5" t="str">
        <f t="shared" si="47"/>
        <v/>
      </c>
      <c r="EY15" s="6" t="str">
        <f t="shared" si="208"/>
        <v/>
      </c>
      <c r="EZ15" s="51" t="str">
        <f>IF(ISNUMBER($AV15),DEGREES(ATAN($AS$5/($EQ15*2*PI()))),"")</f>
        <v/>
      </c>
      <c r="FA15" s="266" t="str">
        <f t="shared" si="134"/>
        <v/>
      </c>
      <c r="FB15" s="267" t="str">
        <f t="shared" si="135"/>
        <v/>
      </c>
      <c r="FC15" s="269" t="str">
        <f t="shared" si="48"/>
        <v/>
      </c>
      <c r="FD15" s="4" t="str">
        <f t="shared" si="136"/>
        <v/>
      </c>
      <c r="FE15" s="5" t="str">
        <f t="shared" si="49"/>
        <v/>
      </c>
      <c r="FF15" s="7" t="str">
        <f t="shared" si="210"/>
        <v/>
      </c>
      <c r="FG15" s="173" t="str">
        <f t="shared" si="211"/>
        <v/>
      </c>
      <c r="FH15" s="5" t="str">
        <f t="shared" si="50"/>
        <v/>
      </c>
      <c r="FI15" s="10" t="str">
        <f t="shared" si="51"/>
        <v/>
      </c>
      <c r="FJ15" s="279" t="str">
        <f t="shared" si="212"/>
        <v/>
      </c>
      <c r="FK15" s="4" t="str">
        <f t="shared" si="52"/>
        <v/>
      </c>
      <c r="FL15" s="5" t="str">
        <f t="shared" si="213"/>
        <v/>
      </c>
      <c r="FM15" s="8" t="str">
        <f t="shared" si="214"/>
        <v/>
      </c>
      <c r="FN15" s="9" t="str">
        <f t="shared" si="215"/>
        <v/>
      </c>
      <c r="FO15" s="10" t="str">
        <f t="shared" si="53"/>
        <v/>
      </c>
      <c r="FP15" s="277" t="str">
        <f t="shared" si="54"/>
        <v/>
      </c>
      <c r="FQ15" s="173" t="str">
        <f>IF(ISNUMBER($AV15),SIN(RADIANS(FN15)),"")</f>
        <v/>
      </c>
      <c r="FR15" s="10" t="str">
        <f t="shared" si="216"/>
        <v/>
      </c>
      <c r="FS15" s="9" t="str">
        <f>IF(ISNUMBER($AV15),FQ15/(FQ15+FR15),"")</f>
        <v/>
      </c>
      <c r="FT15" s="6" t="str">
        <f t="shared" si="218"/>
        <v/>
      </c>
      <c r="FU15" s="4" t="str">
        <f t="shared" si="219"/>
        <v/>
      </c>
      <c r="FV15" s="5" t="str">
        <f t="shared" si="220"/>
        <v/>
      </c>
      <c r="FW15" s="8" t="str">
        <f t="shared" si="244"/>
        <v/>
      </c>
      <c r="FX15" s="9" t="str">
        <f t="shared" si="245"/>
        <v/>
      </c>
      <c r="FY15" s="10" t="str">
        <f t="shared" si="55"/>
        <v/>
      </c>
      <c r="FZ15" s="277" t="str">
        <f t="shared" si="246"/>
        <v/>
      </c>
      <c r="GA15" s="177" t="str">
        <f t="shared" si="221"/>
        <v/>
      </c>
      <c r="GB15" s="4" t="str">
        <f t="shared" si="222"/>
        <v/>
      </c>
      <c r="GC15" s="5" t="str">
        <f t="shared" si="223"/>
        <v/>
      </c>
      <c r="GD15" s="10" t="str">
        <f t="shared" si="224"/>
        <v/>
      </c>
      <c r="GE15" s="311" t="str">
        <f t="shared" si="225"/>
        <v/>
      </c>
      <c r="GF15" s="341" t="str">
        <f t="shared" si="247"/>
        <v/>
      </c>
      <c r="GG15" s="285" t="str">
        <f t="shared" si="56"/>
        <v/>
      </c>
      <c r="GH15" s="286" t="str">
        <f t="shared" si="57"/>
        <v/>
      </c>
      <c r="GI15" s="281" t="str">
        <f t="shared" si="58"/>
        <v/>
      </c>
      <c r="GJ15" s="167" t="str">
        <f t="shared" si="226"/>
        <v/>
      </c>
      <c r="GK15" s="174" t="str">
        <f t="shared" si="59"/>
        <v/>
      </c>
      <c r="GL15" s="174" t="str">
        <f t="shared" si="227"/>
        <v/>
      </c>
      <c r="GM15" s="177" t="str">
        <f t="shared" si="248"/>
        <v/>
      </c>
      <c r="GN15" s="280" t="str">
        <f t="shared" si="228"/>
        <v/>
      </c>
      <c r="GO15" s="4" t="str">
        <f t="shared" si="229"/>
        <v/>
      </c>
      <c r="GP15" s="8" t="str">
        <f t="shared" si="249"/>
        <v/>
      </c>
      <c r="GQ15" s="177" t="str">
        <f t="shared" si="230"/>
        <v/>
      </c>
      <c r="GR15" s="371" t="str">
        <f t="shared" si="250"/>
        <v/>
      </c>
      <c r="GS15" s="342" t="str">
        <f t="shared" si="61"/>
        <v/>
      </c>
      <c r="GT15" s="343" t="str">
        <f t="shared" si="62"/>
        <v/>
      </c>
      <c r="GU15" s="344" t="str">
        <f>IF(ISNUMBER($AV15),$GV15*$GK15,"")</f>
        <v/>
      </c>
      <c r="GV15" s="343" t="str">
        <f t="shared" si="252"/>
        <v/>
      </c>
      <c r="GW15" s="345" t="str">
        <f t="shared" si="64"/>
        <v/>
      </c>
      <c r="GX15" s="346" t="str">
        <f t="shared" si="65"/>
        <v/>
      </c>
      <c r="GY15" s="344" t="str">
        <f t="shared" si="66"/>
        <v/>
      </c>
      <c r="GZ15" s="345" t="str">
        <f t="shared" si="67"/>
        <v/>
      </c>
      <c r="HA15" s="342" t="str">
        <f t="shared" si="68"/>
        <v/>
      </c>
      <c r="HB15" s="5" t="str">
        <f t="shared" si="231"/>
        <v/>
      </c>
      <c r="HC15" s="343" t="str">
        <f t="shared" si="232"/>
        <v/>
      </c>
      <c r="HD15" s="345" t="str">
        <f t="shared" si="233"/>
        <v/>
      </c>
      <c r="HE15" s="344" t="str">
        <f t="shared" si="69"/>
        <v/>
      </c>
      <c r="HF15" s="5" t="str">
        <f t="shared" si="70"/>
        <v/>
      </c>
      <c r="HG15" s="343" t="str">
        <f t="shared" si="234"/>
        <v/>
      </c>
      <c r="HH15" s="349" t="str">
        <f t="shared" si="235"/>
        <v/>
      </c>
      <c r="HI15" s="317" t="str">
        <f t="shared" si="71"/>
        <v/>
      </c>
      <c r="HJ15" s="336"/>
      <c r="HK15" s="310" t="str">
        <f t="shared" si="137"/>
        <v/>
      </c>
      <c r="HL15" s="348" t="str">
        <f t="shared" si="72"/>
        <v/>
      </c>
      <c r="HM15" s="909" t="str">
        <f t="shared" si="138"/>
        <v/>
      </c>
      <c r="HN15" s="910" t="str">
        <f t="shared" si="73"/>
        <v/>
      </c>
      <c r="HO15" s="911"/>
      <c r="HP15" s="912"/>
      <c r="HQ15" s="910" t="str">
        <f t="shared" si="74"/>
        <v/>
      </c>
      <c r="HR15" s="913" t="str">
        <f t="shared" si="75"/>
        <v/>
      </c>
      <c r="HS15" s="865" t="str">
        <f t="shared" si="251"/>
        <v/>
      </c>
      <c r="HT15" s="875" t="str">
        <f t="shared" si="76"/>
        <v/>
      </c>
      <c r="HU15" s="876" t="str">
        <f t="shared" si="77"/>
        <v/>
      </c>
      <c r="HV15" s="872" t="str">
        <f t="shared" si="78"/>
        <v/>
      </c>
      <c r="HW15" s="866" t="str">
        <f t="shared" si="79"/>
        <v/>
      </c>
      <c r="HX15" s="867" t="str">
        <f t="shared" si="80"/>
        <v/>
      </c>
      <c r="HY15" s="866" t="str">
        <f t="shared" si="81"/>
        <v/>
      </c>
      <c r="HZ15" s="868" t="str">
        <f t="shared" si="82"/>
        <v/>
      </c>
      <c r="IA15" s="869" t="str">
        <f t="shared" si="83"/>
        <v/>
      </c>
      <c r="IB15" s="870" t="str">
        <f t="shared" si="84"/>
        <v/>
      </c>
      <c r="IC15" s="841" t="str">
        <f t="shared" si="85"/>
        <v/>
      </c>
      <c r="ID15" s="351" t="str">
        <f t="shared" si="86"/>
        <v/>
      </c>
      <c r="IE15" s="843" t="str">
        <f t="shared" si="87"/>
        <v/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1.129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1613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55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si="2"/>
        <v>0.18933483126253856</v>
      </c>
      <c r="C16" s="572">
        <f t="shared" si="3"/>
        <v>4.9393217428090388</v>
      </c>
      <c r="D16" s="576">
        <f t="shared" si="4"/>
        <v>-1.5894253922584844</v>
      </c>
      <c r="E16" s="580">
        <f t="shared" si="5"/>
        <v>-0.87861683332969831</v>
      </c>
      <c r="F16" s="572">
        <f t="shared" si="6"/>
        <v>0.45139956533975029</v>
      </c>
      <c r="G16" s="579">
        <f t="shared" si="7"/>
        <v>0.15579118267982281</v>
      </c>
      <c r="H16" s="580">
        <f t="shared" si="8"/>
        <v>0.3125</v>
      </c>
      <c r="I16" s="572">
        <f t="shared" si="9"/>
        <v>0.52</v>
      </c>
      <c r="J16" s="483">
        <f t="shared" si="10"/>
        <v>1.135</v>
      </c>
      <c r="K16" s="806">
        <f t="shared" si="11"/>
        <v>1613</v>
      </c>
      <c r="L16" s="309"/>
      <c r="M16" s="164">
        <f t="shared" si="12"/>
        <v>1.135</v>
      </c>
      <c r="N16" s="575">
        <f t="shared" si="13"/>
        <v>0.18933483126253856</v>
      </c>
      <c r="O16" s="572">
        <f t="shared" si="14"/>
        <v>4.9393217428090388</v>
      </c>
      <c r="P16" s="576">
        <f t="shared" si="15"/>
        <v>-1.5894253922584844</v>
      </c>
      <c r="Q16" s="528">
        <f>IF(M16="","",IF(DEGREES(ATAN2(N16,O16))&lt;0,DEGREES(ATAN2(N16,O16))+360,IF(DEGREES(ATAN2(N16,O16))&gt;360,DEGREES(ATAN2(N16,O16))-360,DEGREES(ATAN2(N16,O16)))))</f>
        <v>87.804804229412483</v>
      </c>
      <c r="R16" s="572">
        <f t="shared" si="101"/>
        <v>4.9429492165422184</v>
      </c>
      <c r="S16" s="577">
        <f t="shared" si="102"/>
        <v>-1.5894253922584844</v>
      </c>
      <c r="T16" s="578">
        <f t="shared" si="103"/>
        <v>4.94061124748717</v>
      </c>
      <c r="U16" s="572">
        <f t="shared" si="104"/>
        <v>-0.15201137628020786</v>
      </c>
      <c r="V16" s="579">
        <f t="shared" si="141"/>
        <v>-1.5894253922584844</v>
      </c>
      <c r="W16" s="528">
        <f>IF(M16="","",IF(Q16-$Q$8&lt;0,360+Q16-$Q$8,Q16-$Q$8))</f>
        <v>358.23769507528345</v>
      </c>
      <c r="X16" s="572">
        <f t="shared" si="105"/>
        <v>4.9429492165422184</v>
      </c>
      <c r="Y16" s="573">
        <f t="shared" ref="Y16:Y75" si="255">IF(M16="","",S16)</f>
        <v>-1.5894253922584844</v>
      </c>
      <c r="Z16" s="575">
        <f t="shared" si="18"/>
        <v>0.87861683332969831</v>
      </c>
      <c r="AA16" s="572">
        <f t="shared" si="19"/>
        <v>-0.45139956533975029</v>
      </c>
      <c r="AB16" s="572">
        <f t="shared" si="20"/>
        <v>-0.15579118267982281</v>
      </c>
      <c r="AC16" s="579">
        <f t="shared" si="106"/>
        <v>1</v>
      </c>
      <c r="AD16" s="580">
        <f t="shared" si="142"/>
        <v>0.87861683332969831</v>
      </c>
      <c r="AE16" s="572">
        <f t="shared" si="107"/>
        <v>-0.45139956533975029</v>
      </c>
      <c r="AF16" s="576">
        <f t="shared" si="108"/>
        <v>-0.15579118267982281</v>
      </c>
      <c r="AG16" s="545">
        <f t="shared" si="109"/>
        <v>-70.958949332556287</v>
      </c>
      <c r="AH16" s="546">
        <f t="shared" si="110"/>
        <v>28.524039648290334</v>
      </c>
      <c r="AI16" s="528">
        <f t="shared" si="111"/>
        <v>-81.037314874080266</v>
      </c>
      <c r="AJ16" s="529">
        <f t="shared" si="112"/>
        <v>62.807643123400808</v>
      </c>
      <c r="AK16" s="578">
        <f t="shared" si="238"/>
        <v>0.89526246278018828</v>
      </c>
      <c r="AL16" s="572">
        <f t="shared" si="113"/>
        <v>-0.41741373975466389</v>
      </c>
      <c r="AM16" s="577">
        <f t="shared" si="114"/>
        <v>-0.15579118267982281</v>
      </c>
      <c r="AN16" s="524">
        <f t="shared" si="115"/>
        <v>-69.53293472939626</v>
      </c>
      <c r="AO16" s="525">
        <f t="shared" si="116"/>
        <v>26.457837763909776</v>
      </c>
      <c r="AP16" s="528">
        <f t="shared" si="117"/>
        <v>-24.997161106011674</v>
      </c>
      <c r="AQ16" s="529">
        <f t="shared" si="21"/>
        <v>0.18448247423843261</v>
      </c>
      <c r="AS16" s="932">
        <f t="shared" si="143"/>
        <v>358.23769507528345</v>
      </c>
      <c r="AT16" s="928">
        <f t="shared" si="22"/>
        <v>-1.5896807792832179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4"/>
        <v/>
      </c>
      <c r="BA16" s="296" t="str">
        <f t="shared" si="24"/>
        <v/>
      </c>
      <c r="BB16" s="291" t="str">
        <f t="shared" si="145"/>
        <v/>
      </c>
      <c r="BC16" s="9"/>
      <c r="BD16" s="5" t="str">
        <f t="shared" si="146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7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8"/>
        <v/>
      </c>
      <c r="BP16" s="5" t="str">
        <f t="shared" si="239"/>
        <v/>
      </c>
      <c r="BQ16" s="5" t="str">
        <f t="shared" si="149"/>
        <v/>
      </c>
      <c r="BR16" s="6" t="str">
        <f t="shared" si="150"/>
        <v/>
      </c>
      <c r="BS16" s="4" t="str">
        <f t="shared" si="118"/>
        <v/>
      </c>
      <c r="BT16" s="5" t="str">
        <f t="shared" si="118"/>
        <v/>
      </c>
      <c r="BU16" s="10" t="str">
        <f t="shared" si="119"/>
        <v/>
      </c>
      <c r="BV16" s="9" t="str">
        <f t="shared" si="120"/>
        <v/>
      </c>
      <c r="BW16" s="5" t="str">
        <f t="shared" si="121"/>
        <v/>
      </c>
      <c r="BX16" s="8" t="str">
        <f t="shared" si="122"/>
        <v/>
      </c>
      <c r="BY16" s="173" t="str">
        <f t="shared" si="123"/>
        <v/>
      </c>
      <c r="BZ16" s="5" t="str">
        <f t="shared" si="124"/>
        <v/>
      </c>
      <c r="CA16" s="6" t="str">
        <f t="shared" si="125"/>
        <v/>
      </c>
      <c r="CB16" s="4" t="str">
        <f t="shared" si="151"/>
        <v/>
      </c>
      <c r="CC16" s="5" t="str">
        <f t="shared" si="152"/>
        <v/>
      </c>
      <c r="CD16" s="5" t="str">
        <f t="shared" si="153"/>
        <v/>
      </c>
      <c r="CE16" s="6" t="str">
        <f t="shared" si="154"/>
        <v/>
      </c>
      <c r="CF16" s="4" t="str">
        <f t="shared" si="155"/>
        <v/>
      </c>
      <c r="CG16" s="5" t="str">
        <f t="shared" si="156"/>
        <v/>
      </c>
      <c r="CH16" s="5" t="str">
        <f t="shared" si="157"/>
        <v/>
      </c>
      <c r="CI16" s="4" t="str">
        <f t="shared" si="126"/>
        <v/>
      </c>
      <c r="CJ16" s="5" t="str">
        <f t="shared" si="127"/>
        <v/>
      </c>
      <c r="CK16" s="8" t="str">
        <f t="shared" si="128"/>
        <v/>
      </c>
      <c r="CL16" s="173" t="str">
        <f t="shared" si="129"/>
        <v/>
      </c>
      <c r="CM16" s="5" t="str">
        <f t="shared" si="130"/>
        <v/>
      </c>
      <c r="CN16" s="6" t="str">
        <f t="shared" si="131"/>
        <v/>
      </c>
      <c r="CO16" s="167" t="str">
        <f t="shared" si="35"/>
        <v/>
      </c>
      <c r="CP16" s="4" t="str">
        <f t="shared" si="240"/>
        <v/>
      </c>
      <c r="CQ16" s="5" t="str">
        <f t="shared" si="241"/>
        <v/>
      </c>
      <c r="CR16" s="5" t="str">
        <f>IF(ISNUMBER($AV16),BF16^2+BG16^2+BH16^2+CI16^2+CJ16^2+CK16^2-2*(BF16*CI16+BG16*CJ16+BH16*CK16)-CO16^2,"")</f>
        <v/>
      </c>
      <c r="CS16" s="8" t="str">
        <f t="shared" si="159"/>
        <v/>
      </c>
      <c r="CT16" s="9" t="str">
        <f t="shared" si="160"/>
        <v/>
      </c>
      <c r="CU16" s="6" t="str">
        <f t="shared" si="161"/>
        <v/>
      </c>
      <c r="CV16" s="4" t="str">
        <f t="shared" si="242"/>
        <v/>
      </c>
      <c r="CW16" s="5" t="str">
        <f t="shared" si="162"/>
        <v/>
      </c>
      <c r="CX16" s="8" t="str">
        <f t="shared" si="163"/>
        <v/>
      </c>
      <c r="CY16" s="9" t="str">
        <f t="shared" si="164"/>
        <v/>
      </c>
      <c r="CZ16" s="5" t="str">
        <f t="shared" si="165"/>
        <v/>
      </c>
      <c r="DA16" s="6" t="str">
        <f t="shared" si="166"/>
        <v/>
      </c>
      <c r="DB16" s="4" t="str">
        <f t="shared" si="167"/>
        <v/>
      </c>
      <c r="DC16" s="5" t="str">
        <f t="shared" si="167"/>
        <v/>
      </c>
      <c r="DD16" s="10" t="str">
        <f>IF(ISNUMBER($AV16),-10,"")</f>
        <v/>
      </c>
      <c r="DE16" s="9" t="str">
        <f t="shared" si="169"/>
        <v/>
      </c>
      <c r="DF16" s="5" t="str">
        <f t="shared" si="169"/>
        <v/>
      </c>
      <c r="DG16" s="10" t="str">
        <f t="shared" si="170"/>
        <v/>
      </c>
      <c r="DH16" s="70" t="str">
        <f t="shared" si="171"/>
        <v/>
      </c>
      <c r="DI16" s="4" t="str">
        <f t="shared" si="172"/>
        <v/>
      </c>
      <c r="DJ16" s="5" t="str">
        <f t="shared" si="173"/>
        <v/>
      </c>
      <c r="DK16" s="10" t="str">
        <f t="shared" si="174"/>
        <v/>
      </c>
      <c r="DL16" s="9" t="str">
        <f t="shared" si="175"/>
        <v/>
      </c>
      <c r="DM16" s="173" t="str">
        <f t="shared" si="176"/>
        <v/>
      </c>
      <c r="DN16" s="178" t="str">
        <f t="shared" si="177"/>
        <v/>
      </c>
      <c r="DO16" s="9" t="str">
        <f t="shared" si="178"/>
        <v/>
      </c>
      <c r="DP16" s="173" t="str">
        <f t="shared" si="179"/>
        <v/>
      </c>
      <c r="DQ16" s="11" t="str">
        <f t="shared" si="180"/>
        <v/>
      </c>
      <c r="DR16" s="173" t="str">
        <f t="shared" si="181"/>
        <v/>
      </c>
      <c r="DS16" s="5" t="str">
        <f t="shared" si="182"/>
        <v/>
      </c>
      <c r="DT16" s="5" t="str">
        <f t="shared" si="183"/>
        <v/>
      </c>
      <c r="DU16" s="5" t="str">
        <f t="shared" si="184"/>
        <v/>
      </c>
      <c r="DV16" s="5" t="str">
        <f t="shared" si="185"/>
        <v/>
      </c>
      <c r="DW16" s="5" t="str">
        <f t="shared" si="186"/>
        <v/>
      </c>
      <c r="DX16" s="167" t="str">
        <f t="shared" si="187"/>
        <v/>
      </c>
      <c r="DY16" s="9" t="str">
        <f t="shared" si="188"/>
        <v/>
      </c>
      <c r="DZ16" s="5" t="str">
        <f t="shared" si="189"/>
        <v/>
      </c>
      <c r="EA16" s="10" t="str">
        <f t="shared" si="190"/>
        <v/>
      </c>
      <c r="EB16" s="6" t="str">
        <f t="shared" si="191"/>
        <v/>
      </c>
      <c r="EC16" s="173" t="str">
        <f t="shared" si="192"/>
        <v/>
      </c>
      <c r="ED16" s="5" t="str">
        <f t="shared" si="193"/>
        <v/>
      </c>
      <c r="EE16" s="4" t="str">
        <f t="shared" si="194"/>
        <v/>
      </c>
      <c r="EF16" s="5" t="str">
        <f t="shared" si="195"/>
        <v/>
      </c>
      <c r="EG16" s="10" t="str">
        <f t="shared" si="196"/>
        <v/>
      </c>
      <c r="EH16" s="9" t="str">
        <f t="shared" si="197"/>
        <v/>
      </c>
      <c r="EI16" s="5" t="str">
        <f t="shared" si="198"/>
        <v/>
      </c>
      <c r="EJ16" s="6" t="str">
        <f t="shared" si="199"/>
        <v/>
      </c>
      <c r="EK16" s="236" t="str">
        <f t="shared" si="200"/>
        <v/>
      </c>
      <c r="EL16" s="238" t="str">
        <f t="shared" si="201"/>
        <v/>
      </c>
      <c r="EM16" s="4" t="str">
        <f t="shared" si="202"/>
        <v/>
      </c>
      <c r="EN16" s="5" t="str">
        <f t="shared" si="203"/>
        <v/>
      </c>
      <c r="EO16" s="10" t="str">
        <f t="shared" si="204"/>
        <v/>
      </c>
      <c r="EP16" s="9" t="str">
        <f t="shared" si="205"/>
        <v/>
      </c>
      <c r="EQ16" s="5" t="str">
        <f t="shared" si="206"/>
        <v/>
      </c>
      <c r="ER16" s="7" t="str">
        <f t="shared" si="207"/>
        <v/>
      </c>
      <c r="ES16" s="21" t="str">
        <f t="shared" si="132"/>
        <v/>
      </c>
      <c r="ET16" s="5" t="str">
        <f t="shared" si="44"/>
        <v/>
      </c>
      <c r="EU16" s="10" t="str">
        <f t="shared" si="45"/>
        <v/>
      </c>
      <c r="EV16" s="174" t="str">
        <f t="shared" si="254"/>
        <v/>
      </c>
      <c r="EW16" s="9" t="str">
        <f t="shared" si="133"/>
        <v/>
      </c>
      <c r="EX16" s="5" t="str">
        <f t="shared" si="47"/>
        <v/>
      </c>
      <c r="EY16" s="6" t="str">
        <f t="shared" si="208"/>
        <v/>
      </c>
      <c r="EZ16" s="51" t="str">
        <f t="shared" si="209"/>
        <v/>
      </c>
      <c r="FA16" s="266" t="str">
        <f>IF(ISNUMBER($AV16),SIN(RADIANS($EP16))*COS(RADIANS($EZ16)),"")</f>
        <v/>
      </c>
      <c r="FB16" s="267" t="str">
        <f t="shared" si="135"/>
        <v/>
      </c>
      <c r="FC16" s="269" t="str">
        <f t="shared" si="48"/>
        <v/>
      </c>
      <c r="FD16" s="4" t="str">
        <f t="shared" si="136"/>
        <v/>
      </c>
      <c r="FE16" s="5" t="str">
        <f t="shared" si="49"/>
        <v/>
      </c>
      <c r="FF16" s="7" t="str">
        <f t="shared" si="210"/>
        <v/>
      </c>
      <c r="FG16" s="173" t="str">
        <f t="shared" si="211"/>
        <v/>
      </c>
      <c r="FH16" s="5" t="str">
        <f t="shared" si="50"/>
        <v/>
      </c>
      <c r="FI16" s="10" t="str">
        <f t="shared" si="51"/>
        <v/>
      </c>
      <c r="FJ16" s="279" t="str">
        <f t="shared" si="212"/>
        <v/>
      </c>
      <c r="FK16" s="4" t="str">
        <f t="shared" si="52"/>
        <v/>
      </c>
      <c r="FL16" s="5" t="str">
        <f t="shared" si="213"/>
        <v/>
      </c>
      <c r="FM16" s="8" t="str">
        <f t="shared" si="214"/>
        <v/>
      </c>
      <c r="FN16" s="9" t="str">
        <f t="shared" si="215"/>
        <v/>
      </c>
      <c r="FO16" s="10" t="str">
        <f t="shared" si="53"/>
        <v/>
      </c>
      <c r="FP16" s="277" t="str">
        <f t="shared" si="54"/>
        <v/>
      </c>
      <c r="FQ16" s="173" t="str">
        <f t="shared" si="243"/>
        <v/>
      </c>
      <c r="FR16" s="10" t="str">
        <f t="shared" si="216"/>
        <v/>
      </c>
      <c r="FS16" s="9" t="str">
        <f t="shared" si="217"/>
        <v/>
      </c>
      <c r="FT16" s="6" t="str">
        <f t="shared" si="218"/>
        <v/>
      </c>
      <c r="FU16" s="4" t="str">
        <f t="shared" si="219"/>
        <v/>
      </c>
      <c r="FV16" s="5" t="str">
        <f t="shared" si="220"/>
        <v/>
      </c>
      <c r="FW16" s="8" t="str">
        <f t="shared" si="244"/>
        <v/>
      </c>
      <c r="FX16" s="9" t="str">
        <f t="shared" si="245"/>
        <v/>
      </c>
      <c r="FY16" s="10" t="str">
        <f t="shared" si="55"/>
        <v/>
      </c>
      <c r="FZ16" s="277" t="str">
        <f t="shared" si="246"/>
        <v/>
      </c>
      <c r="GA16" s="177" t="str">
        <f t="shared" si="221"/>
        <v/>
      </c>
      <c r="GB16" s="4" t="str">
        <f t="shared" si="222"/>
        <v/>
      </c>
      <c r="GC16" s="5" t="str">
        <f t="shared" si="223"/>
        <v/>
      </c>
      <c r="GD16" s="10" t="str">
        <f t="shared" si="224"/>
        <v/>
      </c>
      <c r="GE16" s="311" t="str">
        <f t="shared" si="225"/>
        <v/>
      </c>
      <c r="GF16" s="341" t="str">
        <f t="shared" si="247"/>
        <v/>
      </c>
      <c r="GG16" s="285" t="str">
        <f t="shared" si="56"/>
        <v/>
      </c>
      <c r="GH16" s="286" t="str">
        <f t="shared" si="57"/>
        <v/>
      </c>
      <c r="GI16" s="281" t="str">
        <f t="shared" si="58"/>
        <v/>
      </c>
      <c r="GJ16" s="167" t="str">
        <f t="shared" si="226"/>
        <v/>
      </c>
      <c r="GK16" s="174" t="str">
        <f t="shared" si="59"/>
        <v/>
      </c>
      <c r="GL16" s="174" t="str">
        <f t="shared" si="227"/>
        <v/>
      </c>
      <c r="GM16" s="177" t="str">
        <f t="shared" si="248"/>
        <v/>
      </c>
      <c r="GN16" s="280" t="str">
        <f t="shared" si="228"/>
        <v/>
      </c>
      <c r="GO16" s="4" t="str">
        <f t="shared" si="229"/>
        <v/>
      </c>
      <c r="GP16" s="8" t="str">
        <f t="shared" si="249"/>
        <v/>
      </c>
      <c r="GQ16" s="177" t="str">
        <f t="shared" si="230"/>
        <v/>
      </c>
      <c r="GR16" s="371" t="str">
        <f t="shared" si="250"/>
        <v/>
      </c>
      <c r="GS16" s="342" t="str">
        <f t="shared" si="61"/>
        <v/>
      </c>
      <c r="GT16" s="343" t="str">
        <f t="shared" si="62"/>
        <v/>
      </c>
      <c r="GU16" s="344" t="str">
        <f t="shared" si="63"/>
        <v/>
      </c>
      <c r="GV16" s="343" t="str">
        <f t="shared" si="252"/>
        <v/>
      </c>
      <c r="GW16" s="345" t="str">
        <f t="shared" si="64"/>
        <v/>
      </c>
      <c r="GX16" s="346" t="str">
        <f t="shared" si="65"/>
        <v/>
      </c>
      <c r="GY16" s="344" t="str">
        <f t="shared" si="66"/>
        <v/>
      </c>
      <c r="GZ16" s="345" t="str">
        <f t="shared" si="67"/>
        <v/>
      </c>
      <c r="HA16" s="342" t="str">
        <f t="shared" si="68"/>
        <v/>
      </c>
      <c r="HB16" s="5" t="str">
        <f t="shared" si="231"/>
        <v/>
      </c>
      <c r="HC16" s="343" t="str">
        <f t="shared" si="232"/>
        <v/>
      </c>
      <c r="HD16" s="345" t="str">
        <f t="shared" si="233"/>
        <v/>
      </c>
      <c r="HE16" s="344" t="str">
        <f t="shared" si="69"/>
        <v/>
      </c>
      <c r="HF16" s="5" t="str">
        <f t="shared" si="70"/>
        <v/>
      </c>
      <c r="HG16" s="343" t="str">
        <f t="shared" si="234"/>
        <v/>
      </c>
      <c r="HH16" s="349" t="str">
        <f t="shared" si="235"/>
        <v/>
      </c>
      <c r="HI16" s="317" t="str">
        <f t="shared" si="71"/>
        <v/>
      </c>
      <c r="HJ16" s="336"/>
      <c r="HK16" s="310" t="str">
        <f t="shared" si="137"/>
        <v/>
      </c>
      <c r="HL16" s="348" t="str">
        <f t="shared" si="72"/>
        <v/>
      </c>
      <c r="HM16" s="909" t="str">
        <f t="shared" si="138"/>
        <v/>
      </c>
      <c r="HN16" s="910" t="str">
        <f t="shared" si="73"/>
        <v/>
      </c>
      <c r="HO16" s="911"/>
      <c r="HP16" s="912"/>
      <c r="HQ16" s="910" t="str">
        <f t="shared" si="74"/>
        <v/>
      </c>
      <c r="HR16" s="913" t="str">
        <f t="shared" si="75"/>
        <v/>
      </c>
      <c r="HS16" s="865" t="str">
        <f t="shared" si="251"/>
        <v/>
      </c>
      <c r="HT16" s="875" t="str">
        <f t="shared" si="76"/>
        <v/>
      </c>
      <c r="HU16" s="876" t="str">
        <f t="shared" si="77"/>
        <v/>
      </c>
      <c r="HV16" s="872" t="str">
        <f t="shared" si="78"/>
        <v/>
      </c>
      <c r="HW16" s="866" t="str">
        <f t="shared" si="79"/>
        <v/>
      </c>
      <c r="HX16" s="867" t="str">
        <f t="shared" si="80"/>
        <v/>
      </c>
      <c r="HY16" s="866" t="str">
        <f t="shared" si="81"/>
        <v/>
      </c>
      <c r="HZ16" s="868" t="str">
        <f t="shared" si="82"/>
        <v/>
      </c>
      <c r="IA16" s="869" t="str">
        <f t="shared" si="83"/>
        <v/>
      </c>
      <c r="IB16" s="870" t="str">
        <f t="shared" si="84"/>
        <v/>
      </c>
      <c r="IC16" s="841" t="str">
        <f t="shared" si="85"/>
        <v/>
      </c>
      <c r="ID16" s="351" t="str">
        <f t="shared" si="86"/>
        <v/>
      </c>
      <c r="IE16" s="843" t="str">
        <f t="shared" si="87"/>
        <v/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1.135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1613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0.02</v>
      </c>
      <c r="B17" s="578">
        <f t="shared" si="2"/>
        <v>0.20362314266058476</v>
      </c>
      <c r="C17" s="572">
        <f t="shared" si="3"/>
        <v>5.0228784071199728</v>
      </c>
      <c r="D17" s="576">
        <f t="shared" si="4"/>
        <v>-2.3485852153236326</v>
      </c>
      <c r="E17" s="580">
        <f t="shared" si="5"/>
        <v>-0.84714778051037243</v>
      </c>
      <c r="F17" s="572">
        <f t="shared" si="6"/>
        <v>0.52956944831640185</v>
      </c>
      <c r="G17" s="579">
        <f t="shared" si="7"/>
        <v>4.3552696658322988E-2</v>
      </c>
      <c r="H17" s="580">
        <f t="shared" si="8"/>
        <v>0.3125</v>
      </c>
      <c r="I17" s="572">
        <f t="shared" si="9"/>
        <v>0.52</v>
      </c>
      <c r="J17" s="483">
        <f t="shared" si="10"/>
        <v>1.141</v>
      </c>
      <c r="K17" s="806">
        <f t="shared" si="11"/>
        <v>1613</v>
      </c>
      <c r="M17" s="164">
        <f t="shared" si="12"/>
        <v>1.141</v>
      </c>
      <c r="N17" s="575">
        <f t="shared" si="13"/>
        <v>0.20362314266058476</v>
      </c>
      <c r="O17" s="572">
        <f t="shared" si="14"/>
        <v>5.0228784071199728</v>
      </c>
      <c r="P17" s="576">
        <f t="shared" si="15"/>
        <v>-2.3485852153236326</v>
      </c>
      <c r="Q17" s="528">
        <f>IF(M17="","",IF(DEGREES(ATAN2(N17,O17))&lt;0,DEGREES(ATAN2(N17,O17))+360,IF(DEGREES(ATAN2(N17,O17))&gt;360,DEGREES(ATAN2(N17,O17))-360,DEGREES(ATAN2(N17,O17)))))</f>
        <v>87.678549845722486</v>
      </c>
      <c r="R17" s="572">
        <f>IF(M17="","",SQRT(N17^2+O17^2))</f>
        <v>5.0270040657372705</v>
      </c>
      <c r="S17" s="577">
        <f>IF(M17="","",P17)</f>
        <v>-2.3485852153236326</v>
      </c>
      <c r="T17" s="578">
        <f>IF(M17="","",X17*COS(RADIANS(W17)))</f>
        <v>5.0242734794110913</v>
      </c>
      <c r="U17" s="572">
        <f>IF(M17="","",X17*SIN(RADIANS(W17)))</f>
        <v>-0.16566798431022653</v>
      </c>
      <c r="V17" s="579">
        <f>IF(M17="","",Y17)</f>
        <v>-2.3485852153236326</v>
      </c>
      <c r="W17" s="528">
        <f t="shared" si="253"/>
        <v>358.11144069159349</v>
      </c>
      <c r="X17" s="572">
        <f>IF(M17="","",R17)</f>
        <v>5.0270040657372705</v>
      </c>
      <c r="Y17" s="573">
        <f t="shared" si="255"/>
        <v>-2.3485852153236326</v>
      </c>
      <c r="Z17" s="575">
        <f t="shared" si="18"/>
        <v>0.84714778051037243</v>
      </c>
      <c r="AA17" s="572">
        <f t="shared" si="19"/>
        <v>-0.52956944831640185</v>
      </c>
      <c r="AB17" s="572">
        <f t="shared" si="20"/>
        <v>-4.3552696658322988E-2</v>
      </c>
      <c r="AC17" s="579">
        <f>IF(M17="","",SQRT(Z17^2+AA17^2+AB17^2))</f>
        <v>1</v>
      </c>
      <c r="AD17" s="580">
        <f>IF(M17="","",Z17*(1/SQRT(Z17^2+AA17^2+AB17^2)))</f>
        <v>0.84714778051037243</v>
      </c>
      <c r="AE17" s="572">
        <f>IF(M17="","",AA17*(1/SQRT(Z17^2+AA17^2+AB17^2)))</f>
        <v>-0.52956944831640185</v>
      </c>
      <c r="AF17" s="576">
        <f>IF(M17="","",AB17*(1/SQRT(Z17^2+AA17^2+AB17^2)))</f>
        <v>-4.3552696658322988E-2</v>
      </c>
      <c r="AG17" s="545">
        <f>IF(M17="","",DEGREES(ATAN2(-AF17,AE17)))</f>
        <v>-85.298477995064843</v>
      </c>
      <c r="AH17" s="546">
        <f>IF(M17="","",DEGREES(ACOS(AD17)))</f>
        <v>32.097211741920567</v>
      </c>
      <c r="AI17" s="528">
        <f>IF(M17="","",DEGREES(-ACOS(-AF17)))</f>
        <v>-87.50382473077525</v>
      </c>
      <c r="AJ17" s="529">
        <f>IF(M17="","",DEGREES(ATAN2(-AE17,AD17)))</f>
        <v>57.989652081178271</v>
      </c>
      <c r="AK17" s="578">
        <f>IF(M17="","",(COS(RADIANS((90-$Q$8)-W17))*AD17)+(-SIN(RADIANS((90-$Q$8)-W17))*AE17))</f>
        <v>0.86790319495166313</v>
      </c>
      <c r="AL17" s="572">
        <f>IF(M17="","",(SIN(RADIANS((90-$Q$8)-W17))*AD17)+(COS(RADIANS((90-$Q$8)-W17))*AE17))</f>
        <v>-0.49482037832579578</v>
      </c>
      <c r="AM17" s="577">
        <f>IF(M17="","",AF17)</f>
        <v>-4.3552696658322988E-2</v>
      </c>
      <c r="AN17" s="524">
        <f>IF(M17="","",DEGREES(ATAN2(-AM17,AL17)))</f>
        <v>-84.96994937215598</v>
      </c>
      <c r="AO17" s="525">
        <f t="shared" si="116"/>
        <v>29.784116024848295</v>
      </c>
      <c r="AP17" s="528">
        <f>IF(M17="","",DEGREES(ATAN2(AK17,AL17)))</f>
        <v>-29.68889776454423</v>
      </c>
      <c r="AQ17" s="529">
        <f t="shared" si="21"/>
        <v>0.18139782544022379</v>
      </c>
      <c r="AS17" s="932">
        <f t="shared" si="143"/>
        <v>358.11144069159349</v>
      </c>
      <c r="AT17" s="928">
        <f t="shared" si="22"/>
        <v>-2.3488055316862302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4"/>
        <v/>
      </c>
      <c r="BA17" s="296" t="str">
        <f t="shared" si="24"/>
        <v/>
      </c>
      <c r="BB17" s="190" t="str">
        <f t="shared" si="145"/>
        <v/>
      </c>
      <c r="BC17" s="9"/>
      <c r="BD17" s="5" t="str">
        <f t="shared" si="146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7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8"/>
        <v/>
      </c>
      <c r="BP17" s="5" t="str">
        <f t="shared" si="239"/>
        <v/>
      </c>
      <c r="BQ17" s="5" t="str">
        <f t="shared" si="149"/>
        <v/>
      </c>
      <c r="BR17" s="6" t="str">
        <f t="shared" si="150"/>
        <v/>
      </c>
      <c r="BS17" s="4" t="str">
        <f t="shared" si="118"/>
        <v/>
      </c>
      <c r="BT17" s="5" t="str">
        <f t="shared" si="118"/>
        <v/>
      </c>
      <c r="BU17" s="10" t="str">
        <f t="shared" si="119"/>
        <v/>
      </c>
      <c r="BV17" s="9" t="str">
        <f t="shared" si="120"/>
        <v/>
      </c>
      <c r="BW17" s="5" t="str">
        <f t="shared" si="121"/>
        <v/>
      </c>
      <c r="BX17" s="8" t="str">
        <f t="shared" si="122"/>
        <v/>
      </c>
      <c r="BY17" s="173" t="str">
        <f t="shared" si="123"/>
        <v/>
      </c>
      <c r="BZ17" s="5" t="str">
        <f t="shared" si="124"/>
        <v/>
      </c>
      <c r="CA17" s="6" t="str">
        <f t="shared" si="125"/>
        <v/>
      </c>
      <c r="CB17" s="4" t="str">
        <f t="shared" si="151"/>
        <v/>
      </c>
      <c r="CC17" s="5" t="str">
        <f t="shared" si="152"/>
        <v/>
      </c>
      <c r="CD17" s="5" t="str">
        <f t="shared" si="153"/>
        <v/>
      </c>
      <c r="CE17" s="6" t="str">
        <f t="shared" si="154"/>
        <v/>
      </c>
      <c r="CF17" s="4" t="str">
        <f t="shared" si="155"/>
        <v/>
      </c>
      <c r="CG17" s="5" t="str">
        <f t="shared" si="156"/>
        <v/>
      </c>
      <c r="CH17" s="5" t="str">
        <f t="shared" si="157"/>
        <v/>
      </c>
      <c r="CI17" s="4" t="str">
        <f t="shared" si="126"/>
        <v/>
      </c>
      <c r="CJ17" s="5" t="str">
        <f t="shared" si="127"/>
        <v/>
      </c>
      <c r="CK17" s="8" t="str">
        <f t="shared" si="128"/>
        <v/>
      </c>
      <c r="CL17" s="173" t="str">
        <f t="shared" si="129"/>
        <v/>
      </c>
      <c r="CM17" s="5" t="str">
        <f t="shared" si="130"/>
        <v/>
      </c>
      <c r="CN17" s="6" t="str">
        <f t="shared" si="131"/>
        <v/>
      </c>
      <c r="CO17" s="167" t="str">
        <f t="shared" si="35"/>
        <v/>
      </c>
      <c r="CP17" s="4" t="str">
        <f t="shared" si="240"/>
        <v/>
      </c>
      <c r="CQ17" s="5" t="str">
        <f t="shared" si="241"/>
        <v/>
      </c>
      <c r="CR17" s="5" t="str">
        <f t="shared" si="158"/>
        <v/>
      </c>
      <c r="CS17" s="8" t="str">
        <f t="shared" si="159"/>
        <v/>
      </c>
      <c r="CT17" s="9" t="str">
        <f t="shared" si="160"/>
        <v/>
      </c>
      <c r="CU17" s="6" t="str">
        <f t="shared" si="161"/>
        <v/>
      </c>
      <c r="CV17" s="4" t="str">
        <f t="shared" si="242"/>
        <v/>
      </c>
      <c r="CW17" s="5" t="str">
        <f t="shared" si="162"/>
        <v/>
      </c>
      <c r="CX17" s="8" t="str">
        <f t="shared" si="163"/>
        <v/>
      </c>
      <c r="CY17" s="9" t="str">
        <f t="shared" si="164"/>
        <v/>
      </c>
      <c r="CZ17" s="5" t="str">
        <f t="shared" si="165"/>
        <v/>
      </c>
      <c r="DA17" s="6" t="str">
        <f t="shared" si="166"/>
        <v/>
      </c>
      <c r="DB17" s="4" t="str">
        <f t="shared" si="167"/>
        <v/>
      </c>
      <c r="DC17" s="5" t="str">
        <f t="shared" si="167"/>
        <v/>
      </c>
      <c r="DD17" s="10" t="str">
        <f t="shared" si="168"/>
        <v/>
      </c>
      <c r="DE17" s="9" t="str">
        <f t="shared" si="169"/>
        <v/>
      </c>
      <c r="DF17" s="5" t="str">
        <f t="shared" si="169"/>
        <v/>
      </c>
      <c r="DG17" s="10" t="str">
        <f t="shared" si="170"/>
        <v/>
      </c>
      <c r="DH17" s="70" t="str">
        <f t="shared" si="171"/>
        <v/>
      </c>
      <c r="DI17" s="4" t="str">
        <f t="shared" si="172"/>
        <v/>
      </c>
      <c r="DJ17" s="5" t="str">
        <f t="shared" si="173"/>
        <v/>
      </c>
      <c r="DK17" s="10" t="str">
        <f t="shared" si="174"/>
        <v/>
      </c>
      <c r="DL17" s="9" t="str">
        <f t="shared" si="175"/>
        <v/>
      </c>
      <c r="DM17" s="173" t="str">
        <f t="shared" si="176"/>
        <v/>
      </c>
      <c r="DN17" s="178" t="str">
        <f t="shared" si="177"/>
        <v/>
      </c>
      <c r="DO17" s="9" t="str">
        <f t="shared" si="178"/>
        <v/>
      </c>
      <c r="DP17" s="173" t="str">
        <f t="shared" si="179"/>
        <v/>
      </c>
      <c r="DQ17" s="11" t="str">
        <f t="shared" si="180"/>
        <v/>
      </c>
      <c r="DR17" s="173" t="str">
        <f t="shared" si="181"/>
        <v/>
      </c>
      <c r="DS17" s="5" t="str">
        <f t="shared" si="182"/>
        <v/>
      </c>
      <c r="DT17" s="5" t="str">
        <f t="shared" si="183"/>
        <v/>
      </c>
      <c r="DU17" s="5" t="str">
        <f t="shared" si="184"/>
        <v/>
      </c>
      <c r="DV17" s="5" t="str">
        <f t="shared" si="185"/>
        <v/>
      </c>
      <c r="DW17" s="5" t="str">
        <f t="shared" si="186"/>
        <v/>
      </c>
      <c r="DX17" s="167" t="str">
        <f t="shared" si="187"/>
        <v/>
      </c>
      <c r="DY17" s="9" t="str">
        <f t="shared" si="188"/>
        <v/>
      </c>
      <c r="DZ17" s="5" t="str">
        <f t="shared" si="189"/>
        <v/>
      </c>
      <c r="EA17" s="10" t="str">
        <f t="shared" si="190"/>
        <v/>
      </c>
      <c r="EB17" s="6" t="str">
        <f t="shared" si="191"/>
        <v/>
      </c>
      <c r="EC17" s="173" t="str">
        <f t="shared" si="192"/>
        <v/>
      </c>
      <c r="ED17" s="5" t="str">
        <f t="shared" si="193"/>
        <v/>
      </c>
      <c r="EE17" s="4" t="str">
        <f t="shared" si="194"/>
        <v/>
      </c>
      <c r="EF17" s="5" t="str">
        <f t="shared" si="195"/>
        <v/>
      </c>
      <c r="EG17" s="10" t="str">
        <f t="shared" si="196"/>
        <v/>
      </c>
      <c r="EH17" s="9" t="str">
        <f t="shared" si="197"/>
        <v/>
      </c>
      <c r="EI17" s="5" t="str">
        <f t="shared" si="198"/>
        <v/>
      </c>
      <c r="EJ17" s="6" t="str">
        <f t="shared" si="199"/>
        <v/>
      </c>
      <c r="EK17" s="236" t="str">
        <f t="shared" si="200"/>
        <v/>
      </c>
      <c r="EL17" s="238" t="str">
        <f t="shared" si="201"/>
        <v/>
      </c>
      <c r="EM17" s="4" t="str">
        <f t="shared" si="202"/>
        <v/>
      </c>
      <c r="EN17" s="5" t="str">
        <f t="shared" si="203"/>
        <v/>
      </c>
      <c r="EO17" s="10" t="str">
        <f t="shared" si="204"/>
        <v/>
      </c>
      <c r="EP17" s="9" t="str">
        <f t="shared" si="205"/>
        <v/>
      </c>
      <c r="EQ17" s="5" t="str">
        <f t="shared" si="206"/>
        <v/>
      </c>
      <c r="ER17" s="7" t="str">
        <f t="shared" si="207"/>
        <v/>
      </c>
      <c r="ES17" s="21" t="str">
        <f t="shared" si="132"/>
        <v/>
      </c>
      <c r="ET17" s="5" t="str">
        <f t="shared" si="44"/>
        <v/>
      </c>
      <c r="EU17" s="10" t="str">
        <f t="shared" si="45"/>
        <v/>
      </c>
      <c r="EV17" s="174" t="str">
        <f t="shared" si="254"/>
        <v/>
      </c>
      <c r="EW17" s="9" t="str">
        <f t="shared" si="133"/>
        <v/>
      </c>
      <c r="EX17" s="5" t="str">
        <f t="shared" si="47"/>
        <v/>
      </c>
      <c r="EY17" s="6" t="str">
        <f t="shared" si="208"/>
        <v/>
      </c>
      <c r="EZ17" s="51" t="str">
        <f t="shared" si="209"/>
        <v/>
      </c>
      <c r="FA17" s="266" t="str">
        <f t="shared" si="134"/>
        <v/>
      </c>
      <c r="FB17" s="267" t="str">
        <f t="shared" si="135"/>
        <v/>
      </c>
      <c r="FC17" s="269" t="str">
        <f t="shared" si="48"/>
        <v/>
      </c>
      <c r="FD17" s="4" t="str">
        <f t="shared" si="136"/>
        <v/>
      </c>
      <c r="FE17" s="5" t="str">
        <f t="shared" si="49"/>
        <v/>
      </c>
      <c r="FF17" s="7" t="str">
        <f t="shared" si="210"/>
        <v/>
      </c>
      <c r="FG17" s="173" t="str">
        <f t="shared" si="211"/>
        <v/>
      </c>
      <c r="FH17" s="5" t="str">
        <f t="shared" si="50"/>
        <v/>
      </c>
      <c r="FI17" s="10" t="str">
        <f t="shared" si="51"/>
        <v/>
      </c>
      <c r="FJ17" s="279" t="str">
        <f t="shared" si="212"/>
        <v/>
      </c>
      <c r="FK17" s="4" t="str">
        <f t="shared" si="52"/>
        <v/>
      </c>
      <c r="FL17" s="5" t="str">
        <f t="shared" si="213"/>
        <v/>
      </c>
      <c r="FM17" s="8" t="str">
        <f t="shared" si="214"/>
        <v/>
      </c>
      <c r="FN17" s="9" t="str">
        <f t="shared" si="215"/>
        <v/>
      </c>
      <c r="FO17" s="10" t="str">
        <f t="shared" si="53"/>
        <v/>
      </c>
      <c r="FP17" s="277" t="str">
        <f t="shared" si="54"/>
        <v/>
      </c>
      <c r="FQ17" s="173" t="str">
        <f t="shared" si="243"/>
        <v/>
      </c>
      <c r="FR17" s="10" t="str">
        <f t="shared" si="216"/>
        <v/>
      </c>
      <c r="FS17" s="9" t="str">
        <f t="shared" si="217"/>
        <v/>
      </c>
      <c r="FT17" s="6" t="str">
        <f t="shared" si="218"/>
        <v/>
      </c>
      <c r="FU17" s="4" t="str">
        <f t="shared" si="219"/>
        <v/>
      </c>
      <c r="FV17" s="5" t="str">
        <f t="shared" si="220"/>
        <v/>
      </c>
      <c r="FW17" s="8" t="str">
        <f t="shared" si="244"/>
        <v/>
      </c>
      <c r="FX17" s="9" t="str">
        <f t="shared" si="245"/>
        <v/>
      </c>
      <c r="FY17" s="10" t="str">
        <f t="shared" si="55"/>
        <v/>
      </c>
      <c r="FZ17" s="277" t="str">
        <f t="shared" si="246"/>
        <v/>
      </c>
      <c r="GA17" s="177" t="str">
        <f t="shared" si="221"/>
        <v/>
      </c>
      <c r="GB17" s="4" t="str">
        <f t="shared" si="222"/>
        <v/>
      </c>
      <c r="GC17" s="5" t="str">
        <f t="shared" si="223"/>
        <v/>
      </c>
      <c r="GD17" s="10" t="str">
        <f t="shared" si="224"/>
        <v/>
      </c>
      <c r="GE17" s="311" t="str">
        <f t="shared" si="225"/>
        <v/>
      </c>
      <c r="GF17" s="341" t="str">
        <f t="shared" si="247"/>
        <v/>
      </c>
      <c r="GG17" s="285" t="str">
        <f t="shared" si="56"/>
        <v/>
      </c>
      <c r="GH17" s="286" t="str">
        <f t="shared" si="57"/>
        <v/>
      </c>
      <c r="GI17" s="281" t="str">
        <f t="shared" si="58"/>
        <v/>
      </c>
      <c r="GJ17" s="167" t="str">
        <f t="shared" si="226"/>
        <v/>
      </c>
      <c r="GK17" s="174" t="str">
        <f t="shared" si="59"/>
        <v/>
      </c>
      <c r="GL17" s="174" t="str">
        <f t="shared" si="227"/>
        <v/>
      </c>
      <c r="GM17" s="177" t="str">
        <f t="shared" si="248"/>
        <v/>
      </c>
      <c r="GN17" s="280" t="str">
        <f t="shared" si="228"/>
        <v/>
      </c>
      <c r="GO17" s="4" t="str">
        <f t="shared" si="229"/>
        <v/>
      </c>
      <c r="GP17" s="8" t="str">
        <f t="shared" si="249"/>
        <v/>
      </c>
      <c r="GQ17" s="177" t="str">
        <f t="shared" si="230"/>
        <v/>
      </c>
      <c r="GR17" s="371" t="str">
        <f t="shared" si="250"/>
        <v/>
      </c>
      <c r="GS17" s="342" t="str">
        <f t="shared" si="61"/>
        <v/>
      </c>
      <c r="GT17" s="343" t="str">
        <f t="shared" si="62"/>
        <v/>
      </c>
      <c r="GU17" s="344" t="str">
        <f t="shared" si="63"/>
        <v/>
      </c>
      <c r="GV17" s="343" t="str">
        <f t="shared" si="252"/>
        <v/>
      </c>
      <c r="GW17" s="345" t="str">
        <f t="shared" si="64"/>
        <v/>
      </c>
      <c r="GX17" s="346" t="str">
        <f t="shared" si="65"/>
        <v/>
      </c>
      <c r="GY17" s="344" t="str">
        <f t="shared" si="66"/>
        <v/>
      </c>
      <c r="GZ17" s="345" t="str">
        <f t="shared" si="67"/>
        <v/>
      </c>
      <c r="HA17" s="342" t="str">
        <f t="shared" si="68"/>
        <v/>
      </c>
      <c r="HB17" s="5" t="str">
        <f t="shared" si="231"/>
        <v/>
      </c>
      <c r="HC17" s="343" t="str">
        <f t="shared" si="232"/>
        <v/>
      </c>
      <c r="HD17" s="345" t="str">
        <f t="shared" si="233"/>
        <v/>
      </c>
      <c r="HE17" s="344" t="str">
        <f t="shared" si="69"/>
        <v/>
      </c>
      <c r="HF17" s="5" t="str">
        <f t="shared" si="70"/>
        <v/>
      </c>
      <c r="HG17" s="343" t="str">
        <f t="shared" si="234"/>
        <v/>
      </c>
      <c r="HH17" s="349" t="str">
        <f t="shared" si="235"/>
        <v/>
      </c>
      <c r="HI17" s="317" t="str">
        <f t="shared" si="71"/>
        <v/>
      </c>
      <c r="HJ17" s="336"/>
      <c r="HK17" s="310" t="str">
        <f t="shared" si="137"/>
        <v/>
      </c>
      <c r="HL17" s="348" t="str">
        <f t="shared" si="72"/>
        <v/>
      </c>
      <c r="HM17" s="909" t="str">
        <f t="shared" si="138"/>
        <v/>
      </c>
      <c r="HN17" s="910" t="str">
        <f t="shared" si="73"/>
        <v/>
      </c>
      <c r="HO17" s="911"/>
      <c r="HP17" s="912"/>
      <c r="HQ17" s="910" t="str">
        <f t="shared" si="74"/>
        <v/>
      </c>
      <c r="HR17" s="913" t="str">
        <f t="shared" si="75"/>
        <v/>
      </c>
      <c r="HS17" s="865" t="str">
        <f t="shared" si="251"/>
        <v/>
      </c>
      <c r="HT17" s="875" t="str">
        <f t="shared" si="76"/>
        <v/>
      </c>
      <c r="HU17" s="876" t="str">
        <f t="shared" si="77"/>
        <v/>
      </c>
      <c r="HV17" s="872" t="str">
        <f t="shared" si="78"/>
        <v/>
      </c>
      <c r="HW17" s="866" t="str">
        <f t="shared" si="79"/>
        <v/>
      </c>
      <c r="HX17" s="867" t="str">
        <f t="shared" si="80"/>
        <v/>
      </c>
      <c r="HY17" s="866" t="str">
        <f t="shared" si="81"/>
        <v/>
      </c>
      <c r="HZ17" s="868" t="str">
        <f t="shared" si="82"/>
        <v/>
      </c>
      <c r="IA17" s="869" t="str">
        <f t="shared" si="83"/>
        <v/>
      </c>
      <c r="IB17" s="870" t="str">
        <f t="shared" si="84"/>
        <v/>
      </c>
      <c r="IC17" s="841" t="str">
        <f t="shared" si="85"/>
        <v/>
      </c>
      <c r="ID17" s="351" t="str">
        <f t="shared" si="86"/>
        <v/>
      </c>
      <c r="IE17" s="843" t="str">
        <f t="shared" si="87"/>
        <v/>
      </c>
      <c r="IF17" s="844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1.141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8"/>
        <v>1613</v>
      </c>
      <c r="IM17" s="482" t="str">
        <f t="shared" si="237"/>
        <v/>
      </c>
      <c r="IN17" s="670" t="str">
        <f t="shared" si="90"/>
        <v/>
      </c>
      <c r="IO17" s="702"/>
      <c r="IP17" s="5" t="str">
        <f t="shared" si="91"/>
        <v/>
      </c>
      <c r="IQ17" s="714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70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705" t="str">
        <f t="shared" si="100"/>
        <v/>
      </c>
    </row>
    <row r="18" spans="1:271" ht="15" customHeight="1" x14ac:dyDescent="0.25">
      <c r="A18" s="75">
        <f t="shared" si="1"/>
        <v>0.02</v>
      </c>
      <c r="B18" s="578">
        <f t="shared" si="2"/>
        <v>0.21118737343543167</v>
      </c>
      <c r="C18" s="572">
        <f t="shared" si="3"/>
        <v>5.0506754598838572</v>
      </c>
      <c r="D18" s="576">
        <f t="shared" si="4"/>
        <v>-3.1000897483921412</v>
      </c>
      <c r="E18" s="580">
        <f t="shared" si="5"/>
        <v>-0.84646311228494375</v>
      </c>
      <c r="F18" s="572">
        <f t="shared" si="6"/>
        <v>0.53066313434671042</v>
      </c>
      <c r="G18" s="579">
        <f t="shared" si="7"/>
        <v>4.355269665832287E-2</v>
      </c>
      <c r="H18" s="580">
        <f t="shared" si="8"/>
        <v>0.3125</v>
      </c>
      <c r="I18" s="572">
        <f t="shared" si="9"/>
        <v>0.52</v>
      </c>
      <c r="J18" s="483">
        <f t="shared" si="10"/>
        <v>1.147</v>
      </c>
      <c r="K18" s="806">
        <f t="shared" si="11"/>
        <v>1613</v>
      </c>
      <c r="L18" s="720" t="s">
        <v>322</v>
      </c>
      <c r="M18" s="164">
        <f t="shared" si="12"/>
        <v>1.147</v>
      </c>
      <c r="N18" s="575">
        <f t="shared" si="13"/>
        <v>0.21118737343543167</v>
      </c>
      <c r="O18" s="572">
        <f t="shared" si="14"/>
        <v>5.0506754598838572</v>
      </c>
      <c r="P18" s="576">
        <f t="shared" si="15"/>
        <v>-3.1000897483921412</v>
      </c>
      <c r="Q18" s="528">
        <f t="shared" si="140"/>
        <v>87.605646855295348</v>
      </c>
      <c r="R18" s="572">
        <f>IF(M18="","",SQRT(N18^2+O18^2))</f>
        <v>5.0550887932628417</v>
      </c>
      <c r="S18" s="577">
        <f>IF(M18="","",P18)</f>
        <v>-3.1000897483921412</v>
      </c>
      <c r="T18" s="578">
        <f>IF(M18="","",X18*COS(RADIANS(W18)))</f>
        <v>5.0521268888232882</v>
      </c>
      <c r="U18" s="572">
        <f>IF(M18="","",X18*SIN(RADIANS(W18)))</f>
        <v>-0.17302198415316611</v>
      </c>
      <c r="V18" s="579">
        <f>IF(M18="","",Y18)</f>
        <v>-3.1000897483921412</v>
      </c>
      <c r="W18" s="528">
        <f t="shared" si="253"/>
        <v>358.03853770116632</v>
      </c>
      <c r="X18" s="572">
        <f>IF(M18="","",R18)</f>
        <v>5.0550887932628417</v>
      </c>
      <c r="Y18" s="573">
        <f t="shared" si="255"/>
        <v>-3.1000897483921412</v>
      </c>
      <c r="Z18" s="575">
        <f t="shared" si="18"/>
        <v>0.84646311228494375</v>
      </c>
      <c r="AA18" s="572">
        <f t="shared" si="19"/>
        <v>-0.53066313434671042</v>
      </c>
      <c r="AB18" s="572">
        <f t="shared" si="20"/>
        <v>-4.355269665832287E-2</v>
      </c>
      <c r="AC18" s="579">
        <f>IF(M18="","",SQRT(Z18^2+AA18^2+AB18^2))</f>
        <v>1</v>
      </c>
      <c r="AD18" s="580">
        <f>IF(M18="","",Z18*(1/SQRT(Z18^2+AA18^2+AB18^2)))</f>
        <v>0.84646311228494375</v>
      </c>
      <c r="AE18" s="572">
        <f>IF(M18="","",AA18*(1/SQRT(Z18^2+AA18^2+AB18^2)))</f>
        <v>-0.53066313434671042</v>
      </c>
      <c r="AF18" s="576">
        <f>IF(M18="","",AB18*(1/SQRT(Z18^2+AA18^2+AB18^2)))</f>
        <v>-4.355269665832287E-2</v>
      </c>
      <c r="AG18" s="545">
        <f>IF(M18="","",DEGREES(ATAN2(-AF18,AE18)))</f>
        <v>-85.308124432890722</v>
      </c>
      <c r="AH18" s="546">
        <f>IF(M18="","",DEGREES(ACOS(AD18)))</f>
        <v>32.170963236814053</v>
      </c>
      <c r="AI18" s="528">
        <f>IF(M18="","",DEGREES(-ACOS(-AF18)))</f>
        <v>-87.50382473077525</v>
      </c>
      <c r="AJ18" s="529">
        <f>IF(M18="","",DEGREES(ATAN2(-AE18,AD18)))</f>
        <v>57.915652102546815</v>
      </c>
      <c r="AK18" s="578">
        <f>IF(M18="","",(COS(RADIANS((90-$Q$8)-W18))*AD18)+(-SIN(RADIANS((90-$Q$8)-W18))*AE18))</f>
        <v>0.86789372093390582</v>
      </c>
      <c r="AL18" s="572">
        <f>IF(M18="","",(SIN(RADIANS((90-$Q$8)-W18))*AD18)+(COS(RADIANS((90-$Q$8)-W18))*AE18))</f>
        <v>-0.49483699515829238</v>
      </c>
      <c r="AM18" s="577">
        <f>IF(M18="","",AF18)</f>
        <v>-4.355269665832287E-2</v>
      </c>
      <c r="AN18" s="524">
        <f>IF(M18="","",DEGREES(ATAN2(-AM18,AL18)))</f>
        <v>-84.970117416838434</v>
      </c>
      <c r="AO18" s="525">
        <f t="shared" si="116"/>
        <v>29.785208788526894</v>
      </c>
      <c r="AP18" s="528">
        <f>IF(M18="","",DEGREES(ATAN2(AK18,AL18)))</f>
        <v>-29.689994752748529</v>
      </c>
      <c r="AQ18" s="529">
        <f t="shared" si="21"/>
        <v>0.1803900340937914</v>
      </c>
      <c r="AS18" s="932">
        <f t="shared" si="143"/>
        <v>358.03853770116632</v>
      </c>
      <c r="AT18" s="928">
        <f t="shared" si="22"/>
        <v>-3.1002898139240647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 t="str">
        <f t="shared" si="137"/>
        <v/>
      </c>
      <c r="HL18" s="348" t="str">
        <f t="shared" si="72"/>
        <v/>
      </c>
      <c r="HM18" s="909" t="str">
        <f t="shared" si="138"/>
        <v/>
      </c>
      <c r="HN18" s="910" t="str">
        <f t="shared" si="73"/>
        <v/>
      </c>
      <c r="HO18" s="911"/>
      <c r="HP18" s="912"/>
      <c r="HQ18" s="910" t="str">
        <f t="shared" si="74"/>
        <v/>
      </c>
      <c r="HR18" s="913" t="str">
        <f t="shared" si="75"/>
        <v/>
      </c>
      <c r="HS18" s="865" t="str">
        <f t="shared" si="251"/>
        <v/>
      </c>
      <c r="HT18" s="875" t="str">
        <f t="shared" si="76"/>
        <v/>
      </c>
      <c r="HU18" s="876" t="str">
        <f t="shared" si="77"/>
        <v/>
      </c>
      <c r="HV18" s="872" t="str">
        <f t="shared" si="78"/>
        <v/>
      </c>
      <c r="HW18" s="866" t="str">
        <f t="shared" si="79"/>
        <v/>
      </c>
      <c r="HX18" s="867" t="str">
        <f t="shared" si="80"/>
        <v/>
      </c>
      <c r="HY18" s="866" t="str">
        <f t="shared" si="81"/>
        <v/>
      </c>
      <c r="HZ18" s="868" t="str">
        <f t="shared" si="82"/>
        <v/>
      </c>
      <c r="IA18" s="869" t="str">
        <f t="shared" si="83"/>
        <v/>
      </c>
      <c r="IB18" s="870" t="str">
        <f t="shared" si="84"/>
        <v/>
      </c>
      <c r="IC18" s="841" t="str">
        <f t="shared" si="85"/>
        <v/>
      </c>
      <c r="ID18" s="351" t="str">
        <f t="shared" si="86"/>
        <v/>
      </c>
      <c r="IE18" s="843" t="str">
        <f t="shared" si="87"/>
        <v/>
      </c>
      <c r="IF18" s="844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1.147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88"/>
        <v>1613</v>
      </c>
      <c r="IM18" s="482" t="str">
        <f t="shared" si="237"/>
        <v/>
      </c>
      <c r="IN18" s="670" t="str">
        <f t="shared" si="90"/>
        <v/>
      </c>
      <c r="IO18" s="702"/>
      <c r="IP18" s="5" t="str">
        <f t="shared" si="91"/>
        <v/>
      </c>
      <c r="IQ18" s="714"/>
      <c r="IR18" s="9" t="str">
        <f t="shared" si="139"/>
        <v/>
      </c>
      <c r="IS18" s="5" t="str">
        <f t="shared" si="92"/>
        <v/>
      </c>
      <c r="IT18" s="5" t="str">
        <f t="shared" si="93"/>
        <v/>
      </c>
      <c r="IU18" s="5" t="str">
        <f t="shared" si="94"/>
        <v/>
      </c>
      <c r="IV18" s="670" t="str">
        <f t="shared" si="95"/>
        <v/>
      </c>
      <c r="IW18" s="9" t="str">
        <f t="shared" si="96"/>
        <v/>
      </c>
      <c r="IX18" s="5" t="str">
        <f t="shared" si="97"/>
        <v/>
      </c>
      <c r="IY18" s="5" t="str">
        <f t="shared" si="98"/>
        <v/>
      </c>
      <c r="IZ18" s="5" t="str">
        <f t="shared" si="99"/>
        <v/>
      </c>
      <c r="JA18" s="705" t="str">
        <f t="shared" si="100"/>
        <v/>
      </c>
    </row>
    <row r="19" spans="1:271" ht="15" customHeight="1" thickBot="1" x14ac:dyDescent="0.3">
      <c r="A19" s="75">
        <f t="shared" si="1"/>
        <v>0</v>
      </c>
      <c r="B19" s="578">
        <f t="shared" si="2"/>
        <v>1.0430133809359119</v>
      </c>
      <c r="C19" s="572">
        <f t="shared" si="3"/>
        <v>3.1520927613063705</v>
      </c>
      <c r="D19" s="576">
        <f t="shared" si="4"/>
        <v>-0.13926712580907585</v>
      </c>
      <c r="E19" s="580">
        <f t="shared" si="5"/>
        <v>3.2836989647781638E-2</v>
      </c>
      <c r="F19" s="572">
        <f t="shared" si="6"/>
        <v>9.923673009735301E-2</v>
      </c>
      <c r="G19" s="579">
        <f t="shared" si="7"/>
        <v>0.99452189694870807</v>
      </c>
      <c r="H19" s="580">
        <f>W174</f>
        <v>0.255</v>
      </c>
      <c r="I19" s="572">
        <f t="shared" si="9"/>
        <v>0.41499999999999992</v>
      </c>
      <c r="J19" s="483">
        <f t="shared" si="10"/>
        <v>1.2170000000000001</v>
      </c>
      <c r="K19" s="806" t="str">
        <f t="shared" si="11"/>
        <v>CPS-32193r1</v>
      </c>
      <c r="L19" s="718" t="s">
        <v>357</v>
      </c>
      <c r="M19" s="164">
        <f t="shared" si="12"/>
        <v>1.2170000000000001</v>
      </c>
      <c r="N19" s="575">
        <f t="shared" si="13"/>
        <v>1.0430133809359119</v>
      </c>
      <c r="O19" s="572">
        <f t="shared" si="14"/>
        <v>3.1520927613063705</v>
      </c>
      <c r="P19" s="576">
        <f t="shared" si="15"/>
        <v>-0.13926712580907585</v>
      </c>
      <c r="Q19" s="528">
        <f t="shared" si="140"/>
        <v>71.690851627850435</v>
      </c>
      <c r="R19" s="572">
        <f>IF(M19="","",SQRT(N19^2+O19^2))</f>
        <v>3.3201755508845281</v>
      </c>
      <c r="S19" s="577">
        <f>IF(M19="","",P19)</f>
        <v>-0.13926712580907585</v>
      </c>
      <c r="T19" s="578">
        <f>IF(M19="","",X19*COS(RADIANS(W19)))</f>
        <v>3.1598830729161418</v>
      </c>
      <c r="U19" s="572">
        <f>IF(M19="","",X19*SIN(RADIANS(W19)))</f>
        <v>-1.0191686093033971</v>
      </c>
      <c r="V19" s="579">
        <f>IF(M19="","",Y19)</f>
        <v>-0.13926712580907585</v>
      </c>
      <c r="W19" s="528">
        <f t="shared" si="253"/>
        <v>342.12374247372139</v>
      </c>
      <c r="X19" s="572">
        <f>IF(M19="","",R19)</f>
        <v>3.3201755508845281</v>
      </c>
      <c r="Y19" s="573">
        <f t="shared" si="255"/>
        <v>-0.13926712580907585</v>
      </c>
      <c r="Z19" s="575">
        <f t="shared" si="18"/>
        <v>-3.2836989647781638E-2</v>
      </c>
      <c r="AA19" s="572">
        <f t="shared" si="19"/>
        <v>-9.923673009735301E-2</v>
      </c>
      <c r="AB19" s="572">
        <f t="shared" si="20"/>
        <v>-0.99452189694870807</v>
      </c>
      <c r="AC19" s="579">
        <f>IF(M19="","",SQRT(Z19^2+AA19^2+AB19^2))</f>
        <v>1</v>
      </c>
      <c r="AD19" s="580">
        <f>IF(M19="","",Z19*(1/SQRT(Z19^2+AA19^2+AB19^2)))</f>
        <v>-3.2836989647781638E-2</v>
      </c>
      <c r="AE19" s="572">
        <f>IF(M19="","",AA19*(1/SQRT(Z19^2+AA19^2+AB19^2)))</f>
        <v>-9.923673009735301E-2</v>
      </c>
      <c r="AF19" s="576">
        <f>IF(M19="","",AB19*(1/SQRT(Z19^2+AA19^2+AB19^2)))</f>
        <v>-0.99452189694870807</v>
      </c>
      <c r="AG19" s="545">
        <f>IF(M19="","",DEGREES(ATAN2(-AF19,AE19)))</f>
        <v>-5.6983028494310455</v>
      </c>
      <c r="AH19" s="546">
        <f>IF(M19="","",DEGREES(ACOS(AD19)))</f>
        <v>91.881759195524339</v>
      </c>
      <c r="AI19" s="528">
        <f>IF(M19="","",DEGREES(-ACOS(-AF19)))</f>
        <v>-5.9999991337072789</v>
      </c>
      <c r="AJ19" s="529">
        <f>IF(M19="","",DEGREES(ATAN2(-AE19,AD19)))</f>
        <v>-18.309148372149565</v>
      </c>
      <c r="AK19" s="578">
        <f>IF(M19="","",(COS(RADIANS((90-$Q$8)-W19))*AD19)+(-SIN(RADIANS((90-$Q$8)-W19))*AE19))</f>
        <v>9.3675067702747583E-17</v>
      </c>
      <c r="AL19" s="572">
        <f>IF(M19="","",(SIN(RADIANS((90-$Q$8)-W19))*AD19)+(COS(RADIANS((90-$Q$8)-W19))*AE19))</f>
        <v>-0.10452844823082091</v>
      </c>
      <c r="AM19" s="577">
        <f>IF(M19="","",AF19)</f>
        <v>-0.99452189694870807</v>
      </c>
      <c r="AN19" s="524">
        <f>IF(M19="","",DEGREES(ATAN2(-AM19,AL19)))</f>
        <v>-5.9999991337073153</v>
      </c>
      <c r="AO19" s="525">
        <f t="shared" si="116"/>
        <v>0</v>
      </c>
      <c r="AP19" s="528">
        <f>IF(M19="","",DEGREES(ATAN2(AK19,AL19)))</f>
        <v>-89.999999999999943</v>
      </c>
      <c r="AQ19" s="529">
        <f t="shared" si="21"/>
        <v>0.27464923294924432</v>
      </c>
      <c r="AS19" s="932">
        <f t="shared" si="143"/>
        <v>342.12374247372139</v>
      </c>
      <c r="AT19" s="928">
        <f t="shared" si="22"/>
        <v>-0.13504641488893107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 t="str">
        <f t="shared" si="137"/>
        <v/>
      </c>
      <c r="HL19" s="348" t="str">
        <f t="shared" si="72"/>
        <v/>
      </c>
      <c r="HM19" s="909" t="str">
        <f t="shared" si="138"/>
        <v/>
      </c>
      <c r="HN19" s="910" t="str">
        <f t="shared" si="73"/>
        <v/>
      </c>
      <c r="HO19" s="911"/>
      <c r="HP19" s="912"/>
      <c r="HQ19" s="910" t="str">
        <f t="shared" si="74"/>
        <v/>
      </c>
      <c r="HR19" s="913" t="str">
        <f t="shared" si="75"/>
        <v/>
      </c>
      <c r="HS19" s="865" t="str">
        <f t="shared" si="251"/>
        <v/>
      </c>
      <c r="HT19" s="875" t="str">
        <f t="shared" si="76"/>
        <v/>
      </c>
      <c r="HU19" s="876" t="str">
        <f t="shared" si="77"/>
        <v/>
      </c>
      <c r="HV19" s="872" t="str">
        <f t="shared" si="78"/>
        <v/>
      </c>
      <c r="HW19" s="866" t="str">
        <f t="shared" si="79"/>
        <v/>
      </c>
      <c r="HX19" s="867" t="str">
        <f t="shared" si="80"/>
        <v/>
      </c>
      <c r="HY19" s="866" t="str">
        <f t="shared" si="81"/>
        <v/>
      </c>
      <c r="HZ19" s="868" t="str">
        <f t="shared" si="82"/>
        <v/>
      </c>
      <c r="IA19" s="869" t="str">
        <f t="shared" si="83"/>
        <v/>
      </c>
      <c r="IB19" s="870" t="str">
        <f t="shared" si="84"/>
        <v/>
      </c>
      <c r="IC19" s="841" t="str">
        <f t="shared" si="85"/>
        <v/>
      </c>
      <c r="ID19" s="351" t="str">
        <f t="shared" si="86"/>
        <v/>
      </c>
      <c r="IE19" s="843" t="str">
        <f t="shared" si="87"/>
        <v/>
      </c>
      <c r="IF19" s="844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1.2170000000000001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1.117</v>
      </c>
      <c r="IK19" s="677" cm="1">
        <f t="array" ref="IK19">IFERROR(ROUND(VALUE(IF($IJ19&lt;1,$IJ19+LARGE((IF($M$9:$M$150="",0,$M$9:$M$150)-MOD(IF($M$9:$M$150="",0,$M$9:$M$150),1)),1),$IJ19)),4),"")</f>
        <v>1.117</v>
      </c>
      <c r="IL19" s="482">
        <f t="shared" si="88"/>
        <v>1613</v>
      </c>
      <c r="IM19" s="482" t="str">
        <f t="shared" si="237"/>
        <v>CPS-32193r1</v>
      </c>
      <c r="IN19" s="670">
        <f t="shared" si="90"/>
        <v>17.863162982049289</v>
      </c>
      <c r="IO19" s="702">
        <v>6.7656708578437294E-2</v>
      </c>
      <c r="IP19" s="5">
        <f t="shared" si="91"/>
        <v>1.6</v>
      </c>
      <c r="IQ19" s="714">
        <v>800</v>
      </c>
      <c r="IR19" s="9">
        <f t="shared" si="139"/>
        <v>-3.3213108411312309</v>
      </c>
      <c r="IS19" s="5">
        <f t="shared" si="92"/>
        <v>-0.10477236489563337</v>
      </c>
      <c r="IT19" s="5">
        <f t="shared" si="93"/>
        <v>0.3125</v>
      </c>
      <c r="IU19" s="5">
        <f t="shared" si="94"/>
        <v>0.3008116548210138</v>
      </c>
      <c r="IV19" s="670">
        <f t="shared" si="95"/>
        <v>13.374429842880255</v>
      </c>
      <c r="IW19" s="9">
        <f t="shared" si="96"/>
        <v>-3.3201755508845281</v>
      </c>
      <c r="IX19" s="5">
        <f t="shared" si="97"/>
        <v>-0.13926712580907585</v>
      </c>
      <c r="IY19" s="5">
        <f t="shared" si="98"/>
        <v>0.255</v>
      </c>
      <c r="IZ19" s="5">
        <f t="shared" si="99"/>
        <v>0.255</v>
      </c>
      <c r="JA19" s="705">
        <f t="shared" si="100"/>
        <v>5.9999991337073153</v>
      </c>
      <c r="JD19" s="1278" t="s">
        <v>356</v>
      </c>
      <c r="JE19" s="1279"/>
      <c r="JF19" s="1279"/>
      <c r="JG19" s="1279"/>
      <c r="JH19" s="1279"/>
      <c r="JI19" s="1279"/>
      <c r="JJ19" s="1279"/>
      <c r="JK19" s="1280"/>
    </row>
    <row r="20" spans="1:271" ht="15" customHeight="1" x14ac:dyDescent="0.25">
      <c r="A20" s="75">
        <f t="shared" si="1"/>
        <v>0.02</v>
      </c>
      <c r="B20" s="578">
        <f t="shared" si="2"/>
        <v>0.90291893765662457</v>
      </c>
      <c r="C20" s="572">
        <f t="shared" si="3"/>
        <v>3.945012013339166</v>
      </c>
      <c r="D20" s="576">
        <f t="shared" si="4"/>
        <v>-0.38712009657744256</v>
      </c>
      <c r="E20" s="580">
        <f t="shared" si="5"/>
        <v>-0.84607041262505911</v>
      </c>
      <c r="F20" s="572">
        <f t="shared" si="6"/>
        <v>0.41305318949291936</v>
      </c>
      <c r="G20" s="579">
        <f t="shared" si="7"/>
        <v>0.33697465710374852</v>
      </c>
      <c r="H20" s="580">
        <f t="shared" si="8"/>
        <v>0.26450000000000001</v>
      </c>
      <c r="I20" s="572">
        <f t="shared" si="9"/>
        <v>0.52</v>
      </c>
      <c r="J20" s="483">
        <f t="shared" si="10"/>
        <v>1.2230000000000001</v>
      </c>
      <c r="K20" s="806">
        <f t="shared" si="11"/>
        <v>1313</v>
      </c>
      <c r="L20" s="717">
        <f>IF($L19=$JJ$22,$JJ$30,IF($L19=$JK$22,$JK$30,""))</f>
        <v>770</v>
      </c>
      <c r="M20" s="164">
        <f t="shared" si="12"/>
        <v>1.2230000000000001</v>
      </c>
      <c r="N20" s="575">
        <f t="shared" si="13"/>
        <v>0.90291893765662457</v>
      </c>
      <c r="O20" s="572">
        <f t="shared" si="14"/>
        <v>3.945012013339166</v>
      </c>
      <c r="P20" s="576">
        <f t="shared" si="15"/>
        <v>-0.38712009657744256</v>
      </c>
      <c r="Q20" s="528">
        <f t="shared" si="140"/>
        <v>77.108410241370493</v>
      </c>
      <c r="R20" s="572">
        <f>IF(M20="","",SQRT(N20^2+O20^2))</f>
        <v>4.0470214224005918</v>
      </c>
      <c r="S20" s="577">
        <f>IF(M20="","",P20)</f>
        <v>-0.38712009657744256</v>
      </c>
      <c r="T20" s="578">
        <f>IF(M20="","",X20*COS(RADIANS(W20)))</f>
        <v>3.9517212383417064</v>
      </c>
      <c r="U20" s="572">
        <f>IF(M20="","",X20*SIN(RADIANS(W20)))</f>
        <v>-0.87308742277529061</v>
      </c>
      <c r="V20" s="579">
        <f>IF(M20="","",Y20)</f>
        <v>-0.38712009657744256</v>
      </c>
      <c r="W20" s="528">
        <f t="shared" si="253"/>
        <v>347.54130108724149</v>
      </c>
      <c r="X20" s="572">
        <f>IF(M20="","",R20)</f>
        <v>4.0470214224005918</v>
      </c>
      <c r="Y20" s="573">
        <f t="shared" si="255"/>
        <v>-0.38712009657744256</v>
      </c>
      <c r="Z20" s="575">
        <f t="shared" si="18"/>
        <v>0.84607041262505911</v>
      </c>
      <c r="AA20" s="572">
        <f t="shared" si="19"/>
        <v>-0.41305318949291936</v>
      </c>
      <c r="AB20" s="572">
        <f t="shared" si="20"/>
        <v>-0.33697465710374852</v>
      </c>
      <c r="AC20" s="579">
        <f>IF(M20="","",SQRT(Z20^2+AA20^2+AB20^2))</f>
        <v>1</v>
      </c>
      <c r="AD20" s="580">
        <f>IF(M20="","",Z20*(1/SQRT(Z20^2+AA20^2+AB20^2)))</f>
        <v>0.84607041262505911</v>
      </c>
      <c r="AE20" s="572">
        <f>IF(M20="","",AA20*(1/SQRT(Z20^2+AA20^2+AB20^2)))</f>
        <v>-0.41305318949291936</v>
      </c>
      <c r="AF20" s="576">
        <f>IF(M20="","",AB20*(1/SQRT(Z20^2+AA20^2+AB20^2)))</f>
        <v>-0.33697465710374852</v>
      </c>
      <c r="AG20" s="545">
        <f>IF(M20="","",DEGREES(ATAN2(-AF20,AE20)))</f>
        <v>-50.791945908118322</v>
      </c>
      <c r="AH20" s="546">
        <f>IF(M20="","",DEGREES(ACOS(AD20)))</f>
        <v>32.213196255977067</v>
      </c>
      <c r="AI20" s="528">
        <f>IF(M20="","",DEGREES(-ACOS(-AF20)))</f>
        <v>-70.307339356711495</v>
      </c>
      <c r="AJ20" s="529">
        <f>IF(M20="","",DEGREES(ATAN2(-AE20,AD20)))</f>
        <v>63.978281443980727</v>
      </c>
      <c r="AK20" s="578">
        <f>IF(M20="","",(COS(RADIANS((90-$Q$8)-W20))*AD20)+(-SIN(RADIANS((90-$Q$8)-W20))*AE20))</f>
        <v>0.91689939382337371</v>
      </c>
      <c r="AL20" s="572">
        <f>IF(M20="","",(SIN(RADIANS((90-$Q$8)-W20))*AD20)+(COS(RADIANS((90-$Q$8)-W20))*AE20))</f>
        <v>-0.21387749315003007</v>
      </c>
      <c r="AM20" s="577">
        <f>IF(M20="","",AF20)</f>
        <v>-0.33697465710374852</v>
      </c>
      <c r="AN20" s="524">
        <f>IF(M20="","",DEGREES(ATAN2(-AM20,AL20)))</f>
        <v>-32.403257224374144</v>
      </c>
      <c r="AO20" s="525">
        <f t="shared" si="116"/>
        <v>23.52307731097898</v>
      </c>
      <c r="AP20" s="528">
        <f>IF(M20="","",DEGREES(ATAN2(AK20,AL20)))</f>
        <v>-13.130128797389789</v>
      </c>
      <c r="AQ20" s="529">
        <f t="shared" si="21"/>
        <v>0.22532273903264416</v>
      </c>
      <c r="AS20" s="932">
        <f t="shared" si="143"/>
        <v>347.54130108724149</v>
      </c>
      <c r="AT20" s="928">
        <f t="shared" si="22"/>
        <v>-0.38440426304994224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 t="str">
        <f t="shared" si="137"/>
        <v/>
      </c>
      <c r="HL20" s="348" t="str">
        <f t="shared" si="72"/>
        <v/>
      </c>
      <c r="HM20" s="909" t="str">
        <f t="shared" si="138"/>
        <v/>
      </c>
      <c r="HN20" s="910" t="str">
        <f t="shared" si="73"/>
        <v/>
      </c>
      <c r="HO20" s="911"/>
      <c r="HP20" s="912"/>
      <c r="HQ20" s="910" t="str">
        <f t="shared" si="74"/>
        <v/>
      </c>
      <c r="HR20" s="913" t="str">
        <f t="shared" si="75"/>
        <v/>
      </c>
      <c r="HS20" s="865" t="str">
        <f t="shared" si="251"/>
        <v/>
      </c>
      <c r="HT20" s="875" t="str">
        <f t="shared" si="76"/>
        <v/>
      </c>
      <c r="HU20" s="876" t="str">
        <f t="shared" si="77"/>
        <v/>
      </c>
      <c r="HV20" s="872" t="str">
        <f t="shared" si="78"/>
        <v/>
      </c>
      <c r="HW20" s="866" t="str">
        <f t="shared" si="79"/>
        <v/>
      </c>
      <c r="HX20" s="867" t="str">
        <f t="shared" si="80"/>
        <v/>
      </c>
      <c r="HY20" s="866" t="str">
        <f t="shared" si="81"/>
        <v/>
      </c>
      <c r="HZ20" s="868" t="str">
        <f t="shared" si="82"/>
        <v/>
      </c>
      <c r="IA20" s="869" t="str">
        <f t="shared" si="83"/>
        <v/>
      </c>
      <c r="IB20" s="870" t="str">
        <f t="shared" si="84"/>
        <v/>
      </c>
      <c r="IC20" s="841" t="str">
        <f t="shared" si="85"/>
        <v/>
      </c>
      <c r="ID20" s="351" t="str">
        <f t="shared" si="86"/>
        <v/>
      </c>
      <c r="IE20" s="843" t="str">
        <f t="shared" si="87"/>
        <v/>
      </c>
      <c r="IF20" s="844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1.2230000000000001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1.123</v>
      </c>
      <c r="IK20" s="677" cm="1">
        <f t="array" ref="IK20">IFERROR(ROUND(VALUE(IF($IJ20&lt;1,$IJ20+LARGE((IF($M$9:$M$150="",0,$M$9:$M$150)-MOD(IF($M$9:$M$150="",0,$M$9:$M$150),1)),1),$IJ20)),4),"")</f>
        <v>1.123</v>
      </c>
      <c r="IL20" s="482">
        <f t="shared" si="88"/>
        <v>1613</v>
      </c>
      <c r="IM20" s="482">
        <f t="shared" si="237"/>
        <v>1313</v>
      </c>
      <c r="IN20" s="670">
        <f t="shared" si="90"/>
        <v>11.889467718748506</v>
      </c>
      <c r="IO20" s="702">
        <v>3.6698083772128298E-2</v>
      </c>
      <c r="IP20" s="5">
        <f t="shared" si="91"/>
        <v>1.52</v>
      </c>
      <c r="IQ20" s="714">
        <v>760</v>
      </c>
      <c r="IR20" s="9">
        <f t="shared" si="139"/>
        <v>-4.0340922214204733</v>
      </c>
      <c r="IS20" s="5">
        <f t="shared" si="92"/>
        <v>-0.387275698883291</v>
      </c>
      <c r="IT20" s="5">
        <f t="shared" si="93"/>
        <v>0.3125</v>
      </c>
      <c r="IU20" s="5">
        <f t="shared" si="94"/>
        <v>0.29631972314127619</v>
      </c>
      <c r="IV20" s="670">
        <f t="shared" si="95"/>
        <v>32.228901208944677</v>
      </c>
      <c r="IW20" s="9">
        <f t="shared" si="96"/>
        <v>-4.0470214224005918</v>
      </c>
      <c r="IX20" s="5">
        <f t="shared" si="97"/>
        <v>-0.38712009657744256</v>
      </c>
      <c r="IY20" s="5">
        <f t="shared" si="98"/>
        <v>0.26450000000000001</v>
      </c>
      <c r="IZ20" s="5">
        <f t="shared" si="99"/>
        <v>0.24251988966628235</v>
      </c>
      <c r="JA20" s="705">
        <f t="shared" si="100"/>
        <v>32.403257224374144</v>
      </c>
      <c r="JC20" s="31"/>
      <c r="JD20" s="1281" t="s">
        <v>360</v>
      </c>
      <c r="JE20" s="1282"/>
      <c r="JF20" s="1282"/>
      <c r="JG20" s="1282"/>
      <c r="JH20" s="1042" t="s">
        <v>361</v>
      </c>
      <c r="JI20" s="1043"/>
      <c r="JJ20" s="1043"/>
      <c r="JK20" s="1044"/>
    </row>
    <row r="21" spans="1:271" ht="15" customHeight="1" x14ac:dyDescent="0.25">
      <c r="A21" s="75">
        <f t="shared" si="1"/>
        <v>0.02</v>
      </c>
      <c r="B21" s="578">
        <f t="shared" si="2"/>
        <v>0.96823275824684518</v>
      </c>
      <c r="C21" s="572">
        <f t="shared" si="3"/>
        <v>4.5153155356057892</v>
      </c>
      <c r="D21" s="576">
        <f t="shared" si="4"/>
        <v>-0.90720747617358721</v>
      </c>
      <c r="E21" s="580">
        <f t="shared" si="5"/>
        <v>-0.79217119160184946</v>
      </c>
      <c r="F21" s="572">
        <f t="shared" si="6"/>
        <v>0.53683945664133548</v>
      </c>
      <c r="G21" s="579">
        <f t="shared" si="7"/>
        <v>0.29028985684853303</v>
      </c>
      <c r="H21" s="580">
        <f t="shared" si="8"/>
        <v>0.26450000000000001</v>
      </c>
      <c r="I21" s="572">
        <f t="shared" si="9"/>
        <v>0.52</v>
      </c>
      <c r="J21" s="483">
        <f t="shared" si="10"/>
        <v>1.2290000000000001</v>
      </c>
      <c r="K21" s="806">
        <f t="shared" si="11"/>
        <v>1313</v>
      </c>
      <c r="L21" s="719" t="s">
        <v>358</v>
      </c>
      <c r="M21" s="164">
        <f t="shared" si="12"/>
        <v>1.2290000000000001</v>
      </c>
      <c r="N21" s="575">
        <f t="shared" si="13"/>
        <v>0.96823275824684518</v>
      </c>
      <c r="O21" s="572">
        <f t="shared" si="14"/>
        <v>4.5153155356057892</v>
      </c>
      <c r="P21" s="576">
        <f t="shared" si="15"/>
        <v>-0.90720747617358721</v>
      </c>
      <c r="Q21" s="528">
        <f t="shared" si="140"/>
        <v>77.897173565374658</v>
      </c>
      <c r="R21" s="572">
        <f>IF(M21="","",SQRT(N21^2+O21^2))</f>
        <v>4.6179594043500742</v>
      </c>
      <c r="S21" s="577">
        <f>IF(M21="","",P21)</f>
        <v>-0.90720747617358721</v>
      </c>
      <c r="T21" s="578">
        <f>IF(M21="","",X21*COS(RADIANS(W21)))</f>
        <v>4.5225019486123115</v>
      </c>
      <c r="U21" s="572">
        <f>IF(M21="","",X21*SIN(RADIANS(W21)))</f>
        <v>-0.93409056574998861</v>
      </c>
      <c r="V21" s="579">
        <f>IF(M21="","",Y21)</f>
        <v>-0.90720747617358721</v>
      </c>
      <c r="W21" s="528">
        <f t="shared" si="253"/>
        <v>348.33006441124564</v>
      </c>
      <c r="X21" s="572">
        <f>IF(M21="","",R21)</f>
        <v>4.6179594043500742</v>
      </c>
      <c r="Y21" s="573">
        <f t="shared" si="255"/>
        <v>-0.90720747617358721</v>
      </c>
      <c r="Z21" s="575">
        <f t="shared" si="18"/>
        <v>0.79217119160184946</v>
      </c>
      <c r="AA21" s="572">
        <f t="shared" si="19"/>
        <v>-0.53683945664133548</v>
      </c>
      <c r="AB21" s="572">
        <f t="shared" si="20"/>
        <v>-0.29028985684853303</v>
      </c>
      <c r="AC21" s="579">
        <f>IF(M21="","",SQRT(Z21^2+AA21^2+AB21^2))</f>
        <v>1</v>
      </c>
      <c r="AD21" s="580">
        <f>IF(M21="","",Z21*(1/SQRT(Z21^2+AA21^2+AB21^2)))</f>
        <v>0.79217119160184946</v>
      </c>
      <c r="AE21" s="572">
        <f>IF(M21="","",AA21*(1/SQRT(Z21^2+AA21^2+AB21^2)))</f>
        <v>-0.53683945664133548</v>
      </c>
      <c r="AF21" s="576">
        <f>IF(M21="","",AB21*(1/SQRT(Z21^2+AA21^2+AB21^2)))</f>
        <v>-0.29028985684853303</v>
      </c>
      <c r="AG21" s="545">
        <f>IF(M21="","",DEGREES(ATAN2(-AF21,AE21)))</f>
        <v>-61.598195941984137</v>
      </c>
      <c r="AH21" s="546">
        <f>IF(M21="","",DEGREES(ACOS(AD21)))</f>
        <v>37.611121829287121</v>
      </c>
      <c r="AI21" s="528">
        <f>IF(M21="","",DEGREES(-ACOS(-AF21)))</f>
        <v>-73.124689877088045</v>
      </c>
      <c r="AJ21" s="529">
        <f>IF(M21="","",DEGREES(ATAN2(-AE21,AD21)))</f>
        <v>55.875248092129283</v>
      </c>
      <c r="AK21" s="578">
        <f>IF(M21="","",(COS(RADIANS((90-$Q$8)-W21))*AD21)+(-SIN(RADIANS((90-$Q$8)-W21))*AE21))</f>
        <v>0.88712092884136606</v>
      </c>
      <c r="AL21" s="572">
        <f>IF(M21="","",(SIN(RADIANS((90-$Q$8)-W21))*AD21)+(COS(RADIANS((90-$Q$8)-W21))*AE21))</f>
        <v>-0.35881507301462456</v>
      </c>
      <c r="AM21" s="577">
        <f>IF(M21="","",AF21)</f>
        <v>-0.29028985684853303</v>
      </c>
      <c r="AN21" s="524">
        <f>IF(M21="","",DEGREES(ATAN2(-AM21,AL21)))</f>
        <v>-51.026324417745535</v>
      </c>
      <c r="AO21" s="525">
        <f>IF(ROUND(IF(M21="",0,DEGREES(ACOS(AK21))),4)=90,0,IF(M21="","",DEGREES(ACOS(AK21))))</f>
        <v>27.48633572036287</v>
      </c>
      <c r="AP21" s="528">
        <f>IF(M21="","",DEGREES(ATAN2(AK21,AL21)))</f>
        <v>-22.021925473245375</v>
      </c>
      <c r="AQ21" s="529">
        <f t="shared" si="21"/>
        <v>0.19746536565392611</v>
      </c>
      <c r="AS21" s="932">
        <f t="shared" si="143"/>
        <v>348.33006441124564</v>
      </c>
      <c r="AT21" s="928">
        <f t="shared" si="22"/>
        <v>-0.90471074356942138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 t="str">
        <f t="shared" si="137"/>
        <v/>
      </c>
      <c r="HL21" s="348" t="str">
        <f t="shared" si="72"/>
        <v/>
      </c>
      <c r="HM21" s="909" t="str">
        <f t="shared" si="138"/>
        <v/>
      </c>
      <c r="HN21" s="910" t="str">
        <f t="shared" si="73"/>
        <v/>
      </c>
      <c r="HO21" s="911"/>
      <c r="HP21" s="912"/>
      <c r="HQ21" s="910" t="str">
        <f t="shared" si="74"/>
        <v/>
      </c>
      <c r="HR21" s="913" t="str">
        <f t="shared" si="75"/>
        <v/>
      </c>
      <c r="HS21" s="865" t="str">
        <f t="shared" si="251"/>
        <v/>
      </c>
      <c r="HT21" s="875" t="str">
        <f t="shared" si="76"/>
        <v/>
      </c>
      <c r="HU21" s="876" t="str">
        <f t="shared" si="77"/>
        <v/>
      </c>
      <c r="HV21" s="872" t="str">
        <f t="shared" si="78"/>
        <v/>
      </c>
      <c r="HW21" s="866" t="str">
        <f t="shared" si="79"/>
        <v/>
      </c>
      <c r="HX21" s="867" t="str">
        <f t="shared" si="80"/>
        <v/>
      </c>
      <c r="HY21" s="866" t="str">
        <f t="shared" si="81"/>
        <v/>
      </c>
      <c r="HZ21" s="868" t="str">
        <f t="shared" si="82"/>
        <v/>
      </c>
      <c r="IA21" s="869" t="str">
        <f t="shared" si="83"/>
        <v/>
      </c>
      <c r="IB21" s="870" t="str">
        <f t="shared" si="84"/>
        <v/>
      </c>
      <c r="IC21" s="841" t="str">
        <f t="shared" si="85"/>
        <v/>
      </c>
      <c r="ID21" s="351" t="str">
        <f t="shared" si="86"/>
        <v/>
      </c>
      <c r="IE21" s="843" t="str">
        <f t="shared" si="87"/>
        <v/>
      </c>
      <c r="IF21" s="844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1.2290000000000001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1.129</v>
      </c>
      <c r="IK21" s="677" cm="1">
        <f t="array" ref="IK21">IFERROR(ROUND(VALUE(IF($IJ21&lt;1,$IJ21+LARGE((IF($M$9:$M$150="",0,$M$9:$M$150)-MOD(IF($M$9:$M$150="",0,$M$9:$M$150),1)),1),$IJ21)),4),"")</f>
        <v>1.129</v>
      </c>
      <c r="IL21" s="482">
        <f t="shared" si="88"/>
        <v>1613</v>
      </c>
      <c r="IM21" s="482">
        <f t="shared" si="237"/>
        <v>1313</v>
      </c>
      <c r="IN21" s="670">
        <f t="shared" si="90"/>
        <v>10.404897310991373</v>
      </c>
      <c r="IO21" s="702">
        <v>3.1094845991648402E-2</v>
      </c>
      <c r="IP21" s="5">
        <f t="shared" si="91"/>
        <v>1.72</v>
      </c>
      <c r="IQ21" s="714">
        <v>860</v>
      </c>
      <c r="IR21" s="9">
        <f t="shared" si="139"/>
        <v>-4.599152845196758</v>
      </c>
      <c r="IS21" s="5">
        <f t="shared" si="92"/>
        <v>-0.90492359121278754</v>
      </c>
      <c r="IT21" s="5">
        <f t="shared" si="93"/>
        <v>0.3125</v>
      </c>
      <c r="IU21" s="5">
        <f t="shared" si="94"/>
        <v>0.28875711738288512</v>
      </c>
      <c r="IV21" s="670">
        <f t="shared" si="95"/>
        <v>50.943025181030578</v>
      </c>
      <c r="IW21" s="9">
        <f t="shared" si="96"/>
        <v>-4.6179594043500742</v>
      </c>
      <c r="IX21" s="5">
        <f t="shared" si="97"/>
        <v>-0.90720747617358721</v>
      </c>
      <c r="IY21" s="5">
        <f t="shared" si="98"/>
        <v>0.26450000000000001</v>
      </c>
      <c r="IZ21" s="5">
        <f t="shared" si="99"/>
        <v>0.23464348567854135</v>
      </c>
      <c r="JA21" s="705">
        <f t="shared" si="100"/>
        <v>51.026324417745535</v>
      </c>
      <c r="JC21" s="708"/>
      <c r="JD21" s="1126"/>
      <c r="JE21" s="1127"/>
      <c r="JF21" s="1127"/>
      <c r="JG21" s="1127"/>
      <c r="JH21" s="1045" t="s">
        <v>349</v>
      </c>
      <c r="JI21" s="1046"/>
      <c r="JJ21" s="1283" t="s">
        <v>362</v>
      </c>
      <c r="JK21" s="1284"/>
    </row>
    <row r="22" spans="1:271" ht="15" customHeight="1" thickBot="1" x14ac:dyDescent="0.3">
      <c r="A22" s="75">
        <f t="shared" si="1"/>
        <v>0.02</v>
      </c>
      <c r="B22" s="578">
        <f t="shared" si="2"/>
        <v>1.0208684498378169</v>
      </c>
      <c r="C22" s="572">
        <f t="shared" si="3"/>
        <v>4.8595111700493749</v>
      </c>
      <c r="D22" s="576">
        <f t="shared" si="4"/>
        <v>-1.597173938610946</v>
      </c>
      <c r="E22" s="580">
        <f t="shared" si="5"/>
        <v>-0.73414441929273966</v>
      </c>
      <c r="F22" s="572">
        <f t="shared" si="6"/>
        <v>0.65407664994514347</v>
      </c>
      <c r="G22" s="579">
        <f t="shared" si="7"/>
        <v>0.18225176986209024</v>
      </c>
      <c r="H22" s="580">
        <f t="shared" si="8"/>
        <v>0.26450000000000001</v>
      </c>
      <c r="I22" s="572">
        <f t="shared" si="9"/>
        <v>0.52</v>
      </c>
      <c r="J22" s="483">
        <f t="shared" si="10"/>
        <v>1.2350000000000001</v>
      </c>
      <c r="K22" s="806">
        <f t="shared" si="11"/>
        <v>1313</v>
      </c>
      <c r="L22" s="814">
        <f>IF($L21=$JJ$22,$JJ$30,IF($L21=$JK$22,$JK$30,""))</f>
        <v>800</v>
      </c>
      <c r="M22" s="164">
        <f t="shared" si="12"/>
        <v>1.2350000000000001</v>
      </c>
      <c r="N22" s="575">
        <f t="shared" si="13"/>
        <v>1.0208684498378169</v>
      </c>
      <c r="O22" s="572">
        <f t="shared" si="14"/>
        <v>4.8595111700493749</v>
      </c>
      <c r="P22" s="576">
        <f t="shared" si="15"/>
        <v>-1.597173938610946</v>
      </c>
      <c r="Q22" s="528">
        <f t="shared" si="140"/>
        <v>78.136030270786748</v>
      </c>
      <c r="R22" s="572">
        <f t="shared" si="101"/>
        <v>4.9655836720076438</v>
      </c>
      <c r="S22" s="577">
        <f t="shared" si="102"/>
        <v>-1.597173938610946</v>
      </c>
      <c r="T22" s="578">
        <f t="shared" si="103"/>
        <v>4.8670854375067378</v>
      </c>
      <c r="U22" s="572">
        <f t="shared" si="104"/>
        <v>-0.98412425420714023</v>
      </c>
      <c r="V22" s="579">
        <f t="shared" si="141"/>
        <v>-1.597173938610946</v>
      </c>
      <c r="W22" s="528">
        <f t="shared" si="253"/>
        <v>348.56892111665775</v>
      </c>
      <c r="X22" s="572">
        <f t="shared" si="105"/>
        <v>4.9655836720076438</v>
      </c>
      <c r="Y22" s="573">
        <f t="shared" si="255"/>
        <v>-1.597173938610946</v>
      </c>
      <c r="Z22" s="575">
        <f t="shared" si="18"/>
        <v>0.73414441929273966</v>
      </c>
      <c r="AA22" s="572">
        <f t="shared" si="19"/>
        <v>-0.65407664994514347</v>
      </c>
      <c r="AB22" s="572">
        <f t="shared" si="20"/>
        <v>-0.18225176986209024</v>
      </c>
      <c r="AC22" s="579">
        <f t="shared" si="106"/>
        <v>1</v>
      </c>
      <c r="AD22" s="580">
        <f t="shared" si="142"/>
        <v>0.73414441929273966</v>
      </c>
      <c r="AE22" s="572">
        <f t="shared" si="107"/>
        <v>-0.65407664994514347</v>
      </c>
      <c r="AF22" s="576">
        <f t="shared" si="108"/>
        <v>-0.18225176986209024</v>
      </c>
      <c r="AG22" s="545">
        <f t="shared" si="109"/>
        <v>-74.430048337930344</v>
      </c>
      <c r="AH22" s="546">
        <f t="shared" si="110"/>
        <v>42.765029986543816</v>
      </c>
      <c r="AI22" s="528">
        <f t="shared" si="111"/>
        <v>-79.49905341406749</v>
      </c>
      <c r="AJ22" s="529">
        <f t="shared" si="112"/>
        <v>48.300964479907393</v>
      </c>
      <c r="AK22" s="578">
        <f t="shared" si="238"/>
        <v>0.85293280738832178</v>
      </c>
      <c r="AL22" s="572">
        <f t="shared" si="113"/>
        <v>-0.48917268777274536</v>
      </c>
      <c r="AM22" s="577">
        <f t="shared" si="114"/>
        <v>-0.18225176986209024</v>
      </c>
      <c r="AN22" s="524">
        <f t="shared" si="115"/>
        <v>-69.566043588691343</v>
      </c>
      <c r="AO22" s="525">
        <f t="shared" si="116"/>
        <v>31.467894876304182</v>
      </c>
      <c r="AP22" s="528">
        <f t="shared" si="117"/>
        <v>-29.835065790879373</v>
      </c>
      <c r="AQ22" s="529">
        <f t="shared" si="21"/>
        <v>0.18364155966322207</v>
      </c>
      <c r="AS22" s="932">
        <f t="shared" si="143"/>
        <v>348.56892111665775</v>
      </c>
      <c r="AT22" s="928">
        <f t="shared" si="22"/>
        <v>-1.5947435550916169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 t="str">
        <f t="shared" si="137"/>
        <v/>
      </c>
      <c r="HL22" s="348" t="str">
        <f t="shared" si="72"/>
        <v/>
      </c>
      <c r="HM22" s="909" t="str">
        <f t="shared" si="138"/>
        <v/>
      </c>
      <c r="HN22" s="910" t="str">
        <f t="shared" si="73"/>
        <v/>
      </c>
      <c r="HO22" s="911"/>
      <c r="HP22" s="912"/>
      <c r="HQ22" s="910" t="str">
        <f t="shared" si="74"/>
        <v/>
      </c>
      <c r="HR22" s="913" t="str">
        <f t="shared" si="75"/>
        <v/>
      </c>
      <c r="HS22" s="865" t="str">
        <f t="shared" si="251"/>
        <v/>
      </c>
      <c r="HT22" s="875" t="str">
        <f t="shared" si="76"/>
        <v/>
      </c>
      <c r="HU22" s="876" t="str">
        <f t="shared" si="77"/>
        <v/>
      </c>
      <c r="HV22" s="872" t="str">
        <f t="shared" si="78"/>
        <v/>
      </c>
      <c r="HW22" s="866" t="str">
        <f t="shared" si="79"/>
        <v/>
      </c>
      <c r="HX22" s="867" t="str">
        <f t="shared" si="80"/>
        <v/>
      </c>
      <c r="HY22" s="866" t="str">
        <f t="shared" si="81"/>
        <v/>
      </c>
      <c r="HZ22" s="868" t="str">
        <f t="shared" si="82"/>
        <v/>
      </c>
      <c r="IA22" s="869" t="str">
        <f t="shared" si="83"/>
        <v/>
      </c>
      <c r="IB22" s="870" t="str">
        <f t="shared" si="84"/>
        <v/>
      </c>
      <c r="IC22" s="841" t="str">
        <f t="shared" si="85"/>
        <v/>
      </c>
      <c r="ID22" s="351" t="str">
        <f t="shared" si="86"/>
        <v/>
      </c>
      <c r="IE22" s="843" t="str">
        <f t="shared" si="87"/>
        <v/>
      </c>
      <c r="IF22" s="844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1.2350000000000001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1.135</v>
      </c>
      <c r="IK22" s="677" cm="1">
        <f t="array" ref="IK22">IFERROR(ROUND(VALUE(IF($IJ22&lt;1,$IJ22+LARGE((IF($M$9:$M$150="",0,$M$9:$M$150)-MOD(IF($M$9:$M$150="",0,$M$9:$M$150),1)),1),$IJ22)),4),"")</f>
        <v>1.135</v>
      </c>
      <c r="IL22" s="482">
        <f t="shared" si="88"/>
        <v>1613</v>
      </c>
      <c r="IM22" s="482">
        <f t="shared" si="237"/>
        <v>1313</v>
      </c>
      <c r="IN22" s="670">
        <f t="shared" si="90"/>
        <v>9.6687739586257067</v>
      </c>
      <c r="IO22" s="702">
        <v>2.67337069767178E-2</v>
      </c>
      <c r="IP22" s="5">
        <f t="shared" si="91"/>
        <v>1.92</v>
      </c>
      <c r="IQ22" s="714">
        <v>960</v>
      </c>
      <c r="IR22" s="9">
        <f t="shared" si="139"/>
        <v>-4.9429492165422184</v>
      </c>
      <c r="IS22" s="5">
        <f t="shared" si="92"/>
        <v>-1.5894253922584844</v>
      </c>
      <c r="IT22" s="5">
        <f t="shared" si="93"/>
        <v>0.3125</v>
      </c>
      <c r="IU22" s="5">
        <f t="shared" si="94"/>
        <v>0.27976951961880886</v>
      </c>
      <c r="IV22" s="670">
        <f t="shared" si="95"/>
        <v>69.53293472939626</v>
      </c>
      <c r="IW22" s="9">
        <f t="shared" si="96"/>
        <v>-4.9655836720076438</v>
      </c>
      <c r="IX22" s="5">
        <f t="shared" si="97"/>
        <v>-1.597173938610946</v>
      </c>
      <c r="IY22" s="5">
        <f t="shared" si="98"/>
        <v>0.26450000000000001</v>
      </c>
      <c r="IZ22" s="5">
        <f t="shared" si="99"/>
        <v>0.22560072755421115</v>
      </c>
      <c r="JA22" s="705">
        <f t="shared" si="100"/>
        <v>69.566043588691343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</v>
      </c>
      <c r="B23" s="578">
        <f t="shared" si="2"/>
        <v>1.2579121378462765</v>
      </c>
      <c r="C23" s="572">
        <f t="shared" si="3"/>
        <v>4.8317293024268277</v>
      </c>
      <c r="D23" s="576">
        <f t="shared" si="4"/>
        <v>-2.3723571641368855</v>
      </c>
      <c r="E23" s="580">
        <f t="shared" si="5"/>
        <v>0.25194573829754657</v>
      </c>
      <c r="F23" s="572">
        <f t="shared" si="6"/>
        <v>0.96774136263448662</v>
      </c>
      <c r="G23" s="579">
        <f t="shared" si="7"/>
        <v>2.2679489666832531E-7</v>
      </c>
      <c r="H23" s="580">
        <f t="shared" si="8"/>
        <v>0.255</v>
      </c>
      <c r="I23" s="572">
        <f t="shared" si="9"/>
        <v>0.41499999999999992</v>
      </c>
      <c r="J23" s="483">
        <f t="shared" si="10"/>
        <v>1.2410000000000001</v>
      </c>
      <c r="K23" s="806" t="str">
        <f t="shared" si="11"/>
        <v>CPS-32193r1</v>
      </c>
      <c r="M23" s="164">
        <f t="shared" si="12"/>
        <v>1.2410000000000001</v>
      </c>
      <c r="N23" s="575">
        <f t="shared" si="13"/>
        <v>1.2579121378462765</v>
      </c>
      <c r="O23" s="572">
        <f t="shared" si="14"/>
        <v>4.8317293024268277</v>
      </c>
      <c r="P23" s="576">
        <f t="shared" si="15"/>
        <v>-2.3723571641368855</v>
      </c>
      <c r="Q23" s="528">
        <f t="shared" si="140"/>
        <v>75.407319123907797</v>
      </c>
      <c r="R23" s="572">
        <f t="shared" si="101"/>
        <v>4.9927899012947687</v>
      </c>
      <c r="S23" s="577">
        <f t="shared" si="102"/>
        <v>-2.3723571641368855</v>
      </c>
      <c r="T23" s="578">
        <f t="shared" si="103"/>
        <v>4.8410952986886322</v>
      </c>
      <c r="U23" s="572">
        <f t="shared" si="104"/>
        <v>-1.2213710768991737</v>
      </c>
      <c r="V23" s="579">
        <f t="shared" si="141"/>
        <v>-2.3723571641368855</v>
      </c>
      <c r="W23" s="528">
        <f t="shared" si="253"/>
        <v>345.84020996977875</v>
      </c>
      <c r="X23" s="572">
        <f t="shared" si="105"/>
        <v>4.9927899012947687</v>
      </c>
      <c r="Y23" s="573">
        <f t="shared" si="255"/>
        <v>-2.3723571641368855</v>
      </c>
      <c r="Z23" s="575">
        <f t="shared" si="18"/>
        <v>-0.25194573829754657</v>
      </c>
      <c r="AA23" s="572">
        <f t="shared" si="19"/>
        <v>-0.96774136263448662</v>
      </c>
      <c r="AB23" s="572">
        <f t="shared" si="20"/>
        <v>-2.2679489666832531E-7</v>
      </c>
      <c r="AC23" s="579">
        <f t="shared" si="106"/>
        <v>1</v>
      </c>
      <c r="AD23" s="580">
        <f t="shared" si="142"/>
        <v>-0.25194573829754657</v>
      </c>
      <c r="AE23" s="572">
        <f t="shared" si="107"/>
        <v>-0.96774136263448662</v>
      </c>
      <c r="AF23" s="576">
        <f t="shared" si="108"/>
        <v>-2.2679489666832531E-7</v>
      </c>
      <c r="AG23" s="545">
        <f t="shared" si="109"/>
        <v>-89.999986572455313</v>
      </c>
      <c r="AH23" s="546">
        <f t="shared" si="110"/>
        <v>104.59268087609183</v>
      </c>
      <c r="AI23" s="528">
        <f t="shared" si="111"/>
        <v>-89.999987005609611</v>
      </c>
      <c r="AJ23" s="529">
        <f t="shared" si="112"/>
        <v>-14.592680876092221</v>
      </c>
      <c r="AK23" s="578">
        <f t="shared" si="238"/>
        <v>-5.5511151231257827E-17</v>
      </c>
      <c r="AL23" s="572">
        <f t="shared" si="113"/>
        <v>-0.99999999999997435</v>
      </c>
      <c r="AM23" s="577">
        <f t="shared" si="114"/>
        <v>-2.2679489666832531E-7</v>
      </c>
      <c r="AN23" s="524">
        <f t="shared" si="115"/>
        <v>-89.999987005609611</v>
      </c>
      <c r="AO23" s="525">
        <f t="shared" si="116"/>
        <v>0</v>
      </c>
      <c r="AP23" s="528">
        <f t="shared" si="117"/>
        <v>-90</v>
      </c>
      <c r="AQ23" s="529">
        <f t="shared" si="21"/>
        <v>0.18264088458182831</v>
      </c>
      <c r="AS23" s="932">
        <f t="shared" si="143"/>
        <v>345.84020996977875</v>
      </c>
      <c r="AT23" s="928">
        <f t="shared" si="22"/>
        <v>-2.3691688052989788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 t="str">
        <f t="shared" si="137"/>
        <v/>
      </c>
      <c r="HL23" s="348" t="str">
        <f t="shared" si="72"/>
        <v/>
      </c>
      <c r="HM23" s="909" t="str">
        <f t="shared" si="138"/>
        <v/>
      </c>
      <c r="HN23" s="910" t="str">
        <f t="shared" si="73"/>
        <v/>
      </c>
      <c r="HO23" s="911"/>
      <c r="HP23" s="912"/>
      <c r="HQ23" s="910" t="str">
        <f t="shared" si="74"/>
        <v/>
      </c>
      <c r="HR23" s="913" t="str">
        <f t="shared" si="75"/>
        <v/>
      </c>
      <c r="HS23" s="865" t="str">
        <f t="shared" si="251"/>
        <v/>
      </c>
      <c r="HT23" s="875" t="str">
        <f t="shared" si="76"/>
        <v/>
      </c>
      <c r="HU23" s="876" t="str">
        <f t="shared" si="77"/>
        <v/>
      </c>
      <c r="HV23" s="872" t="str">
        <f t="shared" si="78"/>
        <v/>
      </c>
      <c r="HW23" s="866" t="str">
        <f t="shared" si="79"/>
        <v/>
      </c>
      <c r="HX23" s="867" t="str">
        <f t="shared" si="80"/>
        <v/>
      </c>
      <c r="HY23" s="866" t="str">
        <f t="shared" si="81"/>
        <v/>
      </c>
      <c r="HZ23" s="868" t="str">
        <f t="shared" si="82"/>
        <v/>
      </c>
      <c r="IA23" s="869" t="str">
        <f t="shared" si="83"/>
        <v/>
      </c>
      <c r="IB23" s="870" t="str">
        <f t="shared" si="84"/>
        <v/>
      </c>
      <c r="IC23" s="841" t="str">
        <f t="shared" si="85"/>
        <v/>
      </c>
      <c r="ID23" s="351" t="str">
        <f t="shared" si="86"/>
        <v/>
      </c>
      <c r="IE23" s="843" t="str">
        <f t="shared" si="87"/>
        <v/>
      </c>
      <c r="IF23" s="844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6"/>
        <v>1.2410000000000001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1.141</v>
      </c>
      <c r="IK23" s="677" cm="1">
        <f t="array" ref="IK23">IFERROR(ROUND(VALUE(IF($IJ23&lt;1,$IJ23+LARGE((IF($M$9:$M$150="",0,$M$9:$M$150)-MOD(IF($M$9:$M$150="",0,$M$9:$M$150),1)),1),$IJ23)),4),"")</f>
        <v>1.141</v>
      </c>
      <c r="IL23" s="482">
        <f t="shared" si="88"/>
        <v>1613</v>
      </c>
      <c r="IM23" s="482" t="str">
        <f t="shared" si="237"/>
        <v>CPS-32193r1</v>
      </c>
      <c r="IN23" s="670">
        <f t="shared" si="90"/>
        <v>12.271230721814732</v>
      </c>
      <c r="IO23" s="702">
        <v>4.8062200035357203E-2</v>
      </c>
      <c r="IP23" s="5">
        <f t="shared" si="91"/>
        <v>2.76</v>
      </c>
      <c r="IQ23" s="714">
        <v>1380</v>
      </c>
      <c r="IR23" s="9">
        <f t="shared" si="139"/>
        <v>-5.0270040657372705</v>
      </c>
      <c r="IS23" s="5">
        <f t="shared" si="92"/>
        <v>-2.3485852153236326</v>
      </c>
      <c r="IT23" s="5">
        <f t="shared" si="93"/>
        <v>0.3125</v>
      </c>
      <c r="IU23" s="5">
        <f t="shared" si="94"/>
        <v>0.27121974842239471</v>
      </c>
      <c r="IV23" s="670">
        <f t="shared" si="95"/>
        <v>84.96994937215598</v>
      </c>
      <c r="IW23" s="9">
        <f t="shared" si="96"/>
        <v>-4.9927899012947687</v>
      </c>
      <c r="IX23" s="5">
        <f t="shared" si="97"/>
        <v>-2.3723571641368855</v>
      </c>
      <c r="IY23" s="5">
        <f t="shared" si="98"/>
        <v>0.255</v>
      </c>
      <c r="IZ23" s="5">
        <f t="shared" si="99"/>
        <v>0.255</v>
      </c>
      <c r="JA23" s="705">
        <f t="shared" si="100"/>
        <v>89.999987005609611</v>
      </c>
      <c r="JC23" s="796" cm="1">
        <f t="array" ref="JC23:JC24">IFERROR(_xlfn._xlws.SORT(_xlfn.UNIQUE(_xlfn._xlws.FILTER($IM$9:$IM$150,$IM$9:$IM$150&lt;&gt;"")),,1),"")</f>
        <v>1313</v>
      </c>
      <c r="JD23" s="800" cm="1">
        <f t="array" ref="JD23">IF($JC23="","",COUNT(IF(IF($IK$9:$IK$150&lt;&gt;"",$IM$9:$IM$150,"")=$JC23,$II$9:$II$150,"")))</f>
        <v>9</v>
      </c>
      <c r="JE23" s="191"/>
      <c r="JF23" s="191"/>
      <c r="JG23" s="812"/>
      <c r="JH23" s="737" cm="1">
        <f t="array" ref="JH23:JI24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1</v>
      </c>
      <c r="JI23" s="742">
        <v>8</v>
      </c>
      <c r="JJ23" s="741" cm="1">
        <f t="array" ref="JJ23:JK24">IF(_xlfn.ANCHORARRAY($JH$23)="","",_xlfn.MINIFS($IQ$9:$IQ$150,$IM$9:$IM$150,_xlfn.ANCHORARRAY($JC$23),$IG$9:$IG$150,_xlfn.ANCHORARRAY($JJ$22),$IK$9:$IK$150,"&lt;&gt;"&amp;"",$IH$9:$IH$150,"&lt;&gt;"&amp;"Gage"))</f>
        <v>720</v>
      </c>
      <c r="JK23" s="742">
        <v>760</v>
      </c>
    </row>
    <row r="24" spans="1:271" ht="15" customHeight="1" x14ac:dyDescent="0.25">
      <c r="A24" s="75">
        <f t="shared" si="1"/>
        <v>0</v>
      </c>
      <c r="B24" s="578">
        <f t="shared" si="2"/>
        <v>1.2653068393880056</v>
      </c>
      <c r="C24" s="572">
        <f t="shared" si="3"/>
        <v>4.8588251981189892</v>
      </c>
      <c r="D24" s="576">
        <f t="shared" si="4"/>
        <v>-3.1237446296586411</v>
      </c>
      <c r="E24" s="580">
        <f t="shared" si="5"/>
        <v>0.25200923965143501</v>
      </c>
      <c r="F24" s="572">
        <f t="shared" si="6"/>
        <v>0.96772482820802641</v>
      </c>
      <c r="G24" s="579">
        <f t="shared" si="7"/>
        <v>2.2679489701527003E-7</v>
      </c>
      <c r="H24" s="580">
        <f t="shared" si="8"/>
        <v>0.255</v>
      </c>
      <c r="I24" s="572">
        <f t="shared" si="9"/>
        <v>0.41499999999999992</v>
      </c>
      <c r="J24" s="483">
        <f t="shared" si="10"/>
        <v>1.2470000000000001</v>
      </c>
      <c r="K24" s="806" t="str">
        <f t="shared" si="11"/>
        <v>CPS-32193r1</v>
      </c>
      <c r="L24" s="82"/>
      <c r="M24" s="164">
        <f t="shared" si="12"/>
        <v>1.2470000000000001</v>
      </c>
      <c r="N24" s="575">
        <f t="shared" si="13"/>
        <v>1.2653068393880056</v>
      </c>
      <c r="O24" s="572">
        <f t="shared" si="14"/>
        <v>4.8588251981189892</v>
      </c>
      <c r="P24" s="576">
        <f t="shared" si="15"/>
        <v>-3.1237446296586411</v>
      </c>
      <c r="Q24" s="528">
        <f t="shared" si="140"/>
        <v>75.403559451342005</v>
      </c>
      <c r="R24" s="572">
        <f t="shared" si="101"/>
        <v>5.0208747946625891</v>
      </c>
      <c r="S24" s="577">
        <f t="shared" si="102"/>
        <v>-3.1237446296586411</v>
      </c>
      <c r="T24" s="578">
        <f t="shared" si="103"/>
        <v>4.8682462901973134</v>
      </c>
      <c r="U24" s="572">
        <f t="shared" si="104"/>
        <v>-1.2285608497987366</v>
      </c>
      <c r="V24" s="579">
        <f t="shared" si="141"/>
        <v>-3.1237446296586411</v>
      </c>
      <c r="W24" s="528">
        <f t="shared" si="253"/>
        <v>345.83645029721299</v>
      </c>
      <c r="X24" s="572">
        <f t="shared" si="105"/>
        <v>5.0208747946625891</v>
      </c>
      <c r="Y24" s="573">
        <f t="shared" si="255"/>
        <v>-3.1237446296586411</v>
      </c>
      <c r="Z24" s="575">
        <f t="shared" si="18"/>
        <v>-0.25200923965143501</v>
      </c>
      <c r="AA24" s="572">
        <f t="shared" si="19"/>
        <v>-0.96772482820802641</v>
      </c>
      <c r="AB24" s="572">
        <f t="shared" si="20"/>
        <v>-2.2679489701527003E-7</v>
      </c>
      <c r="AC24" s="579">
        <f t="shared" si="106"/>
        <v>1</v>
      </c>
      <c r="AD24" s="580">
        <f t="shared" si="142"/>
        <v>-0.25200923965143501</v>
      </c>
      <c r="AE24" s="572">
        <f t="shared" si="107"/>
        <v>-0.96772482820802641</v>
      </c>
      <c r="AF24" s="576">
        <f t="shared" si="108"/>
        <v>-2.2679489701527003E-7</v>
      </c>
      <c r="AG24" s="545">
        <f t="shared" si="109"/>
        <v>-89.999986572225879</v>
      </c>
      <c r="AH24" s="546">
        <f t="shared" si="110"/>
        <v>104.59644054865763</v>
      </c>
      <c r="AI24" s="528">
        <f t="shared" si="111"/>
        <v>-89.999987005609583</v>
      </c>
      <c r="AJ24" s="529">
        <f t="shared" si="112"/>
        <v>-14.59644054865802</v>
      </c>
      <c r="AK24" s="578">
        <f>IF(M24="","",(COS(RADIANS((90-$Q$8)-W24))*AD24)+(-SIN(RADIANS((90-$Q$8)-W24))*AE24))</f>
        <v>-5.5511151231257827E-16</v>
      </c>
      <c r="AL24" s="572">
        <f t="shared" si="113"/>
        <v>-0.99999999999997424</v>
      </c>
      <c r="AM24" s="577">
        <f t="shared" si="114"/>
        <v>-2.2679489701527003E-7</v>
      </c>
      <c r="AN24" s="524">
        <f t="shared" si="115"/>
        <v>-89.999987005609597</v>
      </c>
      <c r="AO24" s="525">
        <f t="shared" si="116"/>
        <v>0</v>
      </c>
      <c r="AP24" s="528">
        <f t="shared" si="117"/>
        <v>-90.000000000000028</v>
      </c>
      <c r="AQ24" s="529">
        <f t="shared" si="21"/>
        <v>0.18161926673217046</v>
      </c>
      <c r="AS24" s="932">
        <f t="shared" si="143"/>
        <v>345.83645029721299</v>
      </c>
      <c r="AT24" s="928">
        <f t="shared" si="22"/>
        <v>-3.120555226467244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4"/>
        <v/>
      </c>
      <c r="BA24" s="296" t="str">
        <f t="shared" si="24"/>
        <v/>
      </c>
      <c r="BB24" s="190" t="str">
        <f t="shared" si="145"/>
        <v/>
      </c>
      <c r="BC24" s="9"/>
      <c r="BD24" s="5" t="str">
        <f t="shared" si="146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7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8"/>
        <v/>
      </c>
      <c r="BP24" s="5" t="str">
        <f t="shared" si="239"/>
        <v/>
      </c>
      <c r="BQ24" s="5" t="str">
        <f t="shared" si="149"/>
        <v/>
      </c>
      <c r="BR24" s="6" t="str">
        <f t="shared" si="150"/>
        <v/>
      </c>
      <c r="BS24" s="4" t="str">
        <f t="shared" si="118"/>
        <v/>
      </c>
      <c r="BT24" s="5" t="str">
        <f t="shared" si="118"/>
        <v/>
      </c>
      <c r="BU24" s="10" t="str">
        <f t="shared" si="119"/>
        <v/>
      </c>
      <c r="BV24" s="9" t="str">
        <f t="shared" si="120"/>
        <v/>
      </c>
      <c r="BW24" s="5" t="str">
        <f t="shared" si="121"/>
        <v/>
      </c>
      <c r="BX24" s="8" t="str">
        <f t="shared" si="122"/>
        <v/>
      </c>
      <c r="BY24" s="173" t="str">
        <f t="shared" si="123"/>
        <v/>
      </c>
      <c r="BZ24" s="5" t="str">
        <f t="shared" si="124"/>
        <v/>
      </c>
      <c r="CA24" s="6" t="str">
        <f t="shared" si="125"/>
        <v/>
      </c>
      <c r="CB24" s="4" t="str">
        <f t="shared" si="151"/>
        <v/>
      </c>
      <c r="CC24" s="5" t="str">
        <f t="shared" si="152"/>
        <v/>
      </c>
      <c r="CD24" s="5" t="str">
        <f t="shared" si="153"/>
        <v/>
      </c>
      <c r="CE24" s="6" t="str">
        <f t="shared" si="154"/>
        <v/>
      </c>
      <c r="CF24" s="4" t="str">
        <f t="shared" si="155"/>
        <v/>
      </c>
      <c r="CG24" s="5" t="str">
        <f t="shared" si="156"/>
        <v/>
      </c>
      <c r="CH24" s="5" t="str">
        <f t="shared" si="157"/>
        <v/>
      </c>
      <c r="CI24" s="4" t="str">
        <f t="shared" si="126"/>
        <v/>
      </c>
      <c r="CJ24" s="5" t="str">
        <f t="shared" si="127"/>
        <v/>
      </c>
      <c r="CK24" s="8" t="str">
        <f t="shared" si="128"/>
        <v/>
      </c>
      <c r="CL24" s="173" t="str">
        <f t="shared" si="129"/>
        <v/>
      </c>
      <c r="CM24" s="5" t="str">
        <f t="shared" si="130"/>
        <v/>
      </c>
      <c r="CN24" s="6" t="str">
        <f t="shared" si="131"/>
        <v/>
      </c>
      <c r="CO24" s="167" t="str">
        <f t="shared" si="35"/>
        <v/>
      </c>
      <c r="CP24" s="4" t="str">
        <f t="shared" si="240"/>
        <v/>
      </c>
      <c r="CQ24" s="5" t="str">
        <f t="shared" si="241"/>
        <v/>
      </c>
      <c r="CR24" s="5" t="str">
        <f t="shared" si="158"/>
        <v/>
      </c>
      <c r="CS24" s="8" t="str">
        <f t="shared" si="159"/>
        <v/>
      </c>
      <c r="CT24" s="9" t="str">
        <f t="shared" si="160"/>
        <v/>
      </c>
      <c r="CU24" s="6" t="str">
        <f t="shared" si="161"/>
        <v/>
      </c>
      <c r="CV24" s="4" t="str">
        <f t="shared" si="242"/>
        <v/>
      </c>
      <c r="CW24" s="5" t="str">
        <f t="shared" si="162"/>
        <v/>
      </c>
      <c r="CX24" s="8" t="str">
        <f t="shared" si="163"/>
        <v/>
      </c>
      <c r="CY24" s="9" t="str">
        <f t="shared" si="164"/>
        <v/>
      </c>
      <c r="CZ24" s="5" t="str">
        <f t="shared" si="165"/>
        <v/>
      </c>
      <c r="DA24" s="6" t="str">
        <f t="shared" si="166"/>
        <v/>
      </c>
      <c r="DB24" s="4" t="str">
        <f t="shared" si="167"/>
        <v/>
      </c>
      <c r="DC24" s="5" t="str">
        <f t="shared" si="167"/>
        <v/>
      </c>
      <c r="DD24" s="10" t="str">
        <f t="shared" si="168"/>
        <v/>
      </c>
      <c r="DE24" s="9" t="str">
        <f t="shared" si="169"/>
        <v/>
      </c>
      <c r="DF24" s="5" t="str">
        <f t="shared" si="169"/>
        <v/>
      </c>
      <c r="DG24" s="10" t="str">
        <f t="shared" si="170"/>
        <v/>
      </c>
      <c r="DH24" s="70" t="str">
        <f t="shared" si="171"/>
        <v/>
      </c>
      <c r="DI24" s="4" t="str">
        <f t="shared" si="172"/>
        <v/>
      </c>
      <c r="DJ24" s="5" t="str">
        <f t="shared" si="173"/>
        <v/>
      </c>
      <c r="DK24" s="10" t="str">
        <f t="shared" si="174"/>
        <v/>
      </c>
      <c r="DL24" s="9" t="str">
        <f t="shared" si="175"/>
        <v/>
      </c>
      <c r="DM24" s="173" t="str">
        <f t="shared" si="176"/>
        <v/>
      </c>
      <c r="DN24" s="178" t="str">
        <f t="shared" si="177"/>
        <v/>
      </c>
      <c r="DO24" s="9" t="str">
        <f t="shared" si="178"/>
        <v/>
      </c>
      <c r="DP24" s="173" t="str">
        <f t="shared" si="179"/>
        <v/>
      </c>
      <c r="DQ24" s="11" t="str">
        <f t="shared" si="180"/>
        <v/>
      </c>
      <c r="DR24" s="173" t="str">
        <f t="shared" si="181"/>
        <v/>
      </c>
      <c r="DS24" s="5" t="str">
        <f t="shared" si="182"/>
        <v/>
      </c>
      <c r="DT24" s="5" t="str">
        <f t="shared" si="183"/>
        <v/>
      </c>
      <c r="DU24" s="5" t="str">
        <f t="shared" si="184"/>
        <v/>
      </c>
      <c r="DV24" s="5" t="str">
        <f t="shared" si="185"/>
        <v/>
      </c>
      <c r="DW24" s="5" t="str">
        <f t="shared" si="186"/>
        <v/>
      </c>
      <c r="DX24" s="167" t="str">
        <f t="shared" si="187"/>
        <v/>
      </c>
      <c r="DY24" s="9" t="str">
        <f t="shared" si="188"/>
        <v/>
      </c>
      <c r="DZ24" s="5" t="str">
        <f t="shared" si="189"/>
        <v/>
      </c>
      <c r="EA24" s="10" t="str">
        <f t="shared" si="190"/>
        <v/>
      </c>
      <c r="EB24" s="6" t="str">
        <f t="shared" si="191"/>
        <v/>
      </c>
      <c r="EC24" s="173" t="str">
        <f t="shared" si="192"/>
        <v/>
      </c>
      <c r="ED24" s="5" t="str">
        <f t="shared" si="193"/>
        <v/>
      </c>
      <c r="EE24" s="4" t="str">
        <f t="shared" si="194"/>
        <v/>
      </c>
      <c r="EF24" s="5" t="str">
        <f t="shared" si="195"/>
        <v/>
      </c>
      <c r="EG24" s="10" t="str">
        <f t="shared" si="196"/>
        <v/>
      </c>
      <c r="EH24" s="9" t="str">
        <f t="shared" si="197"/>
        <v/>
      </c>
      <c r="EI24" s="5" t="str">
        <f t="shared" si="198"/>
        <v/>
      </c>
      <c r="EJ24" s="6" t="str">
        <f t="shared" si="199"/>
        <v/>
      </c>
      <c r="EK24" s="236" t="str">
        <f t="shared" si="200"/>
        <v/>
      </c>
      <c r="EL24" s="238" t="str">
        <f t="shared" si="201"/>
        <v/>
      </c>
      <c r="EM24" s="4" t="str">
        <f t="shared" si="202"/>
        <v/>
      </c>
      <c r="EN24" s="5" t="str">
        <f t="shared" si="203"/>
        <v/>
      </c>
      <c r="EO24" s="10" t="str">
        <f t="shared" si="204"/>
        <v/>
      </c>
      <c r="EP24" s="9" t="str">
        <f t="shared" si="205"/>
        <v/>
      </c>
      <c r="EQ24" s="5" t="str">
        <f t="shared" si="206"/>
        <v/>
      </c>
      <c r="ER24" s="7" t="str">
        <f t="shared" si="207"/>
        <v/>
      </c>
      <c r="ES24" s="21" t="str">
        <f t="shared" si="132"/>
        <v/>
      </c>
      <c r="ET24" s="5" t="str">
        <f t="shared" si="44"/>
        <v/>
      </c>
      <c r="EU24" s="10" t="str">
        <f t="shared" si="45"/>
        <v/>
      </c>
      <c r="EV24" s="174" t="str">
        <f t="shared" si="254"/>
        <v/>
      </c>
      <c r="EW24" s="9" t="str">
        <f t="shared" si="133"/>
        <v/>
      </c>
      <c r="EX24" s="5" t="str">
        <f t="shared" si="47"/>
        <v/>
      </c>
      <c r="EY24" s="6" t="str">
        <f t="shared" si="208"/>
        <v/>
      </c>
      <c r="EZ24" s="51" t="str">
        <f t="shared" si="209"/>
        <v/>
      </c>
      <c r="FA24" s="266" t="str">
        <f t="shared" si="134"/>
        <v/>
      </c>
      <c r="FB24" s="267" t="str">
        <f t="shared" si="135"/>
        <v/>
      </c>
      <c r="FC24" s="269" t="str">
        <f t="shared" si="48"/>
        <v/>
      </c>
      <c r="FD24" s="4" t="str">
        <f t="shared" si="136"/>
        <v/>
      </c>
      <c r="FE24" s="5" t="str">
        <f t="shared" si="49"/>
        <v/>
      </c>
      <c r="FF24" s="7" t="str">
        <f t="shared" si="210"/>
        <v/>
      </c>
      <c r="FG24" s="173" t="str">
        <f t="shared" si="211"/>
        <v/>
      </c>
      <c r="FH24" s="5" t="str">
        <f t="shared" si="50"/>
        <v/>
      </c>
      <c r="FI24" s="10" t="str">
        <f t="shared" si="51"/>
        <v/>
      </c>
      <c r="FJ24" s="279" t="str">
        <f t="shared" si="212"/>
        <v/>
      </c>
      <c r="FK24" s="4" t="str">
        <f t="shared" si="52"/>
        <v/>
      </c>
      <c r="FL24" s="5" t="str">
        <f t="shared" si="213"/>
        <v/>
      </c>
      <c r="FM24" s="8" t="str">
        <f t="shared" si="214"/>
        <v/>
      </c>
      <c r="FN24" s="9" t="str">
        <f t="shared" si="215"/>
        <v/>
      </c>
      <c r="FO24" s="10" t="str">
        <f t="shared" si="53"/>
        <v/>
      </c>
      <c r="FP24" s="277" t="str">
        <f t="shared" si="54"/>
        <v/>
      </c>
      <c r="FQ24" s="173" t="str">
        <f t="shared" si="243"/>
        <v/>
      </c>
      <c r="FR24" s="10" t="str">
        <f t="shared" si="216"/>
        <v/>
      </c>
      <c r="FS24" s="9" t="str">
        <f t="shared" si="217"/>
        <v/>
      </c>
      <c r="FT24" s="6" t="str">
        <f t="shared" si="218"/>
        <v/>
      </c>
      <c r="FU24" s="4" t="str">
        <f t="shared" si="219"/>
        <v/>
      </c>
      <c r="FV24" s="5" t="str">
        <f t="shared" si="220"/>
        <v/>
      </c>
      <c r="FW24" s="8" t="str">
        <f t="shared" si="244"/>
        <v/>
      </c>
      <c r="FX24" s="9" t="str">
        <f t="shared" si="245"/>
        <v/>
      </c>
      <c r="FY24" s="10" t="str">
        <f t="shared" si="55"/>
        <v/>
      </c>
      <c r="FZ24" s="277" t="str">
        <f t="shared" si="246"/>
        <v/>
      </c>
      <c r="GA24" s="177" t="str">
        <f t="shared" si="221"/>
        <v/>
      </c>
      <c r="GB24" s="4" t="str">
        <f t="shared" si="222"/>
        <v/>
      </c>
      <c r="GC24" s="5" t="str">
        <f t="shared" si="223"/>
        <v/>
      </c>
      <c r="GD24" s="10" t="str">
        <f t="shared" si="224"/>
        <v/>
      </c>
      <c r="GE24" s="311" t="str">
        <f t="shared" si="225"/>
        <v/>
      </c>
      <c r="GF24" s="341" t="str">
        <f t="shared" si="247"/>
        <v/>
      </c>
      <c r="GG24" s="285" t="str">
        <f t="shared" si="56"/>
        <v/>
      </c>
      <c r="GH24" s="286" t="str">
        <f t="shared" si="57"/>
        <v/>
      </c>
      <c r="GI24" s="281" t="str">
        <f t="shared" si="58"/>
        <v/>
      </c>
      <c r="GJ24" s="167" t="str">
        <f t="shared" si="226"/>
        <v/>
      </c>
      <c r="GK24" s="174" t="str">
        <f t="shared" si="59"/>
        <v/>
      </c>
      <c r="GL24" s="174" t="str">
        <f t="shared" si="227"/>
        <v/>
      </c>
      <c r="GM24" s="177" t="str">
        <f t="shared" si="248"/>
        <v/>
      </c>
      <c r="GN24" s="280" t="str">
        <f t="shared" si="228"/>
        <v/>
      </c>
      <c r="GO24" s="4" t="str">
        <f t="shared" si="229"/>
        <v/>
      </c>
      <c r="GP24" s="8" t="str">
        <f t="shared" si="249"/>
        <v/>
      </c>
      <c r="GQ24" s="177" t="str">
        <f t="shared" si="230"/>
        <v/>
      </c>
      <c r="GR24" s="371" t="str">
        <f t="shared" si="250"/>
        <v/>
      </c>
      <c r="GS24" s="342" t="str">
        <f t="shared" si="61"/>
        <v/>
      </c>
      <c r="GT24" s="343" t="str">
        <f t="shared" si="62"/>
        <v/>
      </c>
      <c r="GU24" s="344" t="str">
        <f t="shared" si="63"/>
        <v/>
      </c>
      <c r="GV24" s="343" t="str">
        <f t="shared" si="252"/>
        <v/>
      </c>
      <c r="GW24" s="345" t="str">
        <f t="shared" si="64"/>
        <v/>
      </c>
      <c r="GX24" s="346" t="str">
        <f t="shared" si="65"/>
        <v/>
      </c>
      <c r="GY24" s="344" t="str">
        <f t="shared" si="66"/>
        <v/>
      </c>
      <c r="GZ24" s="345" t="str">
        <f t="shared" si="67"/>
        <v/>
      </c>
      <c r="HA24" s="342" t="str">
        <f t="shared" si="68"/>
        <v/>
      </c>
      <c r="HB24" s="5" t="str">
        <f t="shared" si="231"/>
        <v/>
      </c>
      <c r="HC24" s="343" t="str">
        <f t="shared" si="232"/>
        <v/>
      </c>
      <c r="HD24" s="363" t="str">
        <f t="shared" si="233"/>
        <v/>
      </c>
      <c r="HE24" s="344" t="str">
        <f t="shared" si="69"/>
        <v/>
      </c>
      <c r="HF24" s="5" t="str">
        <f t="shared" si="70"/>
        <v/>
      </c>
      <c r="HG24" s="343" t="str">
        <f t="shared" si="234"/>
        <v/>
      </c>
      <c r="HH24" s="349" t="str">
        <f t="shared" si="235"/>
        <v/>
      </c>
      <c r="HI24" s="317" t="str">
        <f t="shared" si="71"/>
        <v/>
      </c>
      <c r="HJ24" s="336"/>
      <c r="HK24" s="310" t="str">
        <f t="shared" si="137"/>
        <v/>
      </c>
      <c r="HL24" s="348" t="str">
        <f t="shared" si="72"/>
        <v/>
      </c>
      <c r="HM24" s="909" t="str">
        <f t="shared" si="138"/>
        <v/>
      </c>
      <c r="HN24" s="910" t="str">
        <f t="shared" si="73"/>
        <v/>
      </c>
      <c r="HO24" s="911"/>
      <c r="HP24" s="912"/>
      <c r="HQ24" s="910" t="str">
        <f t="shared" si="74"/>
        <v/>
      </c>
      <c r="HR24" s="913" t="str">
        <f t="shared" si="75"/>
        <v/>
      </c>
      <c r="HS24" s="865" t="str">
        <f t="shared" si="251"/>
        <v/>
      </c>
      <c r="HT24" s="875" t="str">
        <f t="shared" si="76"/>
        <v/>
      </c>
      <c r="HU24" s="876" t="str">
        <f t="shared" si="77"/>
        <v/>
      </c>
      <c r="HV24" s="872" t="str">
        <f t="shared" si="78"/>
        <v/>
      </c>
      <c r="HW24" s="866" t="str">
        <f t="shared" si="79"/>
        <v/>
      </c>
      <c r="HX24" s="867" t="str">
        <f t="shared" si="80"/>
        <v/>
      </c>
      <c r="HY24" s="866" t="str">
        <f t="shared" si="81"/>
        <v/>
      </c>
      <c r="HZ24" s="868" t="str">
        <f t="shared" si="82"/>
        <v/>
      </c>
      <c r="IA24" s="869" t="str">
        <f t="shared" si="83"/>
        <v/>
      </c>
      <c r="IB24" s="870" t="str">
        <f t="shared" si="84"/>
        <v/>
      </c>
      <c r="IC24" s="841" t="str">
        <f t="shared" si="85"/>
        <v/>
      </c>
      <c r="ID24" s="351" t="str">
        <f t="shared" si="86"/>
        <v/>
      </c>
      <c r="IE24" s="843" t="str">
        <f t="shared" si="87"/>
        <v/>
      </c>
      <c r="IF24" s="844"/>
      <c r="IG24" s="790" t="str">
        <f>IFERROR(IF($IW24="","",IF($IW24&lt;(((Settings!$C$19/2)*-1)*$IG$8),"Taper","Nose")),"")</f>
        <v>Taper</v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1.2470000000000001</v>
      </c>
      <c r="IJ24" s="674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1.147</v>
      </c>
      <c r="IK24" s="677" cm="1">
        <f t="array" ref="IK24">IFERROR(ROUND(VALUE(IF($IJ24&lt;1,$IJ24+LARGE((IF($M$9:$M$150="",0,$M$9:$M$150)-MOD(IF($M$9:$M$150="",0,$M$9:$M$150),1)),1),$IJ24)),4),"")</f>
        <v>1.147</v>
      </c>
      <c r="IL24" s="482">
        <f t="shared" si="88"/>
        <v>1613</v>
      </c>
      <c r="IM24" s="482" t="str">
        <f t="shared" si="237"/>
        <v>CPS-32193r1</v>
      </c>
      <c r="IN24" s="670">
        <f t="shared" si="90"/>
        <v>12.202087403953328</v>
      </c>
      <c r="IO24" s="702">
        <v>4.8104159123766498E-2</v>
      </c>
      <c r="IP24" s="5">
        <f t="shared" si="91"/>
        <v>2.78</v>
      </c>
      <c r="IQ24" s="714">
        <v>1390</v>
      </c>
      <c r="IR24" s="9">
        <f t="shared" si="139"/>
        <v>-5.0550887932628417</v>
      </c>
      <c r="IS24" s="5">
        <f t="shared" si="92"/>
        <v>-3.1000897483921412</v>
      </c>
      <c r="IT24" s="5">
        <f t="shared" si="93"/>
        <v>0.3125</v>
      </c>
      <c r="IU24" s="5">
        <f t="shared" si="94"/>
        <v>0.27121678779184555</v>
      </c>
      <c r="IV24" s="670">
        <f t="shared" si="95"/>
        <v>84.970117416838434</v>
      </c>
      <c r="IW24" s="9">
        <f t="shared" si="96"/>
        <v>-5.0208747946625891</v>
      </c>
      <c r="IX24" s="5">
        <f t="shared" si="97"/>
        <v>-3.1237446296586411</v>
      </c>
      <c r="IY24" s="5">
        <f t="shared" si="98"/>
        <v>0.255</v>
      </c>
      <c r="IZ24" s="5">
        <f t="shared" si="99"/>
        <v>0.255</v>
      </c>
      <c r="JA24" s="705">
        <f t="shared" si="100"/>
        <v>89.999987005609597</v>
      </c>
      <c r="JC24" s="739" t="str">
        <v>CPS-32193r1</v>
      </c>
      <c r="JD24" s="797" cm="1">
        <f t="array" ref="JD24">IF($JC24="","",COUNT(IF(IF($IK$9:$IK$150&lt;&gt;"",$IM$9:$IM$150,"")=$JC24,$II$9:$II$150,"")))</f>
        <v>26</v>
      </c>
      <c r="JE24" s="5"/>
      <c r="JF24" s="5"/>
      <c r="JG24" s="10"/>
      <c r="JH24" s="236">
        <v>7</v>
      </c>
      <c r="JI24" s="744">
        <v>19</v>
      </c>
      <c r="JJ24" s="728">
        <v>770</v>
      </c>
      <c r="JK24" s="744">
        <v>800</v>
      </c>
    </row>
    <row r="25" spans="1:271" ht="15" customHeight="1" x14ac:dyDescent="0.25">
      <c r="A25" s="75">
        <f t="shared" si="1"/>
        <v>0.02</v>
      </c>
      <c r="B25" s="578">
        <f t="shared" si="2"/>
        <v>0.99243068281201818</v>
      </c>
      <c r="C25" s="572">
        <f t="shared" si="3"/>
        <v>5.0253196180495685</v>
      </c>
      <c r="D25" s="576">
        <f t="shared" si="4"/>
        <v>-9.4977962776039639</v>
      </c>
      <c r="E25" s="580">
        <f t="shared" si="5"/>
        <v>-0.63118380896787529</v>
      </c>
      <c r="F25" s="572">
        <f t="shared" si="6"/>
        <v>0.76755993884650098</v>
      </c>
      <c r="G25" s="579">
        <f t="shared" si="7"/>
        <v>-0.1116187241226157</v>
      </c>
      <c r="H25" s="580">
        <f t="shared" si="8"/>
        <v>0.26450000000000001</v>
      </c>
      <c r="I25" s="572">
        <f t="shared" si="9"/>
        <v>0.52</v>
      </c>
      <c r="J25" s="483">
        <f t="shared" si="10"/>
        <v>1.2529999999999999</v>
      </c>
      <c r="K25" s="806">
        <f t="shared" si="11"/>
        <v>1313</v>
      </c>
      <c r="L25" s="82"/>
      <c r="M25" s="164">
        <f t="shared" si="12"/>
        <v>1.2529999999999999</v>
      </c>
      <c r="N25" s="575">
        <f t="shared" si="13"/>
        <v>0.99243068281201818</v>
      </c>
      <c r="O25" s="572">
        <f t="shared" si="14"/>
        <v>5.0253196180495685</v>
      </c>
      <c r="P25" s="576">
        <f t="shared" si="15"/>
        <v>-9.4977962776039639</v>
      </c>
      <c r="Q25" s="528">
        <f t="shared" si="140"/>
        <v>78.828631247939143</v>
      </c>
      <c r="R25" s="572">
        <f>IF(M25="","",SQRT(N25^2+O25^2))</f>
        <v>5.1223779559634792</v>
      </c>
      <c r="S25" s="577">
        <f>IF(M25="","",P25)</f>
        <v>-9.4977962776039639</v>
      </c>
      <c r="T25" s="578">
        <f>IF(M25="","",X25*COS(RADIANS(W25)))</f>
        <v>5.0326742972321625</v>
      </c>
      <c r="U25" s="572">
        <f>IF(M25="","",X25*SIN(RADIANS(W25)))</f>
        <v>-0.95443456649439762</v>
      </c>
      <c r="V25" s="579">
        <f>IF(M25="","",Y25)</f>
        <v>-9.4977962776039639</v>
      </c>
      <c r="W25" s="528">
        <f t="shared" si="253"/>
        <v>349.26152209381013</v>
      </c>
      <c r="X25" s="572">
        <f>IF(M25="","",R25)</f>
        <v>5.1223779559634792</v>
      </c>
      <c r="Y25" s="573">
        <f t="shared" si="255"/>
        <v>-9.4977962776039639</v>
      </c>
      <c r="Z25" s="575">
        <f t="shared" si="18"/>
        <v>0.63118380896787529</v>
      </c>
      <c r="AA25" s="572">
        <f t="shared" si="19"/>
        <v>-0.76755993884650098</v>
      </c>
      <c r="AB25" s="572">
        <f t="shared" si="20"/>
        <v>0.1116187241226157</v>
      </c>
      <c r="AC25" s="579">
        <f>IF(M25="","",SQRT(Z25^2+AA25^2+AB25^2))</f>
        <v>1</v>
      </c>
      <c r="AD25" s="580">
        <f>IF(M25="","",Z25*(1/SQRT(Z25^2+AA25^2+AB25^2)))</f>
        <v>0.63118380896787529</v>
      </c>
      <c r="AE25" s="572">
        <f>IF(M25="","",AA25*(1/SQRT(Z25^2+AA25^2+AB25^2)))</f>
        <v>-0.76755993884650098</v>
      </c>
      <c r="AF25" s="576">
        <f>IF(M25="","",AB25*(1/SQRT(Z25^2+AA25^2+AB25^2)))</f>
        <v>0.1116187241226157</v>
      </c>
      <c r="AG25" s="545">
        <f>IF(M25="","",DEGREES(ATAN2(-AF25,AE25)))</f>
        <v>-98.273966053896004</v>
      </c>
      <c r="AH25" s="546">
        <f>IF(M25="","",DEGREES(ACOS(AD25)))</f>
        <v>50.862484083457346</v>
      </c>
      <c r="AI25" s="528">
        <f>IF(M25="","",DEGREES(-ACOS(-AF25)))</f>
        <v>-96.408636339561284</v>
      </c>
      <c r="AJ25" s="529">
        <f>IF(M25="","",DEGREES(ATAN2(-AE25,AD25)))</f>
        <v>39.431319142233455</v>
      </c>
      <c r="AK25" s="578">
        <f>IF(M25="","",(COS(RADIANS((90-$Q$8)-W25))*AD25)+(-SIN(RADIANS((90-$Q$8)-W25))*AE25))</f>
        <v>0.76793443315336385</v>
      </c>
      <c r="AL25" s="572">
        <f>IF(M25="","",(SIN(RADIANS((90-$Q$8)-W25))*AD25)+(COS(RADIANS((90-$Q$8)-W25))*AE25))</f>
        <v>-0.63072812431558933</v>
      </c>
      <c r="AM25" s="577">
        <f>IF(M25="","",AF25)</f>
        <v>0.1116187241226157</v>
      </c>
      <c r="AN25" s="524">
        <f>IF(M25="","",DEGREES(ATAN2(-AM25,AL25)))</f>
        <v>-100.03561890671624</v>
      </c>
      <c r="AO25" s="525">
        <f>IF(ROUND(IF(M25="",0,DEGREES(ACOS(AK25))),4)=90,0,IF(M25="","",DEGREES(ACOS(AK25))))</f>
        <v>39.831236627249616</v>
      </c>
      <c r="AP25" s="528">
        <f>IF(M25="","",DEGREES(ATAN2(AK25,AL25)))</f>
        <v>-39.397312105705673</v>
      </c>
      <c r="AQ25" s="529">
        <f t="shared" si="21"/>
        <v>0.17802038940560666</v>
      </c>
      <c r="AS25" s="932">
        <f t="shared" si="143"/>
        <v>349.26152209381013</v>
      </c>
      <c r="AT25" s="928">
        <f t="shared" si="22"/>
        <v>-9.4955582832449554</v>
      </c>
      <c r="AU25" s="418"/>
      <c r="AV25" s="164" t="str">
        <f t="shared" si="23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4"/>
        <v/>
      </c>
      <c r="BA25" s="296" t="str">
        <f t="shared" si="24"/>
        <v/>
      </c>
      <c r="BB25" s="190" t="str">
        <f t="shared" si="145"/>
        <v/>
      </c>
      <c r="BC25" s="9"/>
      <c r="BD25" s="5" t="str">
        <f t="shared" si="146"/>
        <v/>
      </c>
      <c r="BE25" s="6" t="str">
        <f t="shared" si="25"/>
        <v/>
      </c>
      <c r="BF25" s="4" t="str">
        <f t="shared" si="26"/>
        <v/>
      </c>
      <c r="BG25" s="5" t="str">
        <f t="shared" si="27"/>
        <v/>
      </c>
      <c r="BH25" s="10" t="str">
        <f t="shared" si="28"/>
        <v/>
      </c>
      <c r="BI25" s="9" t="str">
        <f t="shared" si="147"/>
        <v/>
      </c>
      <c r="BJ25" s="5" t="str">
        <f t="shared" si="29"/>
        <v/>
      </c>
      <c r="BK25" s="8" t="str">
        <f t="shared" si="30"/>
        <v/>
      </c>
      <c r="BL25" s="173" t="str">
        <f t="shared" si="31"/>
        <v/>
      </c>
      <c r="BM25" s="5" t="str">
        <f t="shared" si="32"/>
        <v/>
      </c>
      <c r="BN25" s="6" t="str">
        <f t="shared" si="33"/>
        <v/>
      </c>
      <c r="BO25" s="4" t="str">
        <f t="shared" si="148"/>
        <v/>
      </c>
      <c r="BP25" s="5" t="str">
        <f t="shared" si="239"/>
        <v/>
      </c>
      <c r="BQ25" s="5" t="str">
        <f t="shared" si="149"/>
        <v/>
      </c>
      <c r="BR25" s="6" t="str">
        <f t="shared" si="150"/>
        <v/>
      </c>
      <c r="BS25" s="4" t="str">
        <f t="shared" si="118"/>
        <v/>
      </c>
      <c r="BT25" s="5" t="str">
        <f t="shared" si="118"/>
        <v/>
      </c>
      <c r="BU25" s="10" t="str">
        <f t="shared" si="119"/>
        <v/>
      </c>
      <c r="BV25" s="9" t="str">
        <f t="shared" si="120"/>
        <v/>
      </c>
      <c r="BW25" s="5" t="str">
        <f t="shared" si="121"/>
        <v/>
      </c>
      <c r="BX25" s="8" t="str">
        <f t="shared" si="122"/>
        <v/>
      </c>
      <c r="BY25" s="173" t="str">
        <f t="shared" si="123"/>
        <v/>
      </c>
      <c r="BZ25" s="5" t="str">
        <f t="shared" si="124"/>
        <v/>
      </c>
      <c r="CA25" s="6" t="str">
        <f t="shared" si="125"/>
        <v/>
      </c>
      <c r="CB25" s="4" t="str">
        <f t="shared" si="151"/>
        <v/>
      </c>
      <c r="CC25" s="5" t="str">
        <f t="shared" si="152"/>
        <v/>
      </c>
      <c r="CD25" s="5" t="str">
        <f t="shared" si="153"/>
        <v/>
      </c>
      <c r="CE25" s="6" t="str">
        <f t="shared" si="154"/>
        <v/>
      </c>
      <c r="CF25" s="4" t="str">
        <f t="shared" si="155"/>
        <v/>
      </c>
      <c r="CG25" s="5" t="str">
        <f t="shared" si="156"/>
        <v/>
      </c>
      <c r="CH25" s="5" t="str">
        <f t="shared" si="157"/>
        <v/>
      </c>
      <c r="CI25" s="4" t="str">
        <f t="shared" si="126"/>
        <v/>
      </c>
      <c r="CJ25" s="5" t="str">
        <f t="shared" si="127"/>
        <v/>
      </c>
      <c r="CK25" s="8" t="str">
        <f t="shared" si="128"/>
        <v/>
      </c>
      <c r="CL25" s="173" t="str">
        <f t="shared" si="129"/>
        <v/>
      </c>
      <c r="CM25" s="5" t="str">
        <f t="shared" si="130"/>
        <v/>
      </c>
      <c r="CN25" s="6" t="str">
        <f t="shared" si="131"/>
        <v/>
      </c>
      <c r="CO25" s="167" t="str">
        <f t="shared" si="35"/>
        <v/>
      </c>
      <c r="CP25" s="4" t="str">
        <f t="shared" si="240"/>
        <v/>
      </c>
      <c r="CQ25" s="5" t="str">
        <f t="shared" si="241"/>
        <v/>
      </c>
      <c r="CR25" s="5" t="str">
        <f t="shared" si="158"/>
        <v/>
      </c>
      <c r="CS25" s="8" t="str">
        <f t="shared" si="159"/>
        <v/>
      </c>
      <c r="CT25" s="9" t="str">
        <f t="shared" si="160"/>
        <v/>
      </c>
      <c r="CU25" s="6" t="str">
        <f t="shared" si="161"/>
        <v/>
      </c>
      <c r="CV25" s="4" t="str">
        <f t="shared" si="242"/>
        <v/>
      </c>
      <c r="CW25" s="5" t="str">
        <f t="shared" si="162"/>
        <v/>
      </c>
      <c r="CX25" s="8" t="str">
        <f t="shared" si="163"/>
        <v/>
      </c>
      <c r="CY25" s="9" t="str">
        <f t="shared" si="164"/>
        <v/>
      </c>
      <c r="CZ25" s="5" t="str">
        <f t="shared" si="165"/>
        <v/>
      </c>
      <c r="DA25" s="6" t="str">
        <f t="shared" si="166"/>
        <v/>
      </c>
      <c r="DB25" s="4" t="str">
        <f t="shared" si="167"/>
        <v/>
      </c>
      <c r="DC25" s="5" t="str">
        <f t="shared" si="167"/>
        <v/>
      </c>
      <c r="DD25" s="10" t="str">
        <f t="shared" si="168"/>
        <v/>
      </c>
      <c r="DE25" s="9" t="str">
        <f t="shared" si="169"/>
        <v/>
      </c>
      <c r="DF25" s="5" t="str">
        <f t="shared" si="169"/>
        <v/>
      </c>
      <c r="DG25" s="10" t="str">
        <f t="shared" si="170"/>
        <v/>
      </c>
      <c r="DH25" s="70" t="str">
        <f t="shared" si="171"/>
        <v/>
      </c>
      <c r="DI25" s="4" t="str">
        <f t="shared" si="172"/>
        <v/>
      </c>
      <c r="DJ25" s="5" t="str">
        <f t="shared" si="173"/>
        <v/>
      </c>
      <c r="DK25" s="10" t="str">
        <f t="shared" si="174"/>
        <v/>
      </c>
      <c r="DL25" s="9" t="str">
        <f t="shared" si="175"/>
        <v/>
      </c>
      <c r="DM25" s="173" t="str">
        <f t="shared" si="176"/>
        <v/>
      </c>
      <c r="DN25" s="178" t="str">
        <f t="shared" si="177"/>
        <v/>
      </c>
      <c r="DO25" s="9" t="str">
        <f t="shared" si="178"/>
        <v/>
      </c>
      <c r="DP25" s="173" t="str">
        <f t="shared" si="179"/>
        <v/>
      </c>
      <c r="DQ25" s="11" t="str">
        <f t="shared" si="180"/>
        <v/>
      </c>
      <c r="DR25" s="173" t="str">
        <f t="shared" si="181"/>
        <v/>
      </c>
      <c r="DS25" s="5" t="str">
        <f t="shared" si="182"/>
        <v/>
      </c>
      <c r="DT25" s="5" t="str">
        <f t="shared" si="183"/>
        <v/>
      </c>
      <c r="DU25" s="5" t="str">
        <f t="shared" si="184"/>
        <v/>
      </c>
      <c r="DV25" s="5" t="str">
        <f t="shared" si="185"/>
        <v/>
      </c>
      <c r="DW25" s="5" t="str">
        <f t="shared" si="186"/>
        <v/>
      </c>
      <c r="DX25" s="167" t="str">
        <f t="shared" si="187"/>
        <v/>
      </c>
      <c r="DY25" s="9" t="str">
        <f t="shared" si="188"/>
        <v/>
      </c>
      <c r="DZ25" s="5" t="str">
        <f t="shared" si="189"/>
        <v/>
      </c>
      <c r="EA25" s="10" t="str">
        <f t="shared" si="190"/>
        <v/>
      </c>
      <c r="EB25" s="6" t="str">
        <f t="shared" si="191"/>
        <v/>
      </c>
      <c r="EC25" s="173" t="str">
        <f t="shared" si="192"/>
        <v/>
      </c>
      <c r="ED25" s="5" t="str">
        <f t="shared" si="193"/>
        <v/>
      </c>
      <c r="EE25" s="4" t="str">
        <f t="shared" si="194"/>
        <v/>
      </c>
      <c r="EF25" s="5" t="str">
        <f t="shared" si="195"/>
        <v/>
      </c>
      <c r="EG25" s="10" t="str">
        <f t="shared" si="196"/>
        <v/>
      </c>
      <c r="EH25" s="9" t="str">
        <f t="shared" si="197"/>
        <v/>
      </c>
      <c r="EI25" s="5" t="str">
        <f t="shared" si="198"/>
        <v/>
      </c>
      <c r="EJ25" s="6" t="str">
        <f t="shared" si="199"/>
        <v/>
      </c>
      <c r="EK25" s="236" t="str">
        <f t="shared" si="200"/>
        <v/>
      </c>
      <c r="EL25" s="238" t="str">
        <f t="shared" si="201"/>
        <v/>
      </c>
      <c r="EM25" s="4" t="str">
        <f t="shared" si="202"/>
        <v/>
      </c>
      <c r="EN25" s="5" t="str">
        <f t="shared" si="203"/>
        <v/>
      </c>
      <c r="EO25" s="10" t="str">
        <f t="shared" si="204"/>
        <v/>
      </c>
      <c r="EP25" s="9" t="str">
        <f t="shared" si="205"/>
        <v/>
      </c>
      <c r="EQ25" s="5" t="str">
        <f t="shared" si="206"/>
        <v/>
      </c>
      <c r="ER25" s="7" t="str">
        <f t="shared" si="207"/>
        <v/>
      </c>
      <c r="ES25" s="21" t="str">
        <f t="shared" si="132"/>
        <v/>
      </c>
      <c r="ET25" s="5" t="str">
        <f t="shared" si="44"/>
        <v/>
      </c>
      <c r="EU25" s="10" t="str">
        <f t="shared" si="45"/>
        <v/>
      </c>
      <c r="EV25" s="174" t="str">
        <f t="shared" si="254"/>
        <v/>
      </c>
      <c r="EW25" s="9" t="str">
        <f t="shared" si="133"/>
        <v/>
      </c>
      <c r="EX25" s="5" t="str">
        <f t="shared" si="47"/>
        <v/>
      </c>
      <c r="EY25" s="6" t="str">
        <f t="shared" si="208"/>
        <v/>
      </c>
      <c r="EZ25" s="51" t="str">
        <f t="shared" si="209"/>
        <v/>
      </c>
      <c r="FA25" s="266" t="str">
        <f t="shared" si="134"/>
        <v/>
      </c>
      <c r="FB25" s="267" t="str">
        <f t="shared" si="135"/>
        <v/>
      </c>
      <c r="FC25" s="269" t="str">
        <f t="shared" si="48"/>
        <v/>
      </c>
      <c r="FD25" s="4" t="str">
        <f t="shared" si="136"/>
        <v/>
      </c>
      <c r="FE25" s="5" t="str">
        <f t="shared" si="49"/>
        <v/>
      </c>
      <c r="FF25" s="7" t="str">
        <f t="shared" si="210"/>
        <v/>
      </c>
      <c r="FG25" s="173" t="str">
        <f t="shared" si="211"/>
        <v/>
      </c>
      <c r="FH25" s="5" t="str">
        <f t="shared" si="50"/>
        <v/>
      </c>
      <c r="FI25" s="10" t="str">
        <f t="shared" si="51"/>
        <v/>
      </c>
      <c r="FJ25" s="279" t="str">
        <f t="shared" si="212"/>
        <v/>
      </c>
      <c r="FK25" s="4" t="str">
        <f t="shared" si="52"/>
        <v/>
      </c>
      <c r="FL25" s="5" t="str">
        <f t="shared" si="213"/>
        <v/>
      </c>
      <c r="FM25" s="8" t="str">
        <f t="shared" si="214"/>
        <v/>
      </c>
      <c r="FN25" s="9" t="str">
        <f t="shared" si="215"/>
        <v/>
      </c>
      <c r="FO25" s="10" t="str">
        <f t="shared" si="53"/>
        <v/>
      </c>
      <c r="FP25" s="277" t="str">
        <f t="shared" si="54"/>
        <v/>
      </c>
      <c r="FQ25" s="173" t="str">
        <f t="shared" si="243"/>
        <v/>
      </c>
      <c r="FR25" s="10" t="str">
        <f t="shared" si="216"/>
        <v/>
      </c>
      <c r="FS25" s="9" t="str">
        <f t="shared" si="217"/>
        <v/>
      </c>
      <c r="FT25" s="6" t="str">
        <f t="shared" si="218"/>
        <v/>
      </c>
      <c r="FU25" s="4" t="str">
        <f t="shared" si="219"/>
        <v/>
      </c>
      <c r="FV25" s="5" t="str">
        <f t="shared" si="220"/>
        <v/>
      </c>
      <c r="FW25" s="8" t="str">
        <f t="shared" si="244"/>
        <v/>
      </c>
      <c r="FX25" s="9" t="str">
        <f t="shared" si="245"/>
        <v/>
      </c>
      <c r="FY25" s="10" t="str">
        <f t="shared" si="55"/>
        <v/>
      </c>
      <c r="FZ25" s="277" t="str">
        <f t="shared" si="246"/>
        <v/>
      </c>
      <c r="GA25" s="177" t="str">
        <f t="shared" si="221"/>
        <v/>
      </c>
      <c r="GB25" s="4" t="str">
        <f t="shared" si="222"/>
        <v/>
      </c>
      <c r="GC25" s="5" t="str">
        <f t="shared" si="223"/>
        <v/>
      </c>
      <c r="GD25" s="10" t="str">
        <f t="shared" si="224"/>
        <v/>
      </c>
      <c r="GE25" s="311" t="str">
        <f t="shared" si="225"/>
        <v/>
      </c>
      <c r="GF25" s="341" t="str">
        <f t="shared" si="247"/>
        <v/>
      </c>
      <c r="GG25" s="285" t="str">
        <f t="shared" si="56"/>
        <v/>
      </c>
      <c r="GH25" s="286" t="str">
        <f t="shared" si="57"/>
        <v/>
      </c>
      <c r="GI25" s="281" t="str">
        <f t="shared" si="58"/>
        <v/>
      </c>
      <c r="GJ25" s="167" t="str">
        <f t="shared" si="226"/>
        <v/>
      </c>
      <c r="GK25" s="174" t="str">
        <f t="shared" si="59"/>
        <v/>
      </c>
      <c r="GL25" s="174" t="str">
        <f t="shared" si="227"/>
        <v/>
      </c>
      <c r="GM25" s="177" t="str">
        <f t="shared" si="248"/>
        <v/>
      </c>
      <c r="GN25" s="280" t="str">
        <f t="shared" si="228"/>
        <v/>
      </c>
      <c r="GO25" s="4" t="str">
        <f t="shared" si="229"/>
        <v/>
      </c>
      <c r="GP25" s="8" t="str">
        <f t="shared" si="249"/>
        <v/>
      </c>
      <c r="GQ25" s="177" t="str">
        <f t="shared" si="230"/>
        <v/>
      </c>
      <c r="GR25" s="371" t="str">
        <f t="shared" si="250"/>
        <v/>
      </c>
      <c r="GS25" s="342" t="str">
        <f t="shared" si="61"/>
        <v/>
      </c>
      <c r="GT25" s="343" t="str">
        <f t="shared" si="62"/>
        <v/>
      </c>
      <c r="GU25" s="344" t="str">
        <f t="shared" si="63"/>
        <v/>
      </c>
      <c r="GV25" s="343" t="str">
        <f t="shared" si="252"/>
        <v/>
      </c>
      <c r="GW25" s="345" t="str">
        <f t="shared" si="64"/>
        <v/>
      </c>
      <c r="GX25" s="346" t="str">
        <f t="shared" si="65"/>
        <v/>
      </c>
      <c r="GY25" s="344" t="str">
        <f t="shared" si="66"/>
        <v/>
      </c>
      <c r="GZ25" s="345" t="str">
        <f t="shared" si="67"/>
        <v/>
      </c>
      <c r="HA25" s="342" t="str">
        <f t="shared" si="68"/>
        <v/>
      </c>
      <c r="HB25" s="5" t="str">
        <f t="shared" si="231"/>
        <v/>
      </c>
      <c r="HC25" s="343" t="str">
        <f t="shared" si="232"/>
        <v/>
      </c>
      <c r="HD25" s="363" t="str">
        <f t="shared" si="233"/>
        <v/>
      </c>
      <c r="HE25" s="344" t="str">
        <f t="shared" si="69"/>
        <v/>
      </c>
      <c r="HF25" s="5" t="str">
        <f t="shared" si="70"/>
        <v/>
      </c>
      <c r="HG25" s="343" t="str">
        <f t="shared" si="234"/>
        <v/>
      </c>
      <c r="HH25" s="349" t="str">
        <f t="shared" si="235"/>
        <v/>
      </c>
      <c r="HI25" s="317" t="str">
        <f t="shared" si="71"/>
        <v/>
      </c>
      <c r="HJ25" s="336"/>
      <c r="HK25" s="310" t="str">
        <f t="shared" si="137"/>
        <v/>
      </c>
      <c r="HL25" s="348" t="str">
        <f t="shared" si="72"/>
        <v/>
      </c>
      <c r="HM25" s="909" t="str">
        <f t="shared" si="138"/>
        <v/>
      </c>
      <c r="HN25" s="910" t="str">
        <f t="shared" si="73"/>
        <v/>
      </c>
      <c r="HO25" s="911"/>
      <c r="HP25" s="912"/>
      <c r="HQ25" s="910" t="str">
        <f t="shared" si="74"/>
        <v/>
      </c>
      <c r="HR25" s="913" t="str">
        <f t="shared" si="75"/>
        <v/>
      </c>
      <c r="HS25" s="865" t="str">
        <f t="shared" si="251"/>
        <v/>
      </c>
      <c r="HT25" s="875" t="str">
        <f t="shared" si="76"/>
        <v/>
      </c>
      <c r="HU25" s="876" t="str">
        <f t="shared" si="77"/>
        <v/>
      </c>
      <c r="HV25" s="872" t="str">
        <f t="shared" si="78"/>
        <v/>
      </c>
      <c r="HW25" s="866" t="str">
        <f t="shared" si="79"/>
        <v/>
      </c>
      <c r="HX25" s="867" t="str">
        <f t="shared" si="80"/>
        <v/>
      </c>
      <c r="HY25" s="866" t="str">
        <f t="shared" si="81"/>
        <v/>
      </c>
      <c r="HZ25" s="868" t="str">
        <f t="shared" si="82"/>
        <v/>
      </c>
      <c r="IA25" s="869" t="str">
        <f t="shared" si="83"/>
        <v/>
      </c>
      <c r="IB25" s="870" t="str">
        <f t="shared" si="84"/>
        <v/>
      </c>
      <c r="IC25" s="841" t="str">
        <f t="shared" si="85"/>
        <v/>
      </c>
      <c r="ID25" s="351" t="str">
        <f t="shared" si="86"/>
        <v/>
      </c>
      <c r="IE25" s="843" t="str">
        <f t="shared" si="87"/>
        <v/>
      </c>
      <c r="IF25" s="844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1.2529999999999999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8"/>
        <v>1313</v>
      </c>
      <c r="IM25" s="482" t="str">
        <f t="shared" si="237"/>
        <v/>
      </c>
      <c r="IN25" s="670" t="str">
        <f t="shared" si="90"/>
        <v/>
      </c>
      <c r="IO25" s="702"/>
      <c r="IP25" s="5" t="str">
        <f t="shared" si="91"/>
        <v/>
      </c>
      <c r="IQ25" s="714"/>
      <c r="IR25" s="9" t="str">
        <f t="shared" si="139"/>
        <v/>
      </c>
      <c r="IS25" s="5" t="str">
        <f t="shared" si="92"/>
        <v/>
      </c>
      <c r="IT25" s="5" t="str">
        <f t="shared" si="93"/>
        <v/>
      </c>
      <c r="IU25" s="5" t="str">
        <f t="shared" si="94"/>
        <v/>
      </c>
      <c r="IV25" s="670" t="str">
        <f t="shared" si="95"/>
        <v/>
      </c>
      <c r="IW25" s="9" t="str">
        <f t="shared" si="96"/>
        <v/>
      </c>
      <c r="IX25" s="5" t="str">
        <f t="shared" si="97"/>
        <v/>
      </c>
      <c r="IY25" s="5" t="str">
        <f t="shared" si="98"/>
        <v/>
      </c>
      <c r="IZ25" s="5" t="str">
        <f t="shared" si="99"/>
        <v/>
      </c>
      <c r="JA25" s="705" t="str">
        <f t="shared" si="100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0.02</v>
      </c>
      <c r="B26" s="578">
        <f t="shared" si="2"/>
        <v>2.2091698615105662</v>
      </c>
      <c r="C26" s="572">
        <f t="shared" si="3"/>
        <v>1.0088440066219575</v>
      </c>
      <c r="D26" s="576">
        <f t="shared" si="4"/>
        <v>-0.15567285800779329</v>
      </c>
      <c r="E26" s="580">
        <f t="shared" si="5"/>
        <v>-0.43653446620756692</v>
      </c>
      <c r="F26" s="572">
        <f t="shared" si="6"/>
        <v>0.86172187971823322</v>
      </c>
      <c r="G26" s="579">
        <f t="shared" si="7"/>
        <v>0.25859826338888969</v>
      </c>
      <c r="H26" s="580">
        <f t="shared" si="8"/>
        <v>0.3125</v>
      </c>
      <c r="I26" s="572">
        <f t="shared" si="9"/>
        <v>0.52</v>
      </c>
      <c r="J26" s="483">
        <f t="shared" si="10"/>
        <v>2.11</v>
      </c>
      <c r="K26" s="806">
        <f t="shared" si="11"/>
        <v>1613</v>
      </c>
      <c r="L26" s="162"/>
      <c r="M26" s="164">
        <f t="shared" si="12"/>
        <v>2.11</v>
      </c>
      <c r="N26" s="575">
        <f t="shared" si="13"/>
        <v>2.2091698615105662</v>
      </c>
      <c r="O26" s="572">
        <f t="shared" si="14"/>
        <v>1.0088440066219575</v>
      </c>
      <c r="P26" s="576">
        <f t="shared" si="15"/>
        <v>-0.15567285800779329</v>
      </c>
      <c r="Q26" s="528">
        <f t="shared" si="140"/>
        <v>24.544380170254612</v>
      </c>
      <c r="R26" s="572">
        <f>IF(M26="","",SQRT(N26^2+O26^2))</f>
        <v>2.4286205357576263</v>
      </c>
      <c r="S26" s="577">
        <f>IF(M26="","",P26)</f>
        <v>-0.15567285800779329</v>
      </c>
      <c r="T26" s="578">
        <f>IF(M26="","",X26*COS(RADIANS(W26)))</f>
        <v>1.0255061506637295</v>
      </c>
      <c r="U26" s="572">
        <f>IF(M26="","",X26*SIN(RADIANS(W26)))</f>
        <v>-2.2014846903066392</v>
      </c>
      <c r="V26" s="579">
        <f>IF(M26="","",Y26)</f>
        <v>-0.15567285800779329</v>
      </c>
      <c r="W26" s="528">
        <f t="shared" si="253"/>
        <v>294.9772710161256</v>
      </c>
      <c r="X26" s="572">
        <f>IF(M26="","",R26)</f>
        <v>2.4286205357576263</v>
      </c>
      <c r="Y26" s="573">
        <f t="shared" si="255"/>
        <v>-0.15567285800779329</v>
      </c>
      <c r="Z26" s="575">
        <f t="shared" si="18"/>
        <v>0.43653446620756692</v>
      </c>
      <c r="AA26" s="572">
        <f t="shared" si="19"/>
        <v>-0.86172187971823322</v>
      </c>
      <c r="AB26" s="572">
        <f t="shared" si="20"/>
        <v>-0.25859826338888969</v>
      </c>
      <c r="AC26" s="579">
        <f>IF(M26="","",SQRT(Z26^2+AA26^2+AB26^2))</f>
        <v>1</v>
      </c>
      <c r="AD26" s="580">
        <f>IF(M26="","",Z26*(1/SQRT(Z26^2+AA26^2+AB26^2)))</f>
        <v>0.43653446620756692</v>
      </c>
      <c r="AE26" s="572">
        <f>IF(M26="","",AA26*(1/SQRT(Z26^2+AA26^2+AB26^2)))</f>
        <v>-0.86172187971823322</v>
      </c>
      <c r="AF26" s="576">
        <f>IF(M26="","",AB26*(1/SQRT(Z26^2+AA26^2+AB26^2)))</f>
        <v>-0.25859826338888969</v>
      </c>
      <c r="AG26" s="545">
        <f>IF(M26="","",DEGREES(ATAN2(-AF26,AE26)))</f>
        <v>-73.295772237599806</v>
      </c>
      <c r="AH26" s="546">
        <f>IF(M26="","",DEGREES(ACOS(AD26)))</f>
        <v>64.117025395390456</v>
      </c>
      <c r="AI26" s="528">
        <f>IF(M26="","",DEGREES(-ACOS(-AF26)))</f>
        <v>-75.013095698244058</v>
      </c>
      <c r="AJ26" s="529">
        <f>IF(M26="","",DEGREES(ATAN2(-AE26,AD26)))</f>
        <v>26.86604136351956</v>
      </c>
      <c r="AK26" s="578">
        <f>IF(M26="","",(COS(RADIANS((90-$Q$8)-W26))*AD26)+(-SIN(RADIANS((90-$Q$8)-W26))*AE26))</f>
        <v>0.96519203024194089</v>
      </c>
      <c r="AL26" s="572">
        <f>IF(M26="","",(SIN(RADIANS((90-$Q$8)-W26))*AD26)+(COS(RADIANS((90-$Q$8)-W26))*AE26))</f>
        <v>3.9131610364138869E-2</v>
      </c>
      <c r="AM26" s="577">
        <f>IF(M26="","",AF26)</f>
        <v>-0.25859826338888969</v>
      </c>
      <c r="AN26" s="524">
        <f>IF(M26="","",DEGREES(ATAN2(-AM26,AL26)))</f>
        <v>8.604830320611164</v>
      </c>
      <c r="AO26" s="525">
        <f t="shared" si="116"/>
        <v>15.161593068640046</v>
      </c>
      <c r="AP26" s="528">
        <f>IF(M26="","",DEGREES(ATAN2(AK26,AL26)))</f>
        <v>2.3216611932649722</v>
      </c>
      <c r="AQ26" s="529">
        <f t="shared" si="21"/>
        <v>0.3754714191559978</v>
      </c>
      <c r="AS26" s="932">
        <f t="shared" si="143"/>
        <v>294.9772710161256</v>
      </c>
      <c r="AT26" s="928">
        <f t="shared" si="22"/>
        <v>-0.13835590501609413</v>
      </c>
      <c r="AU26" s="418"/>
      <c r="AV26" s="164" t="str">
        <f t="shared" si="23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4"/>
        <v/>
      </c>
      <c r="BA26" s="296" t="str">
        <f t="shared" si="24"/>
        <v/>
      </c>
      <c r="BB26" s="190" t="str">
        <f t="shared" si="145"/>
        <v/>
      </c>
      <c r="BC26" s="9"/>
      <c r="BD26" s="5" t="str">
        <f t="shared" si="146"/>
        <v/>
      </c>
      <c r="BE26" s="6" t="str">
        <f t="shared" si="25"/>
        <v/>
      </c>
      <c r="BF26" s="4" t="str">
        <f t="shared" si="26"/>
        <v/>
      </c>
      <c r="BG26" s="5" t="str">
        <f t="shared" si="27"/>
        <v/>
      </c>
      <c r="BH26" s="10" t="str">
        <f t="shared" si="28"/>
        <v/>
      </c>
      <c r="BI26" s="9" t="str">
        <f t="shared" si="147"/>
        <v/>
      </c>
      <c r="BJ26" s="5" t="str">
        <f t="shared" si="29"/>
        <v/>
      </c>
      <c r="BK26" s="8" t="str">
        <f t="shared" si="30"/>
        <v/>
      </c>
      <c r="BL26" s="173" t="str">
        <f t="shared" si="31"/>
        <v/>
      </c>
      <c r="BM26" s="5" t="str">
        <f t="shared" si="32"/>
        <v/>
      </c>
      <c r="BN26" s="6" t="str">
        <f t="shared" si="33"/>
        <v/>
      </c>
      <c r="BO26" s="4" t="str">
        <f t="shared" si="148"/>
        <v/>
      </c>
      <c r="BP26" s="5" t="str">
        <f t="shared" si="239"/>
        <v/>
      </c>
      <c r="BQ26" s="5" t="str">
        <f t="shared" si="149"/>
        <v/>
      </c>
      <c r="BR26" s="6" t="str">
        <f t="shared" si="150"/>
        <v/>
      </c>
      <c r="BS26" s="4" t="str">
        <f t="shared" si="118"/>
        <v/>
      </c>
      <c r="BT26" s="5" t="str">
        <f t="shared" si="118"/>
        <v/>
      </c>
      <c r="BU26" s="10" t="str">
        <f t="shared" si="119"/>
        <v/>
      </c>
      <c r="BV26" s="9" t="str">
        <f t="shared" si="120"/>
        <v/>
      </c>
      <c r="BW26" s="5" t="str">
        <f t="shared" si="121"/>
        <v/>
      </c>
      <c r="BX26" s="8" t="str">
        <f t="shared" si="122"/>
        <v/>
      </c>
      <c r="BY26" s="173" t="str">
        <f t="shared" si="123"/>
        <v/>
      </c>
      <c r="BZ26" s="5" t="str">
        <f t="shared" si="124"/>
        <v/>
      </c>
      <c r="CA26" s="6" t="str">
        <f t="shared" si="125"/>
        <v/>
      </c>
      <c r="CB26" s="4" t="str">
        <f t="shared" si="151"/>
        <v/>
      </c>
      <c r="CC26" s="5" t="str">
        <f t="shared" si="152"/>
        <v/>
      </c>
      <c r="CD26" s="5" t="str">
        <f t="shared" si="153"/>
        <v/>
      </c>
      <c r="CE26" s="6" t="str">
        <f t="shared" si="154"/>
        <v/>
      </c>
      <c r="CF26" s="4" t="str">
        <f t="shared" si="155"/>
        <v/>
      </c>
      <c r="CG26" s="5" t="str">
        <f t="shared" si="156"/>
        <v/>
      </c>
      <c r="CH26" s="5" t="str">
        <f t="shared" si="157"/>
        <v/>
      </c>
      <c r="CI26" s="4" t="str">
        <f t="shared" si="126"/>
        <v/>
      </c>
      <c r="CJ26" s="5" t="str">
        <f t="shared" si="127"/>
        <v/>
      </c>
      <c r="CK26" s="8" t="str">
        <f t="shared" si="128"/>
        <v/>
      </c>
      <c r="CL26" s="173" t="str">
        <f t="shared" si="129"/>
        <v/>
      </c>
      <c r="CM26" s="5" t="str">
        <f t="shared" si="130"/>
        <v/>
      </c>
      <c r="CN26" s="6" t="str">
        <f t="shared" si="131"/>
        <v/>
      </c>
      <c r="CO26" s="167" t="str">
        <f t="shared" si="35"/>
        <v/>
      </c>
      <c r="CP26" s="4" t="str">
        <f t="shared" si="240"/>
        <v/>
      </c>
      <c r="CQ26" s="5" t="str">
        <f t="shared" si="241"/>
        <v/>
      </c>
      <c r="CR26" s="5" t="str">
        <f t="shared" si="158"/>
        <v/>
      </c>
      <c r="CS26" s="8" t="str">
        <f t="shared" si="159"/>
        <v/>
      </c>
      <c r="CT26" s="9" t="str">
        <f t="shared" si="160"/>
        <v/>
      </c>
      <c r="CU26" s="6" t="str">
        <f t="shared" si="161"/>
        <v/>
      </c>
      <c r="CV26" s="4" t="str">
        <f t="shared" si="242"/>
        <v/>
      </c>
      <c r="CW26" s="5" t="str">
        <f t="shared" si="162"/>
        <v/>
      </c>
      <c r="CX26" s="8" t="str">
        <f t="shared" si="163"/>
        <v/>
      </c>
      <c r="CY26" s="9" t="str">
        <f t="shared" si="164"/>
        <v/>
      </c>
      <c r="CZ26" s="5" t="str">
        <f t="shared" si="165"/>
        <v/>
      </c>
      <c r="DA26" s="6" t="str">
        <f t="shared" si="166"/>
        <v/>
      </c>
      <c r="DB26" s="4" t="str">
        <f t="shared" si="167"/>
        <v/>
      </c>
      <c r="DC26" s="5" t="str">
        <f t="shared" si="167"/>
        <v/>
      </c>
      <c r="DD26" s="10" t="str">
        <f t="shared" si="168"/>
        <v/>
      </c>
      <c r="DE26" s="9" t="str">
        <f t="shared" si="169"/>
        <v/>
      </c>
      <c r="DF26" s="5" t="str">
        <f t="shared" si="169"/>
        <v/>
      </c>
      <c r="DG26" s="10" t="str">
        <f t="shared" si="170"/>
        <v/>
      </c>
      <c r="DH26" s="70" t="str">
        <f t="shared" si="171"/>
        <v/>
      </c>
      <c r="DI26" s="4" t="str">
        <f t="shared" si="172"/>
        <v/>
      </c>
      <c r="DJ26" s="5" t="str">
        <f t="shared" si="173"/>
        <v/>
      </c>
      <c r="DK26" s="10" t="str">
        <f t="shared" si="174"/>
        <v/>
      </c>
      <c r="DL26" s="9" t="str">
        <f t="shared" si="175"/>
        <v/>
      </c>
      <c r="DM26" s="173" t="str">
        <f t="shared" si="176"/>
        <v/>
      </c>
      <c r="DN26" s="178" t="str">
        <f t="shared" si="177"/>
        <v/>
      </c>
      <c r="DO26" s="9" t="str">
        <f t="shared" si="178"/>
        <v/>
      </c>
      <c r="DP26" s="173" t="str">
        <f t="shared" si="179"/>
        <v/>
      </c>
      <c r="DQ26" s="11" t="str">
        <f t="shared" si="180"/>
        <v/>
      </c>
      <c r="DR26" s="173" t="str">
        <f t="shared" si="181"/>
        <v/>
      </c>
      <c r="DS26" s="5" t="str">
        <f t="shared" si="182"/>
        <v/>
      </c>
      <c r="DT26" s="5" t="str">
        <f t="shared" si="183"/>
        <v/>
      </c>
      <c r="DU26" s="5" t="str">
        <f t="shared" si="184"/>
        <v/>
      </c>
      <c r="DV26" s="5" t="str">
        <f t="shared" si="185"/>
        <v/>
      </c>
      <c r="DW26" s="5" t="str">
        <f t="shared" si="186"/>
        <v/>
      </c>
      <c r="DX26" s="167" t="str">
        <f t="shared" si="187"/>
        <v/>
      </c>
      <c r="DY26" s="9" t="str">
        <f t="shared" si="188"/>
        <v/>
      </c>
      <c r="DZ26" s="5" t="str">
        <f t="shared" si="189"/>
        <v/>
      </c>
      <c r="EA26" s="10" t="str">
        <f t="shared" si="190"/>
        <v/>
      </c>
      <c r="EB26" s="6" t="str">
        <f t="shared" si="191"/>
        <v/>
      </c>
      <c r="EC26" s="173" t="str">
        <f t="shared" si="192"/>
        <v/>
      </c>
      <c r="ED26" s="5" t="str">
        <f t="shared" si="193"/>
        <v/>
      </c>
      <c r="EE26" s="4" t="str">
        <f t="shared" si="194"/>
        <v/>
      </c>
      <c r="EF26" s="5" t="str">
        <f t="shared" si="195"/>
        <v/>
      </c>
      <c r="EG26" s="10" t="str">
        <f t="shared" si="196"/>
        <v/>
      </c>
      <c r="EH26" s="9" t="str">
        <f t="shared" si="197"/>
        <v/>
      </c>
      <c r="EI26" s="5" t="str">
        <f t="shared" si="198"/>
        <v/>
      </c>
      <c r="EJ26" s="6" t="str">
        <f t="shared" si="199"/>
        <v/>
      </c>
      <c r="EK26" s="236" t="str">
        <f t="shared" si="200"/>
        <v/>
      </c>
      <c r="EL26" s="238" t="str">
        <f t="shared" si="201"/>
        <v/>
      </c>
      <c r="EM26" s="4" t="str">
        <f t="shared" si="202"/>
        <v/>
      </c>
      <c r="EN26" s="5" t="str">
        <f t="shared" si="203"/>
        <v/>
      </c>
      <c r="EO26" s="10" t="str">
        <f t="shared" si="204"/>
        <v/>
      </c>
      <c r="EP26" s="9" t="str">
        <f t="shared" si="205"/>
        <v/>
      </c>
      <c r="EQ26" s="5" t="str">
        <f t="shared" si="206"/>
        <v/>
      </c>
      <c r="ER26" s="7" t="str">
        <f t="shared" si="207"/>
        <v/>
      </c>
      <c r="ES26" s="21" t="str">
        <f t="shared" si="132"/>
        <v/>
      </c>
      <c r="ET26" s="5" t="str">
        <f t="shared" si="44"/>
        <v/>
      </c>
      <c r="EU26" s="10" t="str">
        <f t="shared" si="45"/>
        <v/>
      </c>
      <c r="EV26" s="174" t="str">
        <f t="shared" si="254"/>
        <v/>
      </c>
      <c r="EW26" s="9" t="str">
        <f t="shared" si="133"/>
        <v/>
      </c>
      <c r="EX26" s="5" t="str">
        <f t="shared" si="47"/>
        <v/>
      </c>
      <c r="EY26" s="6" t="str">
        <f t="shared" si="208"/>
        <v/>
      </c>
      <c r="EZ26" s="51" t="str">
        <f t="shared" si="209"/>
        <v/>
      </c>
      <c r="FA26" s="266" t="str">
        <f t="shared" si="134"/>
        <v/>
      </c>
      <c r="FB26" s="267" t="str">
        <f t="shared" si="135"/>
        <v/>
      </c>
      <c r="FC26" s="269" t="str">
        <f t="shared" si="48"/>
        <v/>
      </c>
      <c r="FD26" s="4" t="str">
        <f t="shared" si="136"/>
        <v/>
      </c>
      <c r="FE26" s="5" t="str">
        <f t="shared" si="49"/>
        <v/>
      </c>
      <c r="FF26" s="7" t="str">
        <f t="shared" si="210"/>
        <v/>
      </c>
      <c r="FG26" s="173" t="str">
        <f t="shared" si="211"/>
        <v/>
      </c>
      <c r="FH26" s="5" t="str">
        <f t="shared" si="50"/>
        <v/>
      </c>
      <c r="FI26" s="10" t="str">
        <f t="shared" si="51"/>
        <v/>
      </c>
      <c r="FJ26" s="279" t="str">
        <f t="shared" si="212"/>
        <v/>
      </c>
      <c r="FK26" s="4" t="str">
        <f t="shared" si="52"/>
        <v/>
      </c>
      <c r="FL26" s="5" t="str">
        <f t="shared" si="213"/>
        <v/>
      </c>
      <c r="FM26" s="8" t="str">
        <f t="shared" si="214"/>
        <v/>
      </c>
      <c r="FN26" s="9" t="str">
        <f t="shared" si="215"/>
        <v/>
      </c>
      <c r="FO26" s="10" t="str">
        <f t="shared" si="53"/>
        <v/>
      </c>
      <c r="FP26" s="277" t="str">
        <f t="shared" si="54"/>
        <v/>
      </c>
      <c r="FQ26" s="173" t="str">
        <f t="shared" si="243"/>
        <v/>
      </c>
      <c r="FR26" s="10" t="str">
        <f t="shared" si="216"/>
        <v/>
      </c>
      <c r="FS26" s="9" t="str">
        <f>IF(ISNUMBER($AV26),FQ26/(FQ26+FR26),"")</f>
        <v/>
      </c>
      <c r="FT26" s="6" t="str">
        <f t="shared" si="218"/>
        <v/>
      </c>
      <c r="FU26" s="4" t="str">
        <f t="shared" si="219"/>
        <v/>
      </c>
      <c r="FV26" s="5" t="str">
        <f t="shared" si="220"/>
        <v/>
      </c>
      <c r="FW26" s="8" t="str">
        <f t="shared" si="244"/>
        <v/>
      </c>
      <c r="FX26" s="9" t="str">
        <f t="shared" si="245"/>
        <v/>
      </c>
      <c r="FY26" s="10" t="str">
        <f t="shared" si="55"/>
        <v/>
      </c>
      <c r="FZ26" s="277" t="str">
        <f t="shared" si="246"/>
        <v/>
      </c>
      <c r="GA26" s="177" t="str">
        <f t="shared" si="221"/>
        <v/>
      </c>
      <c r="GB26" s="4" t="str">
        <f t="shared" si="222"/>
        <v/>
      </c>
      <c r="GC26" s="5" t="str">
        <f t="shared" si="223"/>
        <v/>
      </c>
      <c r="GD26" s="10" t="str">
        <f t="shared" si="224"/>
        <v/>
      </c>
      <c r="GE26" s="311" t="str">
        <f t="shared" si="225"/>
        <v/>
      </c>
      <c r="GF26" s="341" t="str">
        <f>IF(ISNUMBER($AV26),1/GE26,"")</f>
        <v/>
      </c>
      <c r="GG26" s="285" t="str">
        <f t="shared" si="56"/>
        <v/>
      </c>
      <c r="GH26" s="286" t="str">
        <f t="shared" si="57"/>
        <v/>
      </c>
      <c r="GI26" s="281" t="str">
        <f t="shared" si="58"/>
        <v/>
      </c>
      <c r="GJ26" s="167" t="str">
        <f t="shared" si="226"/>
        <v/>
      </c>
      <c r="GK26" s="174" t="str">
        <f t="shared" si="59"/>
        <v/>
      </c>
      <c r="GL26" s="174" t="str">
        <f t="shared" si="227"/>
        <v/>
      </c>
      <c r="GM26" s="177" t="str">
        <f t="shared" si="248"/>
        <v/>
      </c>
      <c r="GN26" s="280" t="str">
        <f t="shared" si="228"/>
        <v/>
      </c>
      <c r="GO26" s="4" t="str">
        <f t="shared" si="229"/>
        <v/>
      </c>
      <c r="GP26" s="8" t="str">
        <f t="shared" si="249"/>
        <v/>
      </c>
      <c r="GQ26" s="177" t="str">
        <f t="shared" si="230"/>
        <v/>
      </c>
      <c r="GR26" s="371" t="str">
        <f t="shared" si="250"/>
        <v/>
      </c>
      <c r="GS26" s="342" t="str">
        <f t="shared" si="61"/>
        <v/>
      </c>
      <c r="GT26" s="343" t="str">
        <f t="shared" si="62"/>
        <v/>
      </c>
      <c r="GU26" s="344" t="str">
        <f t="shared" si="63"/>
        <v/>
      </c>
      <c r="GV26" s="343" t="str">
        <f t="shared" si="252"/>
        <v/>
      </c>
      <c r="GW26" s="345" t="str">
        <f t="shared" si="64"/>
        <v/>
      </c>
      <c r="GX26" s="346" t="str">
        <f t="shared" si="65"/>
        <v/>
      </c>
      <c r="GY26" s="344" t="str">
        <f t="shared" si="66"/>
        <v/>
      </c>
      <c r="GZ26" s="345" t="str">
        <f t="shared" si="67"/>
        <v/>
      </c>
      <c r="HA26" s="342" t="str">
        <f t="shared" si="68"/>
        <v/>
      </c>
      <c r="HB26" s="5" t="str">
        <f t="shared" si="231"/>
        <v/>
      </c>
      <c r="HC26" s="343" t="str">
        <f t="shared" si="232"/>
        <v/>
      </c>
      <c r="HD26" s="363" t="str">
        <f t="shared" si="233"/>
        <v/>
      </c>
      <c r="HE26" s="344" t="str">
        <f t="shared" si="69"/>
        <v/>
      </c>
      <c r="HF26" s="5" t="str">
        <f t="shared" si="70"/>
        <v/>
      </c>
      <c r="HG26" s="343" t="str">
        <f t="shared" si="234"/>
        <v/>
      </c>
      <c r="HH26" s="349" t="str">
        <f t="shared" si="235"/>
        <v/>
      </c>
      <c r="HI26" s="317" t="str">
        <f t="shared" si="71"/>
        <v/>
      </c>
      <c r="HJ26" s="336"/>
      <c r="HK26" s="310" t="str">
        <f t="shared" si="137"/>
        <v/>
      </c>
      <c r="HL26" s="348" t="str">
        <f t="shared" si="72"/>
        <v/>
      </c>
      <c r="HM26" s="909" t="str">
        <f t="shared" si="138"/>
        <v/>
      </c>
      <c r="HN26" s="910" t="str">
        <f t="shared" si="73"/>
        <v/>
      </c>
      <c r="HO26" s="911"/>
      <c r="HP26" s="912"/>
      <c r="HQ26" s="910" t="str">
        <f t="shared" si="74"/>
        <v/>
      </c>
      <c r="HR26" s="913" t="str">
        <f t="shared" si="75"/>
        <v/>
      </c>
      <c r="HS26" s="865" t="str">
        <f t="shared" si="251"/>
        <v/>
      </c>
      <c r="HT26" s="875" t="str">
        <f t="shared" si="76"/>
        <v/>
      </c>
      <c r="HU26" s="876" t="str">
        <f t="shared" si="77"/>
        <v/>
      </c>
      <c r="HV26" s="872" t="str">
        <f t="shared" si="78"/>
        <v/>
      </c>
      <c r="HW26" s="866" t="str">
        <f t="shared" si="79"/>
        <v/>
      </c>
      <c r="HX26" s="867" t="str">
        <f t="shared" si="80"/>
        <v/>
      </c>
      <c r="HY26" s="866" t="str">
        <f t="shared" si="81"/>
        <v/>
      </c>
      <c r="HZ26" s="868" t="str">
        <f t="shared" si="82"/>
        <v/>
      </c>
      <c r="IA26" s="869" t="str">
        <f t="shared" si="83"/>
        <v/>
      </c>
      <c r="IB26" s="870" t="str">
        <f t="shared" si="84"/>
        <v/>
      </c>
      <c r="IC26" s="841" t="str">
        <f t="shared" si="85"/>
        <v/>
      </c>
      <c r="ID26" s="351" t="str">
        <f t="shared" si="86"/>
        <v/>
      </c>
      <c r="IE26" s="843" t="str">
        <f t="shared" si="87"/>
        <v/>
      </c>
      <c r="IF26" s="844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2.11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8"/>
        <v>1613</v>
      </c>
      <c r="IM26" s="482" t="str">
        <f t="shared" si="237"/>
        <v/>
      </c>
      <c r="IN26" s="670" t="str">
        <f t="shared" si="90"/>
        <v/>
      </c>
      <c r="IO26" s="702"/>
      <c r="IP26" s="5" t="str">
        <f t="shared" si="91"/>
        <v/>
      </c>
      <c r="IQ26" s="714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70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705" t="str">
        <f t="shared" si="10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0.02</v>
      </c>
      <c r="B27" s="578">
        <f t="shared" si="2"/>
        <v>2.904657300571003</v>
      </c>
      <c r="C27" s="572">
        <f t="shared" si="3"/>
        <v>1.3298319412890336</v>
      </c>
      <c r="D27" s="576">
        <f t="shared" si="4"/>
        <v>-0.11880493919077446</v>
      </c>
      <c r="E27" s="580">
        <f t="shared" si="5"/>
        <v>-0.35729909986825681</v>
      </c>
      <c r="F27" s="572">
        <f t="shared" si="6"/>
        <v>0.89554405939127635</v>
      </c>
      <c r="G27" s="579">
        <f t="shared" si="7"/>
        <v>0.2652134817884032</v>
      </c>
      <c r="H27" s="580">
        <f t="shared" si="8"/>
        <v>0.3125</v>
      </c>
      <c r="I27" s="572">
        <f t="shared" si="9"/>
        <v>0.52</v>
      </c>
      <c r="J27" s="483">
        <f t="shared" si="10"/>
        <v>2.1160000000000001</v>
      </c>
      <c r="K27" s="806">
        <f t="shared" si="11"/>
        <v>1613</v>
      </c>
      <c r="L27" s="309"/>
      <c r="M27" s="164">
        <f t="shared" si="12"/>
        <v>2.1160000000000001</v>
      </c>
      <c r="N27" s="575">
        <f t="shared" si="13"/>
        <v>2.904657300571003</v>
      </c>
      <c r="O27" s="572">
        <f t="shared" si="14"/>
        <v>1.3298319412890336</v>
      </c>
      <c r="P27" s="576">
        <f t="shared" si="15"/>
        <v>-0.11880493919077446</v>
      </c>
      <c r="Q27" s="528">
        <f t="shared" si="140"/>
        <v>24.599608612336382</v>
      </c>
      <c r="R27" s="572">
        <f t="shared" si="101"/>
        <v>3.1946027962538608</v>
      </c>
      <c r="S27" s="577">
        <f t="shared" si="102"/>
        <v>-0.11880493919077446</v>
      </c>
      <c r="T27" s="578">
        <f t="shared" si="103"/>
        <v>1.3517395391280866</v>
      </c>
      <c r="U27" s="572">
        <f t="shared" si="104"/>
        <v>-2.8945271192702227</v>
      </c>
      <c r="V27" s="579">
        <f t="shared" si="141"/>
        <v>-0.11880493919077446</v>
      </c>
      <c r="W27" s="528">
        <f t="shared" si="253"/>
        <v>295.03249945820738</v>
      </c>
      <c r="X27" s="572">
        <f t="shared" si="105"/>
        <v>3.1946027962538608</v>
      </c>
      <c r="Y27" s="573">
        <f t="shared" si="255"/>
        <v>-0.11880493919077446</v>
      </c>
      <c r="Z27" s="575">
        <f t="shared" si="18"/>
        <v>0.35729909986825681</v>
      </c>
      <c r="AA27" s="572">
        <f t="shared" si="19"/>
        <v>-0.89554405939127635</v>
      </c>
      <c r="AB27" s="572">
        <f t="shared" si="20"/>
        <v>-0.2652134817884032</v>
      </c>
      <c r="AC27" s="579">
        <f t="shared" si="106"/>
        <v>1</v>
      </c>
      <c r="AD27" s="580">
        <f t="shared" si="142"/>
        <v>0.35729909986825681</v>
      </c>
      <c r="AE27" s="572">
        <f t="shared" si="107"/>
        <v>-0.89554405939127635</v>
      </c>
      <c r="AF27" s="576">
        <f t="shared" si="108"/>
        <v>-0.2652134817884032</v>
      </c>
      <c r="AG27" s="545">
        <f t="shared" si="109"/>
        <v>-73.503455845603284</v>
      </c>
      <c r="AH27" s="546">
        <f t="shared" si="110"/>
        <v>69.065583141916903</v>
      </c>
      <c r="AI27" s="528">
        <f t="shared" si="111"/>
        <v>-74.620361697565556</v>
      </c>
      <c r="AJ27" s="529">
        <f t="shared" si="112"/>
        <v>21.750731231071331</v>
      </c>
      <c r="AK27" s="578">
        <f t="shared" si="238"/>
        <v>0.96299807578582719</v>
      </c>
      <c r="AL27" s="572">
        <f t="shared" si="113"/>
        <v>-4.7921968975268181E-2</v>
      </c>
      <c r="AM27" s="577">
        <f t="shared" si="114"/>
        <v>-0.2652134817884032</v>
      </c>
      <c r="AN27" s="524">
        <f t="shared" si="115"/>
        <v>-10.242376499105918</v>
      </c>
      <c r="AO27" s="525">
        <f t="shared" si="116"/>
        <v>15.635007982189849</v>
      </c>
      <c r="AP27" s="528">
        <f t="shared" si="117"/>
        <v>-2.8488773812650483</v>
      </c>
      <c r="AQ27" s="529">
        <f t="shared" si="21"/>
        <v>0.28544491024199864</v>
      </c>
      <c r="AS27" s="932">
        <f t="shared" si="143"/>
        <v>295.03249945820738</v>
      </c>
      <c r="AT27" s="928">
        <f t="shared" si="22"/>
        <v>-0.1015033274329869</v>
      </c>
      <c r="AU27" s="418"/>
      <c r="AV27" s="164" t="str">
        <f t="shared" si="23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4"/>
        <v/>
      </c>
      <c r="BA27" s="296" t="str">
        <f t="shared" si="24"/>
        <v/>
      </c>
      <c r="BB27" s="190" t="str">
        <f t="shared" si="145"/>
        <v/>
      </c>
      <c r="BC27" s="9"/>
      <c r="BD27" s="5" t="str">
        <f t="shared" si="146"/>
        <v/>
      </c>
      <c r="BE27" s="6" t="str">
        <f t="shared" si="25"/>
        <v/>
      </c>
      <c r="BF27" s="4" t="str">
        <f t="shared" si="26"/>
        <v/>
      </c>
      <c r="BG27" s="5" t="str">
        <f t="shared" si="27"/>
        <v/>
      </c>
      <c r="BH27" s="10" t="str">
        <f t="shared" si="28"/>
        <v/>
      </c>
      <c r="BI27" s="9" t="str">
        <f>IF(ISNUMBER($AV27),BF27+0,"")</f>
        <v/>
      </c>
      <c r="BJ27" s="5" t="str">
        <f t="shared" si="29"/>
        <v/>
      </c>
      <c r="BK27" s="8" t="str">
        <f t="shared" si="30"/>
        <v/>
      </c>
      <c r="BL27" s="173" t="str">
        <f t="shared" si="31"/>
        <v/>
      </c>
      <c r="BM27" s="5" t="str">
        <f t="shared" si="32"/>
        <v/>
      </c>
      <c r="BN27" s="6" t="str">
        <f t="shared" si="33"/>
        <v/>
      </c>
      <c r="BO27" s="4" t="str">
        <f t="shared" si="148"/>
        <v/>
      </c>
      <c r="BP27" s="5" t="str">
        <f t="shared" si="239"/>
        <v/>
      </c>
      <c r="BQ27" s="5" t="str">
        <f t="shared" si="149"/>
        <v/>
      </c>
      <c r="BR27" s="6" t="str">
        <f t="shared" si="150"/>
        <v/>
      </c>
      <c r="BS27" s="4" t="str">
        <f t="shared" si="118"/>
        <v/>
      </c>
      <c r="BT27" s="5" t="str">
        <f t="shared" si="118"/>
        <v/>
      </c>
      <c r="BU27" s="10" t="str">
        <f t="shared" si="119"/>
        <v/>
      </c>
      <c r="BV27" s="9" t="str">
        <f t="shared" si="120"/>
        <v/>
      </c>
      <c r="BW27" s="5" t="str">
        <f t="shared" si="121"/>
        <v/>
      </c>
      <c r="BX27" s="8" t="str">
        <f t="shared" si="122"/>
        <v/>
      </c>
      <c r="BY27" s="173" t="str">
        <f t="shared" si="123"/>
        <v/>
      </c>
      <c r="BZ27" s="5" t="str">
        <f t="shared" si="124"/>
        <v/>
      </c>
      <c r="CA27" s="6" t="str">
        <f t="shared" si="125"/>
        <v/>
      </c>
      <c r="CB27" s="4" t="str">
        <f t="shared" si="151"/>
        <v/>
      </c>
      <c r="CC27" s="5" t="str">
        <f t="shared" si="152"/>
        <v/>
      </c>
      <c r="CD27" s="5" t="str">
        <f t="shared" si="153"/>
        <v/>
      </c>
      <c r="CE27" s="6" t="str">
        <f t="shared" si="154"/>
        <v/>
      </c>
      <c r="CF27" s="4" t="str">
        <f t="shared" si="155"/>
        <v/>
      </c>
      <c r="CG27" s="5" t="str">
        <f t="shared" si="156"/>
        <v/>
      </c>
      <c r="CH27" s="5" t="str">
        <f t="shared" si="157"/>
        <v/>
      </c>
      <c r="CI27" s="4" t="str">
        <f t="shared" si="126"/>
        <v/>
      </c>
      <c r="CJ27" s="5" t="str">
        <f t="shared" si="127"/>
        <v/>
      </c>
      <c r="CK27" s="8" t="str">
        <f t="shared" si="128"/>
        <v/>
      </c>
      <c r="CL27" s="173" t="str">
        <f t="shared" si="129"/>
        <v/>
      </c>
      <c r="CM27" s="5" t="str">
        <f t="shared" si="130"/>
        <v/>
      </c>
      <c r="CN27" s="6" t="str">
        <f t="shared" si="131"/>
        <v/>
      </c>
      <c r="CO27" s="167" t="str">
        <f t="shared" si="35"/>
        <v/>
      </c>
      <c r="CP27" s="4" t="str">
        <f t="shared" si="240"/>
        <v/>
      </c>
      <c r="CQ27" s="5" t="str">
        <f t="shared" si="241"/>
        <v/>
      </c>
      <c r="CR27" s="5" t="str">
        <f t="shared" si="158"/>
        <v/>
      </c>
      <c r="CS27" s="8" t="str">
        <f>IF(ISNUMBER($AV27),CQ27^2-(4*CP27*CR27),"")</f>
        <v/>
      </c>
      <c r="CT27" s="9" t="str">
        <f t="shared" si="160"/>
        <v/>
      </c>
      <c r="CU27" s="6" t="str">
        <f t="shared" si="161"/>
        <v/>
      </c>
      <c r="CV27" s="4" t="str">
        <f t="shared" si="242"/>
        <v/>
      </c>
      <c r="CW27" s="5" t="str">
        <f t="shared" si="162"/>
        <v/>
      </c>
      <c r="CX27" s="8" t="str">
        <f t="shared" si="163"/>
        <v/>
      </c>
      <c r="CY27" s="9" t="str">
        <f t="shared" si="164"/>
        <v/>
      </c>
      <c r="CZ27" s="5" t="str">
        <f t="shared" si="165"/>
        <v/>
      </c>
      <c r="DA27" s="6" t="str">
        <f t="shared" si="166"/>
        <v/>
      </c>
      <c r="DB27" s="4" t="str">
        <f t="shared" si="167"/>
        <v/>
      </c>
      <c r="DC27" s="5" t="str">
        <f t="shared" si="167"/>
        <v/>
      </c>
      <c r="DD27" s="10" t="str">
        <f t="shared" si="168"/>
        <v/>
      </c>
      <c r="DE27" s="9" t="str">
        <f t="shared" si="169"/>
        <v/>
      </c>
      <c r="DF27" s="5" t="str">
        <f t="shared" si="169"/>
        <v/>
      </c>
      <c r="DG27" s="10" t="str">
        <f t="shared" si="170"/>
        <v/>
      </c>
      <c r="DH27" s="70" t="str">
        <f t="shared" si="171"/>
        <v/>
      </c>
      <c r="DI27" s="4" t="str">
        <f t="shared" si="172"/>
        <v/>
      </c>
      <c r="DJ27" s="5" t="str">
        <f t="shared" si="173"/>
        <v/>
      </c>
      <c r="DK27" s="10" t="str">
        <f t="shared" si="174"/>
        <v/>
      </c>
      <c r="DL27" s="9" t="str">
        <f t="shared" si="175"/>
        <v/>
      </c>
      <c r="DM27" s="173" t="str">
        <f t="shared" si="176"/>
        <v/>
      </c>
      <c r="DN27" s="178" t="str">
        <f t="shared" si="177"/>
        <v/>
      </c>
      <c r="DO27" s="9" t="str">
        <f t="shared" si="178"/>
        <v/>
      </c>
      <c r="DP27" s="173" t="str">
        <f t="shared" si="179"/>
        <v/>
      </c>
      <c r="DQ27" s="11" t="str">
        <f t="shared" si="180"/>
        <v/>
      </c>
      <c r="DR27" s="173" t="str">
        <f t="shared" si="181"/>
        <v/>
      </c>
      <c r="DS27" s="5" t="str">
        <f t="shared" si="182"/>
        <v/>
      </c>
      <c r="DT27" s="5" t="str">
        <f t="shared" si="183"/>
        <v/>
      </c>
      <c r="DU27" s="5" t="str">
        <f t="shared" si="184"/>
        <v/>
      </c>
      <c r="DV27" s="5" t="str">
        <f t="shared" si="185"/>
        <v/>
      </c>
      <c r="DW27" s="5" t="str">
        <f t="shared" si="186"/>
        <v/>
      </c>
      <c r="DX27" s="167" t="str">
        <f t="shared" si="187"/>
        <v/>
      </c>
      <c r="DY27" s="9" t="str">
        <f t="shared" si="188"/>
        <v/>
      </c>
      <c r="DZ27" s="5" t="str">
        <f t="shared" si="189"/>
        <v/>
      </c>
      <c r="EA27" s="10" t="str">
        <f t="shared" si="190"/>
        <v/>
      </c>
      <c r="EB27" s="6" t="str">
        <f t="shared" si="191"/>
        <v/>
      </c>
      <c r="EC27" s="173" t="str">
        <f t="shared" si="192"/>
        <v/>
      </c>
      <c r="ED27" s="5" t="str">
        <f t="shared" si="193"/>
        <v/>
      </c>
      <c r="EE27" s="4" t="str">
        <f t="shared" si="194"/>
        <v/>
      </c>
      <c r="EF27" s="5" t="str">
        <f t="shared" si="195"/>
        <v/>
      </c>
      <c r="EG27" s="10" t="str">
        <f t="shared" si="196"/>
        <v/>
      </c>
      <c r="EH27" s="9" t="str">
        <f t="shared" si="197"/>
        <v/>
      </c>
      <c r="EI27" s="5" t="str">
        <f t="shared" si="198"/>
        <v/>
      </c>
      <c r="EJ27" s="6" t="str">
        <f t="shared" si="199"/>
        <v/>
      </c>
      <c r="EK27" s="236" t="str">
        <f t="shared" si="200"/>
        <v/>
      </c>
      <c r="EL27" s="238" t="str">
        <f t="shared" si="201"/>
        <v/>
      </c>
      <c r="EM27" s="4" t="str">
        <f t="shared" si="202"/>
        <v/>
      </c>
      <c r="EN27" s="5" t="str">
        <f t="shared" si="203"/>
        <v/>
      </c>
      <c r="EO27" s="10" t="str">
        <f t="shared" si="204"/>
        <v/>
      </c>
      <c r="EP27" s="9" t="str">
        <f t="shared" si="205"/>
        <v/>
      </c>
      <c r="EQ27" s="5" t="str">
        <f t="shared" si="206"/>
        <v/>
      </c>
      <c r="ER27" s="7" t="str">
        <f t="shared" si="207"/>
        <v/>
      </c>
      <c r="ES27" s="21" t="str">
        <f t="shared" si="132"/>
        <v/>
      </c>
      <c r="ET27" s="5" t="str">
        <f t="shared" si="44"/>
        <v/>
      </c>
      <c r="EU27" s="10" t="str">
        <f t="shared" si="45"/>
        <v/>
      </c>
      <c r="EV27" s="174" t="str">
        <f t="shared" si="254"/>
        <v/>
      </c>
      <c r="EW27" s="9" t="str">
        <f t="shared" si="133"/>
        <v/>
      </c>
      <c r="EX27" s="5" t="str">
        <f t="shared" si="47"/>
        <v/>
      </c>
      <c r="EY27" s="6" t="str">
        <f t="shared" si="208"/>
        <v/>
      </c>
      <c r="EZ27" s="51" t="str">
        <f t="shared" si="209"/>
        <v/>
      </c>
      <c r="FA27" s="266" t="str">
        <f t="shared" si="134"/>
        <v/>
      </c>
      <c r="FB27" s="267" t="str">
        <f t="shared" si="135"/>
        <v/>
      </c>
      <c r="FC27" s="269" t="str">
        <f t="shared" si="48"/>
        <v/>
      </c>
      <c r="FD27" s="4" t="str">
        <f t="shared" si="136"/>
        <v/>
      </c>
      <c r="FE27" s="5" t="str">
        <f t="shared" si="49"/>
        <v/>
      </c>
      <c r="FF27" s="7" t="str">
        <f t="shared" si="210"/>
        <v/>
      </c>
      <c r="FG27" s="173" t="str">
        <f t="shared" si="211"/>
        <v/>
      </c>
      <c r="FH27" s="5" t="str">
        <f t="shared" si="50"/>
        <v/>
      </c>
      <c r="FI27" s="10" t="str">
        <f t="shared" si="51"/>
        <v/>
      </c>
      <c r="FJ27" s="279" t="str">
        <f t="shared" si="212"/>
        <v/>
      </c>
      <c r="FK27" s="4" t="str">
        <f t="shared" si="52"/>
        <v/>
      </c>
      <c r="FL27" s="5" t="str">
        <f t="shared" si="213"/>
        <v/>
      </c>
      <c r="FM27" s="8" t="str">
        <f t="shared" si="214"/>
        <v/>
      </c>
      <c r="FN27" s="9" t="str">
        <f t="shared" si="215"/>
        <v/>
      </c>
      <c r="FO27" s="10" t="str">
        <f t="shared" si="53"/>
        <v/>
      </c>
      <c r="FP27" s="277" t="str">
        <f t="shared" si="54"/>
        <v/>
      </c>
      <c r="FQ27" s="173" t="str">
        <f t="shared" si="243"/>
        <v/>
      </c>
      <c r="FR27" s="10" t="str">
        <f t="shared" si="216"/>
        <v/>
      </c>
      <c r="FS27" s="9" t="str">
        <f t="shared" si="217"/>
        <v/>
      </c>
      <c r="FT27" s="6" t="str">
        <f t="shared" si="218"/>
        <v/>
      </c>
      <c r="FU27" s="4" t="str">
        <f t="shared" si="219"/>
        <v/>
      </c>
      <c r="FV27" s="5" t="str">
        <f t="shared" si="220"/>
        <v/>
      </c>
      <c r="FW27" s="8" t="str">
        <f t="shared" si="244"/>
        <v/>
      </c>
      <c r="FX27" s="9" t="str">
        <f t="shared" si="245"/>
        <v/>
      </c>
      <c r="FY27" s="10" t="str">
        <f t="shared" si="55"/>
        <v/>
      </c>
      <c r="FZ27" s="277" t="str">
        <f t="shared" si="246"/>
        <v/>
      </c>
      <c r="GA27" s="177" t="str">
        <f t="shared" si="221"/>
        <v/>
      </c>
      <c r="GB27" s="4" t="str">
        <f t="shared" si="222"/>
        <v/>
      </c>
      <c r="GC27" s="5" t="str">
        <f t="shared" si="223"/>
        <v/>
      </c>
      <c r="GD27" s="10" t="str">
        <f t="shared" si="224"/>
        <v/>
      </c>
      <c r="GE27" s="311" t="str">
        <f t="shared" si="225"/>
        <v/>
      </c>
      <c r="GF27" s="341" t="str">
        <f t="shared" si="247"/>
        <v/>
      </c>
      <c r="GG27" s="285" t="str">
        <f t="shared" si="56"/>
        <v/>
      </c>
      <c r="GH27" s="286" t="str">
        <f t="shared" si="57"/>
        <v/>
      </c>
      <c r="GI27" s="281" t="str">
        <f t="shared" si="58"/>
        <v/>
      </c>
      <c r="GJ27" s="167" t="str">
        <f t="shared" si="226"/>
        <v/>
      </c>
      <c r="GK27" s="174" t="str">
        <f t="shared" si="59"/>
        <v/>
      </c>
      <c r="GL27" s="174" t="str">
        <f t="shared" si="227"/>
        <v/>
      </c>
      <c r="GM27" s="177" t="str">
        <f t="shared" si="248"/>
        <v/>
      </c>
      <c r="GN27" s="280" t="str">
        <f t="shared" si="228"/>
        <v/>
      </c>
      <c r="GO27" s="4" t="str">
        <f t="shared" si="229"/>
        <v/>
      </c>
      <c r="GP27" s="8" t="str">
        <f t="shared" si="249"/>
        <v/>
      </c>
      <c r="GQ27" s="177" t="str">
        <f t="shared" si="230"/>
        <v/>
      </c>
      <c r="GR27" s="371" t="str">
        <f t="shared" si="250"/>
        <v/>
      </c>
      <c r="GS27" s="342" t="str">
        <f t="shared" si="61"/>
        <v/>
      </c>
      <c r="GT27" s="343" t="str">
        <f t="shared" si="62"/>
        <v/>
      </c>
      <c r="GU27" s="344" t="str">
        <f t="shared" si="63"/>
        <v/>
      </c>
      <c r="GV27" s="343" t="str">
        <f t="shared" si="252"/>
        <v/>
      </c>
      <c r="GW27" s="345" t="str">
        <f t="shared" si="64"/>
        <v/>
      </c>
      <c r="GX27" s="346" t="str">
        <f t="shared" si="65"/>
        <v/>
      </c>
      <c r="GY27" s="344" t="str">
        <f t="shared" si="66"/>
        <v/>
      </c>
      <c r="GZ27" s="345" t="str">
        <f t="shared" si="67"/>
        <v/>
      </c>
      <c r="HA27" s="342" t="str">
        <f t="shared" si="68"/>
        <v/>
      </c>
      <c r="HB27" s="5" t="str">
        <f t="shared" si="231"/>
        <v/>
      </c>
      <c r="HC27" s="343" t="str">
        <f t="shared" si="232"/>
        <v/>
      </c>
      <c r="HD27" s="363" t="str">
        <f t="shared" si="233"/>
        <v/>
      </c>
      <c r="HE27" s="344" t="str">
        <f t="shared" si="69"/>
        <v/>
      </c>
      <c r="HF27" s="5" t="str">
        <f t="shared" si="70"/>
        <v/>
      </c>
      <c r="HG27" s="343" t="str">
        <f t="shared" si="234"/>
        <v/>
      </c>
      <c r="HH27" s="349" t="str">
        <f t="shared" si="235"/>
        <v/>
      </c>
      <c r="HI27" s="317" t="str">
        <f t="shared" si="71"/>
        <v/>
      </c>
      <c r="HJ27" s="336"/>
      <c r="HK27" s="310" t="str">
        <f t="shared" si="137"/>
        <v/>
      </c>
      <c r="HL27" s="348" t="str">
        <f t="shared" si="72"/>
        <v/>
      </c>
      <c r="HM27" s="909" t="str">
        <f t="shared" si="138"/>
        <v/>
      </c>
      <c r="HN27" s="910" t="str">
        <f t="shared" si="73"/>
        <v/>
      </c>
      <c r="HO27" s="911"/>
      <c r="HP27" s="912"/>
      <c r="HQ27" s="910" t="str">
        <f t="shared" si="74"/>
        <v/>
      </c>
      <c r="HR27" s="913" t="str">
        <f t="shared" si="75"/>
        <v/>
      </c>
      <c r="HS27" s="865" t="str">
        <f t="shared" si="251"/>
        <v/>
      </c>
      <c r="HT27" s="875" t="str">
        <f t="shared" si="76"/>
        <v/>
      </c>
      <c r="HU27" s="876" t="str">
        <f t="shared" si="77"/>
        <v/>
      </c>
      <c r="HV27" s="872" t="str">
        <f t="shared" si="78"/>
        <v/>
      </c>
      <c r="HW27" s="866" t="str">
        <f t="shared" si="79"/>
        <v/>
      </c>
      <c r="HX27" s="867" t="str">
        <f t="shared" si="80"/>
        <v/>
      </c>
      <c r="HY27" s="866" t="str">
        <f t="shared" si="81"/>
        <v/>
      </c>
      <c r="HZ27" s="868" t="str">
        <f t="shared" si="82"/>
        <v/>
      </c>
      <c r="IA27" s="869" t="str">
        <f t="shared" si="83"/>
        <v/>
      </c>
      <c r="IB27" s="870" t="str">
        <f t="shared" si="84"/>
        <v/>
      </c>
      <c r="IC27" s="841" t="str">
        <f t="shared" si="85"/>
        <v/>
      </c>
      <c r="ID27" s="351" t="str">
        <f t="shared" si="86"/>
        <v/>
      </c>
      <c r="IE27" s="843" t="str">
        <f t="shared" si="87"/>
        <v/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2.1160000000000001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1613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si="2"/>
        <v>3.5808872582229538</v>
      </c>
      <c r="C28" s="572">
        <f t="shared" si="3"/>
        <v>1.6027185324881945</v>
      </c>
      <c r="D28" s="576">
        <f t="shared" si="4"/>
        <v>-0.3574623281411074</v>
      </c>
      <c r="E28" s="580">
        <f t="shared" si="5"/>
        <v>-0.25272732194607628</v>
      </c>
      <c r="F28" s="572">
        <f t="shared" si="6"/>
        <v>0.92967683750431518</v>
      </c>
      <c r="G28" s="579">
        <f t="shared" si="7"/>
        <v>0.26801096721951434</v>
      </c>
      <c r="H28" s="580">
        <f t="shared" si="8"/>
        <v>0.3125</v>
      </c>
      <c r="I28" s="572">
        <f t="shared" si="9"/>
        <v>0.52</v>
      </c>
      <c r="J28" s="483">
        <f t="shared" si="10"/>
        <v>2.1219999999999999</v>
      </c>
      <c r="K28" s="806">
        <f t="shared" si="11"/>
        <v>1613</v>
      </c>
      <c r="L28" s="82"/>
      <c r="M28" s="164">
        <f t="shared" si="12"/>
        <v>2.1219999999999999</v>
      </c>
      <c r="N28" s="575">
        <f t="shared" si="13"/>
        <v>3.5808872582229538</v>
      </c>
      <c r="O28" s="572">
        <f t="shared" si="14"/>
        <v>1.6027185324881945</v>
      </c>
      <c r="P28" s="576">
        <f t="shared" si="15"/>
        <v>-0.3574623281411074</v>
      </c>
      <c r="Q28" s="528">
        <f t="shared" si="140"/>
        <v>24.112134917322567</v>
      </c>
      <c r="R28" s="572">
        <f t="shared" si="101"/>
        <v>3.923195158347927</v>
      </c>
      <c r="S28" s="577">
        <f t="shared" si="102"/>
        <v>-0.3574623281411074</v>
      </c>
      <c r="T28" s="578">
        <f t="shared" si="103"/>
        <v>1.6297274609936201</v>
      </c>
      <c r="U28" s="572">
        <f t="shared" si="104"/>
        <v>-3.5686760364829846</v>
      </c>
      <c r="V28" s="579">
        <f t="shared" si="141"/>
        <v>-0.3574623281411074</v>
      </c>
      <c r="W28" s="528">
        <f t="shared" si="253"/>
        <v>294.54502576319356</v>
      </c>
      <c r="X28" s="572">
        <f t="shared" si="105"/>
        <v>3.923195158347927</v>
      </c>
      <c r="Y28" s="573">
        <f t="shared" si="255"/>
        <v>-0.3574623281411074</v>
      </c>
      <c r="Z28" s="575">
        <f t="shared" si="18"/>
        <v>0.25272732194607628</v>
      </c>
      <c r="AA28" s="572">
        <f t="shared" si="19"/>
        <v>-0.92967683750431518</v>
      </c>
      <c r="AB28" s="572">
        <f t="shared" si="20"/>
        <v>-0.26801096721951434</v>
      </c>
      <c r="AC28" s="579">
        <f t="shared" si="106"/>
        <v>1</v>
      </c>
      <c r="AD28" s="580">
        <f t="shared" si="142"/>
        <v>0.25272732194607628</v>
      </c>
      <c r="AE28" s="572">
        <f t="shared" si="107"/>
        <v>-0.92967683750431518</v>
      </c>
      <c r="AF28" s="576">
        <f t="shared" si="108"/>
        <v>-0.26801096721951434</v>
      </c>
      <c r="AG28" s="545">
        <f t="shared" si="109"/>
        <v>-73.918574333514186</v>
      </c>
      <c r="AH28" s="546">
        <f t="shared" si="110"/>
        <v>75.361040066363785</v>
      </c>
      <c r="AI28" s="528">
        <f t="shared" si="111"/>
        <v>-74.454057970498724</v>
      </c>
      <c r="AJ28" s="529">
        <f t="shared" si="112"/>
        <v>15.208018413848228</v>
      </c>
      <c r="AK28" s="578">
        <f t="shared" si="238"/>
        <v>0.951805493613464</v>
      </c>
      <c r="AL28" s="572">
        <f t="shared" si="113"/>
        <v>-0.14911882435591647</v>
      </c>
      <c r="AM28" s="577">
        <f t="shared" si="114"/>
        <v>-0.26801096721951434</v>
      </c>
      <c r="AN28" s="524">
        <f t="shared" si="115"/>
        <v>-29.091158349317926</v>
      </c>
      <c r="AO28" s="525">
        <f t="shared" si="116"/>
        <v>17.860607850540081</v>
      </c>
      <c r="AP28" s="528">
        <f t="shared" si="117"/>
        <v>-8.9041165034743361</v>
      </c>
      <c r="AQ28" s="529">
        <f t="shared" si="21"/>
        <v>0.23243443509288803</v>
      </c>
      <c r="AS28" s="932">
        <f t="shared" si="143"/>
        <v>294.54502576319356</v>
      </c>
      <c r="AT28" s="928">
        <f t="shared" si="22"/>
        <v>-0.34002530702359379</v>
      </c>
      <c r="AU28" s="418"/>
      <c r="AV28" s="164" t="str">
        <f t="shared" si="23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4"/>
        <v/>
      </c>
      <c r="BA28" s="296" t="str">
        <f t="shared" si="24"/>
        <v/>
      </c>
      <c r="BB28" s="190" t="str">
        <f t="shared" si="145"/>
        <v/>
      </c>
      <c r="BC28" s="9"/>
      <c r="BD28" s="5" t="str">
        <f t="shared" si="146"/>
        <v/>
      </c>
      <c r="BE28" s="6" t="str">
        <f t="shared" si="25"/>
        <v/>
      </c>
      <c r="BF28" s="4" t="str">
        <f t="shared" si="26"/>
        <v/>
      </c>
      <c r="BG28" s="5" t="str">
        <f t="shared" si="27"/>
        <v/>
      </c>
      <c r="BH28" s="10" t="str">
        <f t="shared" si="28"/>
        <v/>
      </c>
      <c r="BI28" s="9" t="str">
        <f t="shared" si="147"/>
        <v/>
      </c>
      <c r="BJ28" s="5" t="str">
        <f t="shared" si="29"/>
        <v/>
      </c>
      <c r="BK28" s="8" t="str">
        <f t="shared" si="30"/>
        <v/>
      </c>
      <c r="BL28" s="173" t="str">
        <f t="shared" si="31"/>
        <v/>
      </c>
      <c r="BM28" s="5" t="str">
        <f t="shared" si="32"/>
        <v/>
      </c>
      <c r="BN28" s="6" t="str">
        <f t="shared" si="33"/>
        <v/>
      </c>
      <c r="BO28" s="4" t="str">
        <f t="shared" si="148"/>
        <v/>
      </c>
      <c r="BP28" s="5" t="str">
        <f t="shared" si="239"/>
        <v/>
      </c>
      <c r="BQ28" s="5" t="str">
        <f t="shared" si="149"/>
        <v/>
      </c>
      <c r="BR28" s="6" t="str">
        <f t="shared" si="150"/>
        <v/>
      </c>
      <c r="BS28" s="4" t="str">
        <f t="shared" si="118"/>
        <v/>
      </c>
      <c r="BT28" s="5" t="str">
        <f t="shared" si="118"/>
        <v/>
      </c>
      <c r="BU28" s="10" t="str">
        <f t="shared" si="119"/>
        <v/>
      </c>
      <c r="BV28" s="9" t="str">
        <f t="shared" si="120"/>
        <v/>
      </c>
      <c r="BW28" s="5" t="str">
        <f t="shared" si="121"/>
        <v/>
      </c>
      <c r="BX28" s="8" t="str">
        <f t="shared" si="122"/>
        <v/>
      </c>
      <c r="BY28" s="173" t="str">
        <f t="shared" si="123"/>
        <v/>
      </c>
      <c r="BZ28" s="5" t="str">
        <f t="shared" si="124"/>
        <v/>
      </c>
      <c r="CA28" s="6" t="str">
        <f t="shared" si="125"/>
        <v/>
      </c>
      <c r="CB28" s="4" t="str">
        <f t="shared" si="151"/>
        <v/>
      </c>
      <c r="CC28" s="5" t="str">
        <f t="shared" si="152"/>
        <v/>
      </c>
      <c r="CD28" s="5" t="str">
        <f t="shared" si="153"/>
        <v/>
      </c>
      <c r="CE28" s="6" t="str">
        <f t="shared" si="154"/>
        <v/>
      </c>
      <c r="CF28" s="4" t="str">
        <f t="shared" si="155"/>
        <v/>
      </c>
      <c r="CG28" s="5" t="str">
        <f t="shared" si="156"/>
        <v/>
      </c>
      <c r="CH28" s="5" t="str">
        <f t="shared" si="157"/>
        <v/>
      </c>
      <c r="CI28" s="4" t="str">
        <f t="shared" si="126"/>
        <v/>
      </c>
      <c r="CJ28" s="5" t="str">
        <f t="shared" si="127"/>
        <v/>
      </c>
      <c r="CK28" s="8" t="str">
        <f t="shared" si="128"/>
        <v/>
      </c>
      <c r="CL28" s="173" t="str">
        <f t="shared" si="129"/>
        <v/>
      </c>
      <c r="CM28" s="5" t="str">
        <f t="shared" si="130"/>
        <v/>
      </c>
      <c r="CN28" s="6" t="str">
        <f t="shared" si="131"/>
        <v/>
      </c>
      <c r="CO28" s="167" t="str">
        <f t="shared" si="35"/>
        <v/>
      </c>
      <c r="CP28" s="4" t="str">
        <f t="shared" si="240"/>
        <v/>
      </c>
      <c r="CQ28" s="5" t="str">
        <f t="shared" si="241"/>
        <v/>
      </c>
      <c r="CR28" s="5" t="str">
        <f t="shared" si="158"/>
        <v/>
      </c>
      <c r="CS28" s="8" t="str">
        <f t="shared" si="159"/>
        <v/>
      </c>
      <c r="CT28" s="9" t="str">
        <f t="shared" si="160"/>
        <v/>
      </c>
      <c r="CU28" s="6" t="str">
        <f t="shared" si="161"/>
        <v/>
      </c>
      <c r="CV28" s="4" t="str">
        <f t="shared" si="242"/>
        <v/>
      </c>
      <c r="CW28" s="5" t="str">
        <f t="shared" si="162"/>
        <v/>
      </c>
      <c r="CX28" s="8" t="str">
        <f t="shared" si="163"/>
        <v/>
      </c>
      <c r="CY28" s="9" t="str">
        <f t="shared" si="164"/>
        <v/>
      </c>
      <c r="CZ28" s="5" t="str">
        <f t="shared" si="165"/>
        <v/>
      </c>
      <c r="DA28" s="6" t="str">
        <f t="shared" si="166"/>
        <v/>
      </c>
      <c r="DB28" s="4" t="str">
        <f t="shared" si="167"/>
        <v/>
      </c>
      <c r="DC28" s="5" t="str">
        <f t="shared" si="167"/>
        <v/>
      </c>
      <c r="DD28" s="10" t="str">
        <f t="shared" si="168"/>
        <v/>
      </c>
      <c r="DE28" s="9" t="str">
        <f t="shared" si="169"/>
        <v/>
      </c>
      <c r="DF28" s="5" t="str">
        <f t="shared" si="169"/>
        <v/>
      </c>
      <c r="DG28" s="10" t="str">
        <f t="shared" si="170"/>
        <v/>
      </c>
      <c r="DH28" s="70" t="str">
        <f t="shared" si="171"/>
        <v/>
      </c>
      <c r="DI28" s="4" t="str">
        <f t="shared" si="172"/>
        <v/>
      </c>
      <c r="DJ28" s="5" t="str">
        <f t="shared" si="173"/>
        <v/>
      </c>
      <c r="DK28" s="10" t="str">
        <f t="shared" si="174"/>
        <v/>
      </c>
      <c r="DL28" s="9" t="str">
        <f t="shared" si="175"/>
        <v/>
      </c>
      <c r="DM28" s="173" t="str">
        <f t="shared" si="176"/>
        <v/>
      </c>
      <c r="DN28" s="178" t="str">
        <f t="shared" si="177"/>
        <v/>
      </c>
      <c r="DO28" s="9" t="str">
        <f t="shared" si="178"/>
        <v/>
      </c>
      <c r="DP28" s="173" t="str">
        <f t="shared" si="179"/>
        <v/>
      </c>
      <c r="DQ28" s="11" t="str">
        <f t="shared" si="180"/>
        <v/>
      </c>
      <c r="DR28" s="173" t="str">
        <f t="shared" si="181"/>
        <v/>
      </c>
      <c r="DS28" s="5" t="str">
        <f t="shared" si="182"/>
        <v/>
      </c>
      <c r="DT28" s="5" t="str">
        <f t="shared" si="183"/>
        <v/>
      </c>
      <c r="DU28" s="5" t="str">
        <f t="shared" si="184"/>
        <v/>
      </c>
      <c r="DV28" s="5" t="str">
        <f t="shared" si="185"/>
        <v/>
      </c>
      <c r="DW28" s="5" t="str">
        <f t="shared" si="186"/>
        <v/>
      </c>
      <c r="DX28" s="167" t="str">
        <f t="shared" si="187"/>
        <v/>
      </c>
      <c r="DY28" s="9" t="str">
        <f t="shared" si="188"/>
        <v/>
      </c>
      <c r="DZ28" s="5" t="str">
        <f t="shared" si="189"/>
        <v/>
      </c>
      <c r="EA28" s="10" t="str">
        <f t="shared" si="190"/>
        <v/>
      </c>
      <c r="EB28" s="6" t="str">
        <f t="shared" si="191"/>
        <v/>
      </c>
      <c r="EC28" s="173" t="str">
        <f t="shared" si="192"/>
        <v/>
      </c>
      <c r="ED28" s="5" t="str">
        <f t="shared" si="193"/>
        <v/>
      </c>
      <c r="EE28" s="4" t="str">
        <f t="shared" si="194"/>
        <v/>
      </c>
      <c r="EF28" s="5" t="str">
        <f t="shared" si="195"/>
        <v/>
      </c>
      <c r="EG28" s="10" t="str">
        <f t="shared" si="196"/>
        <v/>
      </c>
      <c r="EH28" s="9" t="str">
        <f t="shared" si="197"/>
        <v/>
      </c>
      <c r="EI28" s="5" t="str">
        <f t="shared" si="198"/>
        <v/>
      </c>
      <c r="EJ28" s="6" t="str">
        <f t="shared" si="199"/>
        <v/>
      </c>
      <c r="EK28" s="236" t="str">
        <f t="shared" si="200"/>
        <v/>
      </c>
      <c r="EL28" s="238" t="str">
        <f t="shared" si="201"/>
        <v/>
      </c>
      <c r="EM28" s="4" t="str">
        <f t="shared" si="202"/>
        <v/>
      </c>
      <c r="EN28" s="5" t="str">
        <f t="shared" si="203"/>
        <v/>
      </c>
      <c r="EO28" s="10" t="str">
        <f t="shared" si="204"/>
        <v/>
      </c>
      <c r="EP28" s="9" t="str">
        <f t="shared" si="205"/>
        <v/>
      </c>
      <c r="EQ28" s="5" t="str">
        <f t="shared" si="206"/>
        <v/>
      </c>
      <c r="ER28" s="7" t="str">
        <f t="shared" si="207"/>
        <v/>
      </c>
      <c r="ES28" s="21" t="str">
        <f t="shared" si="132"/>
        <v/>
      </c>
      <c r="ET28" s="5" t="str">
        <f t="shared" si="44"/>
        <v/>
      </c>
      <c r="EU28" s="10" t="str">
        <f t="shared" si="45"/>
        <v/>
      </c>
      <c r="EV28" s="174" t="str">
        <f t="shared" si="254"/>
        <v/>
      </c>
      <c r="EW28" s="9" t="str">
        <f t="shared" si="133"/>
        <v/>
      </c>
      <c r="EX28" s="5" t="str">
        <f t="shared" si="47"/>
        <v/>
      </c>
      <c r="EY28" s="6" t="str">
        <f t="shared" si="208"/>
        <v/>
      </c>
      <c r="EZ28" s="51" t="str">
        <f t="shared" si="209"/>
        <v/>
      </c>
      <c r="FA28" s="266" t="str">
        <f t="shared" si="134"/>
        <v/>
      </c>
      <c r="FB28" s="267" t="str">
        <f t="shared" si="135"/>
        <v/>
      </c>
      <c r="FC28" s="269" t="str">
        <f t="shared" si="48"/>
        <v/>
      </c>
      <c r="FD28" s="4" t="str">
        <f t="shared" si="136"/>
        <v/>
      </c>
      <c r="FE28" s="5" t="str">
        <f t="shared" si="49"/>
        <v/>
      </c>
      <c r="FF28" s="7" t="str">
        <f t="shared" si="210"/>
        <v/>
      </c>
      <c r="FG28" s="173" t="str">
        <f t="shared" si="211"/>
        <v/>
      </c>
      <c r="FH28" s="5" t="str">
        <f t="shared" si="50"/>
        <v/>
      </c>
      <c r="FI28" s="10" t="str">
        <f t="shared" si="51"/>
        <v/>
      </c>
      <c r="FJ28" s="279" t="str">
        <f t="shared" si="212"/>
        <v/>
      </c>
      <c r="FK28" s="4" t="str">
        <f t="shared" si="52"/>
        <v/>
      </c>
      <c r="FL28" s="5" t="str">
        <f t="shared" si="213"/>
        <v/>
      </c>
      <c r="FM28" s="8" t="str">
        <f t="shared" si="214"/>
        <v/>
      </c>
      <c r="FN28" s="9" t="str">
        <f t="shared" si="215"/>
        <v/>
      </c>
      <c r="FO28" s="10" t="str">
        <f t="shared" si="53"/>
        <v/>
      </c>
      <c r="FP28" s="277" t="str">
        <f t="shared" si="54"/>
        <v/>
      </c>
      <c r="FQ28" s="173" t="str">
        <f t="shared" si="243"/>
        <v/>
      </c>
      <c r="FR28" s="10" t="str">
        <f t="shared" si="216"/>
        <v/>
      </c>
      <c r="FS28" s="9" t="str">
        <f t="shared" si="217"/>
        <v/>
      </c>
      <c r="FT28" s="6" t="str">
        <f t="shared" si="218"/>
        <v/>
      </c>
      <c r="FU28" s="4" t="str">
        <f t="shared" si="219"/>
        <v/>
      </c>
      <c r="FV28" s="5" t="str">
        <f t="shared" si="220"/>
        <v/>
      </c>
      <c r="FW28" s="8" t="str">
        <f t="shared" si="244"/>
        <v/>
      </c>
      <c r="FX28" s="9" t="str">
        <f t="shared" si="245"/>
        <v/>
      </c>
      <c r="FY28" s="10" t="str">
        <f t="shared" si="55"/>
        <v/>
      </c>
      <c r="FZ28" s="277" t="str">
        <f t="shared" si="246"/>
        <v/>
      </c>
      <c r="GA28" s="177" t="str">
        <f t="shared" si="221"/>
        <v/>
      </c>
      <c r="GB28" s="4" t="str">
        <f t="shared" si="222"/>
        <v/>
      </c>
      <c r="GC28" s="5" t="str">
        <f t="shared" si="223"/>
        <v/>
      </c>
      <c r="GD28" s="10" t="str">
        <f t="shared" si="224"/>
        <v/>
      </c>
      <c r="GE28" s="311" t="str">
        <f t="shared" si="225"/>
        <v/>
      </c>
      <c r="GF28" s="341" t="str">
        <f t="shared" si="247"/>
        <v/>
      </c>
      <c r="GG28" s="285" t="str">
        <f t="shared" si="56"/>
        <v/>
      </c>
      <c r="GH28" s="286" t="str">
        <f t="shared" si="57"/>
        <v/>
      </c>
      <c r="GI28" s="281" t="str">
        <f t="shared" si="58"/>
        <v/>
      </c>
      <c r="GJ28" s="167" t="str">
        <f t="shared" si="226"/>
        <v/>
      </c>
      <c r="GK28" s="174" t="str">
        <f t="shared" si="59"/>
        <v/>
      </c>
      <c r="GL28" s="174" t="str">
        <f t="shared" si="227"/>
        <v/>
      </c>
      <c r="GM28" s="177" t="str">
        <f t="shared" si="248"/>
        <v/>
      </c>
      <c r="GN28" s="280" t="str">
        <f t="shared" si="228"/>
        <v/>
      </c>
      <c r="GO28" s="4" t="str">
        <f t="shared" si="229"/>
        <v/>
      </c>
      <c r="GP28" s="8" t="str">
        <f t="shared" si="249"/>
        <v/>
      </c>
      <c r="GQ28" s="177" t="str">
        <f t="shared" si="230"/>
        <v/>
      </c>
      <c r="GR28" s="371" t="str">
        <f t="shared" si="250"/>
        <v/>
      </c>
      <c r="GS28" s="342" t="str">
        <f t="shared" si="61"/>
        <v/>
      </c>
      <c r="GT28" s="343" t="str">
        <f t="shared" si="62"/>
        <v/>
      </c>
      <c r="GU28" s="344" t="str">
        <f t="shared" si="63"/>
        <v/>
      </c>
      <c r="GV28" s="343" t="str">
        <f t="shared" si="252"/>
        <v/>
      </c>
      <c r="GW28" s="345" t="str">
        <f t="shared" si="64"/>
        <v/>
      </c>
      <c r="GX28" s="346" t="str">
        <f t="shared" si="65"/>
        <v/>
      </c>
      <c r="GY28" s="344" t="str">
        <f t="shared" si="66"/>
        <v/>
      </c>
      <c r="GZ28" s="345" t="str">
        <f t="shared" si="67"/>
        <v/>
      </c>
      <c r="HA28" s="342" t="str">
        <f t="shared" si="68"/>
        <v/>
      </c>
      <c r="HB28" s="5" t="str">
        <f t="shared" si="231"/>
        <v/>
      </c>
      <c r="HC28" s="343" t="str">
        <f t="shared" si="232"/>
        <v/>
      </c>
      <c r="HD28" s="363" t="str">
        <f t="shared" si="233"/>
        <v/>
      </c>
      <c r="HE28" s="344" t="str">
        <f t="shared" si="69"/>
        <v/>
      </c>
      <c r="HF28" s="5" t="str">
        <f t="shared" si="70"/>
        <v/>
      </c>
      <c r="HG28" s="343" t="str">
        <f t="shared" si="234"/>
        <v/>
      </c>
      <c r="HH28" s="349" t="str">
        <f t="shared" si="235"/>
        <v/>
      </c>
      <c r="HI28" s="317" t="str">
        <f t="shared" si="71"/>
        <v/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2.1219999999999999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1613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si="2"/>
        <v>4.1467013773939261</v>
      </c>
      <c r="C29" s="572">
        <f t="shared" si="3"/>
        <v>1.7953650098070881</v>
      </c>
      <c r="D29" s="576">
        <f t="shared" si="4"/>
        <v>-0.83989448125825528</v>
      </c>
      <c r="E29" s="580">
        <f t="shared" si="5"/>
        <v>-0.11607374711675919</v>
      </c>
      <c r="F29" s="572">
        <f t="shared" si="6"/>
        <v>0.96140007413286788</v>
      </c>
      <c r="G29" s="579">
        <f t="shared" si="7"/>
        <v>0.24947300993813104</v>
      </c>
      <c r="H29" s="580">
        <f t="shared" si="8"/>
        <v>0.3125</v>
      </c>
      <c r="I29" s="572">
        <f t="shared" si="9"/>
        <v>0.52</v>
      </c>
      <c r="J29" s="483">
        <f t="shared" si="10"/>
        <v>2.1280000000000001</v>
      </c>
      <c r="K29" s="806">
        <f t="shared" si="11"/>
        <v>1613</v>
      </c>
      <c r="L29" s="82"/>
      <c r="M29" s="164">
        <f t="shared" si="12"/>
        <v>2.1280000000000001</v>
      </c>
      <c r="N29" s="575">
        <f t="shared" si="13"/>
        <v>4.1467013773939261</v>
      </c>
      <c r="O29" s="572">
        <f t="shared" si="14"/>
        <v>1.7953650098070881</v>
      </c>
      <c r="P29" s="576">
        <f t="shared" si="15"/>
        <v>-0.83989448125825528</v>
      </c>
      <c r="Q29" s="528">
        <f t="shared" si="140"/>
        <v>23.410788414907923</v>
      </c>
      <c r="R29" s="572">
        <f>IF(M29="","",SQRT(N29^2+O29^2))</f>
        <v>4.5186798771013077</v>
      </c>
      <c r="S29" s="577">
        <f>IF(M29="","",P29)</f>
        <v>-0.83989448125825528</v>
      </c>
      <c r="T29" s="578">
        <f>IF(M29="","",X29*COS(RADIANS(W29)))</f>
        <v>1.8266433345274051</v>
      </c>
      <c r="U29" s="572">
        <f>IF(M29="","",X29*SIN(RADIANS(W29)))</f>
        <v>-4.1330185046944674</v>
      </c>
      <c r="V29" s="579">
        <f>IF(M29="","",Y29)</f>
        <v>-0.83989448125825528</v>
      </c>
      <c r="W29" s="528">
        <f t="shared" si="253"/>
        <v>293.84367926077891</v>
      </c>
      <c r="X29" s="572">
        <f>IF(M29="","",R29)</f>
        <v>4.5186798771013077</v>
      </c>
      <c r="Y29" s="573">
        <f t="shared" si="255"/>
        <v>-0.83989448125825528</v>
      </c>
      <c r="Z29" s="575">
        <f t="shared" si="18"/>
        <v>0.11607374711675919</v>
      </c>
      <c r="AA29" s="572">
        <f t="shared" si="19"/>
        <v>-0.96140007413286788</v>
      </c>
      <c r="AB29" s="572">
        <f t="shared" si="20"/>
        <v>-0.24947300993813104</v>
      </c>
      <c r="AC29" s="579">
        <f>IF(M29="","",SQRT(Z29^2+AA29^2+AB29^2))</f>
        <v>1</v>
      </c>
      <c r="AD29" s="580">
        <f>IF(M29="","",Z29*(1/SQRT(Z29^2+AA29^2+AB29^2)))</f>
        <v>0.11607374711675919</v>
      </c>
      <c r="AE29" s="572">
        <f>IF(M29="","",AA29*(1/SQRT(Z29^2+AA29^2+AB29^2)))</f>
        <v>-0.96140007413286788</v>
      </c>
      <c r="AF29" s="576">
        <f>IF(M29="","",AB29*(1/SQRT(Z29^2+AA29^2+AB29^2)))</f>
        <v>-0.24947300993813104</v>
      </c>
      <c r="AG29" s="545">
        <f>IF(M29="","",DEGREES(ATAN2(-AF29,AE29)))</f>
        <v>-75.453196618146492</v>
      </c>
      <c r="AH29" s="546">
        <f>IF(M29="","",DEGREES(ACOS(AD29)))</f>
        <v>83.334438996887584</v>
      </c>
      <c r="AI29" s="528">
        <f>IF(M29="","",DEGREES(-ACOS(-AF29)))</f>
        <v>-75.553670170271147</v>
      </c>
      <c r="AJ29" s="529">
        <f>IF(M29="","",DEGREES(ATAN2(-AE29,AD29)))</f>
        <v>6.8842320564283739</v>
      </c>
      <c r="AK29" s="578">
        <f>IF(M29="","",(COS(RADIANS((90-$Q$8)-W29))*AD29)+(-SIN(RADIANS((90-$Q$8)-W29))*AE29))</f>
        <v>0.92837595710698773</v>
      </c>
      <c r="AL29" s="572">
        <f>IF(M29="","",(SIN(RADIANS((90-$Q$8)-W29))*AD29)+(COS(RADIANS((90-$Q$8)-W29))*AE29))</f>
        <v>-0.27546560507274542</v>
      </c>
      <c r="AM29" s="577">
        <f>IF(M29="","",AF29)</f>
        <v>-0.24947300993813104</v>
      </c>
      <c r="AN29" s="524">
        <f>IF(M29="","",DEGREES(ATAN2(-AM29,AL29)))</f>
        <v>-47.834713669325687</v>
      </c>
      <c r="AO29" s="525">
        <f t="shared" si="116"/>
        <v>21.816944784593154</v>
      </c>
      <c r="AP29" s="528">
        <f>IF(M29="","",DEGREES(ATAN2(AK29,AL29)))</f>
        <v>-16.526556358479532</v>
      </c>
      <c r="AQ29" s="529">
        <f t="shared" si="21"/>
        <v>0.20180382473776504</v>
      </c>
      <c r="AS29" s="932">
        <f t="shared" si="143"/>
        <v>293.84367926077891</v>
      </c>
      <c r="AT29" s="928">
        <f t="shared" si="22"/>
        <v>-0.82226264166784868</v>
      </c>
      <c r="AU29" s="418"/>
      <c r="AV29" s="164" t="str">
        <f t="shared" si="23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4"/>
        <v/>
      </c>
      <c r="BA29" s="296" t="str">
        <f t="shared" si="24"/>
        <v/>
      </c>
      <c r="BB29" s="190" t="str">
        <f t="shared" si="145"/>
        <v/>
      </c>
      <c r="BC29" s="9"/>
      <c r="BD29" s="5" t="str">
        <f t="shared" si="146"/>
        <v/>
      </c>
      <c r="BE29" s="6" t="str">
        <f t="shared" si="25"/>
        <v/>
      </c>
      <c r="BF29" s="4" t="str">
        <f t="shared" si="26"/>
        <v/>
      </c>
      <c r="BG29" s="5" t="str">
        <f t="shared" si="27"/>
        <v/>
      </c>
      <c r="BH29" s="10" t="str">
        <f t="shared" si="28"/>
        <v/>
      </c>
      <c r="BI29" s="9" t="str">
        <f t="shared" si="147"/>
        <v/>
      </c>
      <c r="BJ29" s="5" t="str">
        <f t="shared" si="29"/>
        <v/>
      </c>
      <c r="BK29" s="8" t="str">
        <f t="shared" si="30"/>
        <v/>
      </c>
      <c r="BL29" s="173" t="str">
        <f t="shared" si="31"/>
        <v/>
      </c>
      <c r="BM29" s="5" t="str">
        <f t="shared" si="32"/>
        <v/>
      </c>
      <c r="BN29" s="6" t="str">
        <f t="shared" si="33"/>
        <v/>
      </c>
      <c r="BO29" s="4" t="str">
        <f t="shared" si="148"/>
        <v/>
      </c>
      <c r="BP29" s="5" t="str">
        <f t="shared" si="239"/>
        <v/>
      </c>
      <c r="BQ29" s="5" t="str">
        <f t="shared" si="149"/>
        <v/>
      </c>
      <c r="BR29" s="6" t="str">
        <f t="shared" si="150"/>
        <v/>
      </c>
      <c r="BS29" s="4" t="str">
        <f t="shared" si="118"/>
        <v/>
      </c>
      <c r="BT29" s="5" t="str">
        <f t="shared" si="118"/>
        <v/>
      </c>
      <c r="BU29" s="10" t="str">
        <f t="shared" si="119"/>
        <v/>
      </c>
      <c r="BV29" s="9" t="str">
        <f t="shared" si="120"/>
        <v/>
      </c>
      <c r="BW29" s="5" t="str">
        <f t="shared" si="121"/>
        <v/>
      </c>
      <c r="BX29" s="8" t="str">
        <f t="shared" si="122"/>
        <v/>
      </c>
      <c r="BY29" s="173" t="str">
        <f t="shared" si="123"/>
        <v/>
      </c>
      <c r="BZ29" s="5" t="str">
        <f t="shared" si="124"/>
        <v/>
      </c>
      <c r="CA29" s="6" t="str">
        <f t="shared" si="125"/>
        <v/>
      </c>
      <c r="CB29" s="4" t="str">
        <f t="shared" si="151"/>
        <v/>
      </c>
      <c r="CC29" s="5" t="str">
        <f t="shared" si="152"/>
        <v/>
      </c>
      <c r="CD29" s="5" t="str">
        <f t="shared" si="153"/>
        <v/>
      </c>
      <c r="CE29" s="6" t="str">
        <f t="shared" si="154"/>
        <v/>
      </c>
      <c r="CF29" s="4" t="str">
        <f t="shared" si="155"/>
        <v/>
      </c>
      <c r="CG29" s="5" t="str">
        <f t="shared" si="156"/>
        <v/>
      </c>
      <c r="CH29" s="5" t="str">
        <f t="shared" si="157"/>
        <v/>
      </c>
      <c r="CI29" s="4" t="str">
        <f t="shared" si="126"/>
        <v/>
      </c>
      <c r="CJ29" s="5" t="str">
        <f t="shared" si="127"/>
        <v/>
      </c>
      <c r="CK29" s="8" t="str">
        <f t="shared" si="128"/>
        <v/>
      </c>
      <c r="CL29" s="173" t="str">
        <f t="shared" si="129"/>
        <v/>
      </c>
      <c r="CM29" s="5" t="str">
        <f t="shared" si="130"/>
        <v/>
      </c>
      <c r="CN29" s="6" t="str">
        <f t="shared" si="131"/>
        <v/>
      </c>
      <c r="CO29" s="167" t="str">
        <f t="shared" si="35"/>
        <v/>
      </c>
      <c r="CP29" s="4" t="str">
        <f t="shared" si="240"/>
        <v/>
      </c>
      <c r="CQ29" s="5" t="str">
        <f t="shared" si="241"/>
        <v/>
      </c>
      <c r="CR29" s="5" t="str">
        <f t="shared" si="158"/>
        <v/>
      </c>
      <c r="CS29" s="8" t="str">
        <f t="shared" si="159"/>
        <v/>
      </c>
      <c r="CT29" s="9" t="str">
        <f t="shared" si="160"/>
        <v/>
      </c>
      <c r="CU29" s="6" t="str">
        <f t="shared" si="161"/>
        <v/>
      </c>
      <c r="CV29" s="4" t="str">
        <f t="shared" si="242"/>
        <v/>
      </c>
      <c r="CW29" s="5" t="str">
        <f t="shared" si="162"/>
        <v/>
      </c>
      <c r="CX29" s="8" t="str">
        <f t="shared" si="163"/>
        <v/>
      </c>
      <c r="CY29" s="9" t="str">
        <f t="shared" si="164"/>
        <v/>
      </c>
      <c r="CZ29" s="5" t="str">
        <f t="shared" si="165"/>
        <v/>
      </c>
      <c r="DA29" s="6" t="str">
        <f t="shared" si="166"/>
        <v/>
      </c>
      <c r="DB29" s="4" t="str">
        <f t="shared" si="167"/>
        <v/>
      </c>
      <c r="DC29" s="5" t="str">
        <f t="shared" si="167"/>
        <v/>
      </c>
      <c r="DD29" s="10" t="str">
        <f t="shared" si="168"/>
        <v/>
      </c>
      <c r="DE29" s="9" t="str">
        <f t="shared" si="169"/>
        <v/>
      </c>
      <c r="DF29" s="5" t="str">
        <f t="shared" si="169"/>
        <v/>
      </c>
      <c r="DG29" s="10" t="str">
        <f t="shared" si="170"/>
        <v/>
      </c>
      <c r="DH29" s="70" t="str">
        <f t="shared" si="171"/>
        <v/>
      </c>
      <c r="DI29" s="4" t="str">
        <f t="shared" si="172"/>
        <v/>
      </c>
      <c r="DJ29" s="5" t="str">
        <f t="shared" si="173"/>
        <v/>
      </c>
      <c r="DK29" s="10" t="str">
        <f t="shared" si="174"/>
        <v/>
      </c>
      <c r="DL29" s="9" t="str">
        <f t="shared" si="175"/>
        <v/>
      </c>
      <c r="DM29" s="173" t="str">
        <f t="shared" si="176"/>
        <v/>
      </c>
      <c r="DN29" s="178" t="str">
        <f t="shared" si="177"/>
        <v/>
      </c>
      <c r="DO29" s="9" t="str">
        <f t="shared" si="178"/>
        <v/>
      </c>
      <c r="DP29" s="173" t="str">
        <f t="shared" si="179"/>
        <v/>
      </c>
      <c r="DQ29" s="11" t="str">
        <f t="shared" si="180"/>
        <v/>
      </c>
      <c r="DR29" s="173" t="str">
        <f t="shared" si="181"/>
        <v/>
      </c>
      <c r="DS29" s="5" t="str">
        <f t="shared" si="182"/>
        <v/>
      </c>
      <c r="DT29" s="5" t="str">
        <f t="shared" si="183"/>
        <v/>
      </c>
      <c r="DU29" s="5" t="str">
        <f t="shared" si="184"/>
        <v/>
      </c>
      <c r="DV29" s="5" t="str">
        <f t="shared" si="185"/>
        <v/>
      </c>
      <c r="DW29" s="5" t="str">
        <f t="shared" si="186"/>
        <v/>
      </c>
      <c r="DX29" s="167" t="str">
        <f t="shared" si="187"/>
        <v/>
      </c>
      <c r="DY29" s="9" t="str">
        <f t="shared" si="188"/>
        <v/>
      </c>
      <c r="DZ29" s="5" t="str">
        <f t="shared" si="189"/>
        <v/>
      </c>
      <c r="EA29" s="10" t="str">
        <f t="shared" si="190"/>
        <v/>
      </c>
      <c r="EB29" s="6" t="str">
        <f t="shared" si="191"/>
        <v/>
      </c>
      <c r="EC29" s="173" t="str">
        <f t="shared" si="192"/>
        <v/>
      </c>
      <c r="ED29" s="5" t="str">
        <f t="shared" si="193"/>
        <v/>
      </c>
      <c r="EE29" s="4" t="str">
        <f t="shared" si="194"/>
        <v/>
      </c>
      <c r="EF29" s="5" t="str">
        <f t="shared" si="195"/>
        <v/>
      </c>
      <c r="EG29" s="10" t="str">
        <f t="shared" si="196"/>
        <v/>
      </c>
      <c r="EH29" s="9" t="str">
        <f t="shared" si="197"/>
        <v/>
      </c>
      <c r="EI29" s="5" t="str">
        <f t="shared" si="198"/>
        <v/>
      </c>
      <c r="EJ29" s="6" t="str">
        <f t="shared" si="199"/>
        <v/>
      </c>
      <c r="EK29" s="236" t="str">
        <f t="shared" si="200"/>
        <v/>
      </c>
      <c r="EL29" s="238" t="str">
        <f t="shared" si="201"/>
        <v/>
      </c>
      <c r="EM29" s="4" t="str">
        <f t="shared" si="202"/>
        <v/>
      </c>
      <c r="EN29" s="5" t="str">
        <f t="shared" si="203"/>
        <v/>
      </c>
      <c r="EO29" s="10" t="str">
        <f t="shared" si="204"/>
        <v/>
      </c>
      <c r="EP29" s="9" t="str">
        <f t="shared" si="205"/>
        <v/>
      </c>
      <c r="EQ29" s="5" t="str">
        <f t="shared" si="206"/>
        <v/>
      </c>
      <c r="ER29" s="7" t="str">
        <f t="shared" si="207"/>
        <v/>
      </c>
      <c r="ES29" s="21" t="str">
        <f t="shared" si="132"/>
        <v/>
      </c>
      <c r="ET29" s="5" t="str">
        <f t="shared" si="44"/>
        <v/>
      </c>
      <c r="EU29" s="10" t="str">
        <f t="shared" si="45"/>
        <v/>
      </c>
      <c r="EV29" s="174" t="str">
        <f t="shared" si="254"/>
        <v/>
      </c>
      <c r="EW29" s="9" t="str">
        <f t="shared" si="133"/>
        <v/>
      </c>
      <c r="EX29" s="5" t="str">
        <f t="shared" si="47"/>
        <v/>
      </c>
      <c r="EY29" s="6" t="str">
        <f t="shared" si="208"/>
        <v/>
      </c>
      <c r="EZ29" s="51" t="str">
        <f t="shared" si="209"/>
        <v/>
      </c>
      <c r="FA29" s="266" t="str">
        <f t="shared" si="134"/>
        <v/>
      </c>
      <c r="FB29" s="267" t="str">
        <f t="shared" si="135"/>
        <v/>
      </c>
      <c r="FC29" s="269" t="str">
        <f t="shared" si="48"/>
        <v/>
      </c>
      <c r="FD29" s="4" t="str">
        <f t="shared" si="136"/>
        <v/>
      </c>
      <c r="FE29" s="5" t="str">
        <f t="shared" si="49"/>
        <v/>
      </c>
      <c r="FF29" s="7" t="str">
        <f t="shared" si="210"/>
        <v/>
      </c>
      <c r="FG29" s="173" t="str">
        <f t="shared" si="211"/>
        <v/>
      </c>
      <c r="FH29" s="5" t="str">
        <f t="shared" si="50"/>
        <v/>
      </c>
      <c r="FI29" s="10" t="str">
        <f t="shared" si="51"/>
        <v/>
      </c>
      <c r="FJ29" s="279" t="str">
        <f t="shared" si="212"/>
        <v/>
      </c>
      <c r="FK29" s="4" t="str">
        <f t="shared" si="52"/>
        <v/>
      </c>
      <c r="FL29" s="5" t="str">
        <f t="shared" si="213"/>
        <v/>
      </c>
      <c r="FM29" s="8" t="str">
        <f t="shared" si="214"/>
        <v/>
      </c>
      <c r="FN29" s="9" t="str">
        <f t="shared" si="215"/>
        <v/>
      </c>
      <c r="FO29" s="10" t="str">
        <f t="shared" si="53"/>
        <v/>
      </c>
      <c r="FP29" s="277" t="str">
        <f t="shared" si="54"/>
        <v/>
      </c>
      <c r="FQ29" s="173" t="str">
        <f t="shared" si="243"/>
        <v/>
      </c>
      <c r="FR29" s="10" t="str">
        <f t="shared" si="216"/>
        <v/>
      </c>
      <c r="FS29" s="9" t="str">
        <f t="shared" si="217"/>
        <v/>
      </c>
      <c r="FT29" s="6" t="str">
        <f t="shared" si="218"/>
        <v/>
      </c>
      <c r="FU29" s="4" t="str">
        <f t="shared" si="219"/>
        <v/>
      </c>
      <c r="FV29" s="5" t="str">
        <f t="shared" si="220"/>
        <v/>
      </c>
      <c r="FW29" s="8" t="str">
        <f t="shared" si="244"/>
        <v/>
      </c>
      <c r="FX29" s="9" t="str">
        <f t="shared" si="245"/>
        <v/>
      </c>
      <c r="FY29" s="10" t="str">
        <f t="shared" si="55"/>
        <v/>
      </c>
      <c r="FZ29" s="277" t="str">
        <f t="shared" si="246"/>
        <v/>
      </c>
      <c r="GA29" s="177" t="str">
        <f t="shared" si="221"/>
        <v/>
      </c>
      <c r="GB29" s="4" t="str">
        <f t="shared" si="222"/>
        <v/>
      </c>
      <c r="GC29" s="5" t="str">
        <f t="shared" si="223"/>
        <v/>
      </c>
      <c r="GD29" s="10" t="str">
        <f t="shared" si="224"/>
        <v/>
      </c>
      <c r="GE29" s="311" t="str">
        <f t="shared" si="225"/>
        <v/>
      </c>
      <c r="GF29" s="341" t="str">
        <f t="shared" si="247"/>
        <v/>
      </c>
      <c r="GG29" s="285" t="str">
        <f t="shared" si="56"/>
        <v/>
      </c>
      <c r="GH29" s="286" t="str">
        <f t="shared" si="57"/>
        <v/>
      </c>
      <c r="GI29" s="281" t="str">
        <f t="shared" si="58"/>
        <v/>
      </c>
      <c r="GJ29" s="167" t="str">
        <f t="shared" si="226"/>
        <v/>
      </c>
      <c r="GK29" s="174" t="str">
        <f t="shared" si="59"/>
        <v/>
      </c>
      <c r="GL29" s="174" t="str">
        <f t="shared" si="227"/>
        <v/>
      </c>
      <c r="GM29" s="177" t="str">
        <f t="shared" si="248"/>
        <v/>
      </c>
      <c r="GN29" s="280" t="str">
        <f t="shared" si="228"/>
        <v/>
      </c>
      <c r="GO29" s="4" t="str">
        <f t="shared" si="229"/>
        <v/>
      </c>
      <c r="GP29" s="8" t="str">
        <f t="shared" si="249"/>
        <v/>
      </c>
      <c r="GQ29" s="177" t="str">
        <f t="shared" si="230"/>
        <v/>
      </c>
      <c r="GR29" s="371" t="str">
        <f t="shared" si="250"/>
        <v/>
      </c>
      <c r="GS29" s="342" t="str">
        <f t="shared" si="61"/>
        <v/>
      </c>
      <c r="GT29" s="343" t="str">
        <f t="shared" si="62"/>
        <v/>
      </c>
      <c r="GU29" s="344" t="str">
        <f t="shared" si="63"/>
        <v/>
      </c>
      <c r="GV29" s="343" t="str">
        <f t="shared" si="252"/>
        <v/>
      </c>
      <c r="GW29" s="345" t="str">
        <f t="shared" si="64"/>
        <v/>
      </c>
      <c r="GX29" s="346" t="str">
        <f t="shared" si="65"/>
        <v/>
      </c>
      <c r="GY29" s="344" t="str">
        <f t="shared" si="66"/>
        <v/>
      </c>
      <c r="GZ29" s="345" t="str">
        <f t="shared" si="67"/>
        <v/>
      </c>
      <c r="HA29" s="342" t="str">
        <f t="shared" si="68"/>
        <v/>
      </c>
      <c r="HB29" s="5" t="str">
        <f t="shared" si="231"/>
        <v/>
      </c>
      <c r="HC29" s="343" t="str">
        <f t="shared" si="232"/>
        <v/>
      </c>
      <c r="HD29" s="363" t="str">
        <f t="shared" si="233"/>
        <v/>
      </c>
      <c r="HE29" s="344" t="str">
        <f t="shared" si="69"/>
        <v/>
      </c>
      <c r="HF29" s="5" t="str">
        <f t="shared" si="70"/>
        <v/>
      </c>
      <c r="HG29" s="343" t="str">
        <f t="shared" si="234"/>
        <v/>
      </c>
      <c r="HH29" s="349" t="str">
        <f t="shared" si="235"/>
        <v/>
      </c>
      <c r="HI29" s="317" t="str">
        <f t="shared" si="71"/>
        <v/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2.1280000000000001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1613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9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720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760</v>
      </c>
    </row>
    <row r="30" spans="1:271" ht="15" customHeight="1" x14ac:dyDescent="0.25">
      <c r="A30" s="75">
        <f t="shared" si="1"/>
        <v>0.02</v>
      </c>
      <c r="B30" s="578">
        <f t="shared" si="2"/>
        <v>4.5180689579593905</v>
      </c>
      <c r="C30" s="572">
        <f t="shared" si="3"/>
        <v>1.9051493568418585</v>
      </c>
      <c r="D30" s="576">
        <f t="shared" si="4"/>
        <v>-1.5023874719178385</v>
      </c>
      <c r="E30" s="580">
        <f t="shared" si="5"/>
        <v>1.769100782323986E-2</v>
      </c>
      <c r="F30" s="572">
        <f t="shared" si="6"/>
        <v>0.98460046155635728</v>
      </c>
      <c r="G30" s="579">
        <f t="shared" si="7"/>
        <v>0.17392227961134338</v>
      </c>
      <c r="H30" s="580">
        <f t="shared" si="8"/>
        <v>0.3125</v>
      </c>
      <c r="I30" s="572">
        <f t="shared" si="9"/>
        <v>0.52</v>
      </c>
      <c r="J30" s="483">
        <f t="shared" si="10"/>
        <v>2.1339999999999999</v>
      </c>
      <c r="K30" s="806">
        <f t="shared" si="11"/>
        <v>1613</v>
      </c>
      <c r="L30" s="82"/>
      <c r="M30" s="164">
        <f t="shared" si="12"/>
        <v>2.1339999999999999</v>
      </c>
      <c r="N30" s="575">
        <f t="shared" si="13"/>
        <v>4.5180689579593905</v>
      </c>
      <c r="O30" s="572">
        <f t="shared" si="14"/>
        <v>1.9051493568418585</v>
      </c>
      <c r="P30" s="576">
        <f t="shared" si="15"/>
        <v>-1.5023874719178385</v>
      </c>
      <c r="Q30" s="528">
        <f t="shared" si="140"/>
        <v>22.863857316245252</v>
      </c>
      <c r="R30" s="572">
        <f>IF(M30="","",SQRT(N30^2+O30^2))</f>
        <v>4.9033194043169575</v>
      </c>
      <c r="S30" s="577">
        <f>IF(M30="","",P30)</f>
        <v>-1.5023874719178385</v>
      </c>
      <c r="T30" s="578">
        <f>IF(M30="","",X30*COS(RADIANS(W30)))</f>
        <v>1.9392303411245069</v>
      </c>
      <c r="U30" s="572">
        <f>IF(M30="","",X30*SIN(RADIANS(W30)))</f>
        <v>-4.5035460322742713</v>
      </c>
      <c r="V30" s="579">
        <f>IF(M30="","",Y30)</f>
        <v>-1.5023874719178385</v>
      </c>
      <c r="W30" s="528">
        <f t="shared" si="253"/>
        <v>293.29674816211622</v>
      </c>
      <c r="X30" s="572">
        <f>IF(M30="","",R30)</f>
        <v>4.9033194043169575</v>
      </c>
      <c r="Y30" s="573">
        <f t="shared" si="255"/>
        <v>-1.5023874719178385</v>
      </c>
      <c r="Z30" s="575">
        <f t="shared" si="18"/>
        <v>-1.769100782323986E-2</v>
      </c>
      <c r="AA30" s="572">
        <f t="shared" si="19"/>
        <v>-0.98460046155635728</v>
      </c>
      <c r="AB30" s="572">
        <f t="shared" si="20"/>
        <v>-0.17392227961134338</v>
      </c>
      <c r="AC30" s="579">
        <f>IF(M30="","",SQRT(Z30^2+AA30^2+AB30^2))</f>
        <v>1</v>
      </c>
      <c r="AD30" s="580">
        <f>IF(M30="","",Z30*(1/SQRT(Z30^2+AA30^2+AB30^2)))</f>
        <v>-1.769100782323986E-2</v>
      </c>
      <c r="AE30" s="572">
        <f>IF(M30="","",AA30*(1/SQRT(Z30^2+AA30^2+AB30^2)))</f>
        <v>-0.98460046155635728</v>
      </c>
      <c r="AF30" s="576">
        <f>IF(M30="","",AB30*(1/SQRT(Z30^2+AA30^2+AB30^2)))</f>
        <v>-0.17392227961134338</v>
      </c>
      <c r="AG30" s="545">
        <f>IF(M30="","",DEGREES(ATAN2(-AF30,AE30)))</f>
        <v>-79.982468557524797</v>
      </c>
      <c r="AH30" s="546">
        <f>IF(M30="","",DEGREES(ACOS(AD30)))</f>
        <v>91.013672963462241</v>
      </c>
      <c r="AI30" s="528">
        <f>IF(M30="","",DEGREES(-ACOS(-AF30)))</f>
        <v>-79.984052450724079</v>
      </c>
      <c r="AJ30" s="529">
        <f>IF(M30="","",DEGREES(ATAN2(-AE30,AD30)))</f>
        <v>-1.0293627373057068</v>
      </c>
      <c r="AK30" s="578">
        <f>IF(M30="","",(COS(RADIANS((90-$Q$8)-W30))*AD30)+(-SIN(RADIANS((90-$Q$8)-W30))*AE30))</f>
        <v>0.90036736446071386</v>
      </c>
      <c r="AL30" s="572">
        <f>IF(M30="","",(SIN(RADIANS((90-$Q$8)-W30))*AD30)+(COS(RADIANS((90-$Q$8)-W30))*AE30))</f>
        <v>-0.3988604388365205</v>
      </c>
      <c r="AM30" s="577">
        <f>IF(M30="","",AF30)</f>
        <v>-0.17392227961134338</v>
      </c>
      <c r="AN30" s="524">
        <f>IF(M30="","",DEGREES(ATAN2(-AM30,AL30)))</f>
        <v>-66.440489504246187</v>
      </c>
      <c r="AO30" s="525">
        <f>IF(ROUND(IF(M30="",0,DEGREES(ACOS(AK30))),4)=90,0,IF(M30="","",DEGREES(ACOS(AK30))))</f>
        <v>25.793602252313281</v>
      </c>
      <c r="AP30" s="528">
        <f>IF(M30="","",DEGREES(ATAN2(AK30,AL30)))</f>
        <v>-23.893220053550959</v>
      </c>
      <c r="AQ30" s="529">
        <f t="shared" si="21"/>
        <v>0.18597349574157399</v>
      </c>
      <c r="AS30" s="932">
        <f t="shared" si="143"/>
        <v>293.29674816211622</v>
      </c>
      <c r="AT30" s="928">
        <f t="shared" si="22"/>
        <v>-1.4846037070222478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2.1339999999999999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8"/>
        <v>1613</v>
      </c>
      <c r="IM30" s="482" t="str">
        <f t="shared" si="237"/>
        <v/>
      </c>
      <c r="IN30" s="670" t="str">
        <f t="shared" si="90"/>
        <v/>
      </c>
      <c r="IO30" s="702"/>
      <c r="IP30" s="5" t="str">
        <f t="shared" si="91"/>
        <v/>
      </c>
      <c r="IQ30" s="714"/>
      <c r="IR30" s="9" t="str">
        <f t="shared" si="139"/>
        <v/>
      </c>
      <c r="IS30" s="5" t="str">
        <f t="shared" si="92"/>
        <v/>
      </c>
      <c r="IT30" s="5" t="str">
        <f t="shared" si="93"/>
        <v/>
      </c>
      <c r="IU30" s="5" t="str">
        <f t="shared" si="94"/>
        <v/>
      </c>
      <c r="IV30" s="670" t="str">
        <f t="shared" si="95"/>
        <v/>
      </c>
      <c r="IW30" s="9" t="str">
        <f t="shared" si="96"/>
        <v/>
      </c>
      <c r="IX30" s="5" t="str">
        <f t="shared" si="97"/>
        <v/>
      </c>
      <c r="IY30" s="5" t="str">
        <f t="shared" si="98"/>
        <v/>
      </c>
      <c r="IZ30" s="5" t="str">
        <f t="shared" si="99"/>
        <v/>
      </c>
      <c r="JA30" s="705" t="str">
        <f t="shared" si="100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26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770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800</v>
      </c>
    </row>
    <row r="31" spans="1:271" ht="15" customHeight="1" x14ac:dyDescent="0.25">
      <c r="A31" s="75">
        <f t="shared" si="1"/>
        <v>0.02</v>
      </c>
      <c r="B31" s="578">
        <f t="shared" si="2"/>
        <v>4.6383309825316967</v>
      </c>
      <c r="C31" s="572">
        <f t="shared" si="3"/>
        <v>1.9382093729588601</v>
      </c>
      <c r="D31" s="576">
        <f t="shared" si="4"/>
        <v>-2.2580846543450712</v>
      </c>
      <c r="E31" s="580">
        <f t="shared" si="5"/>
        <v>0.12193397424882359</v>
      </c>
      <c r="F31" s="572">
        <f t="shared" si="6"/>
        <v>0.99158220462938695</v>
      </c>
      <c r="G31" s="579">
        <f t="shared" si="7"/>
        <v>4.3552696658323252E-2</v>
      </c>
      <c r="H31" s="580">
        <f t="shared" si="8"/>
        <v>0.3125</v>
      </c>
      <c r="I31" s="572">
        <f t="shared" si="9"/>
        <v>0.52</v>
      </c>
      <c r="J31" s="483">
        <f t="shared" si="10"/>
        <v>2.14</v>
      </c>
      <c r="K31" s="806">
        <f t="shared" si="11"/>
        <v>1613</v>
      </c>
      <c r="L31" s="309"/>
      <c r="M31" s="164">
        <f t="shared" si="12"/>
        <v>2.14</v>
      </c>
      <c r="N31" s="575">
        <f t="shared" si="13"/>
        <v>4.6383309825316967</v>
      </c>
      <c r="O31" s="572">
        <f t="shared" si="14"/>
        <v>1.9382093729588601</v>
      </c>
      <c r="P31" s="576">
        <f t="shared" si="15"/>
        <v>-2.2580846543450712</v>
      </c>
      <c r="Q31" s="528">
        <f t="shared" si="140"/>
        <v>22.67848155298562</v>
      </c>
      <c r="R31" s="572">
        <f>IF(M31="","",SQRT(N31^2+O31^2))</f>
        <v>5.0270040657372688</v>
      </c>
      <c r="S31" s="577">
        <f>IF(M31="","",P31)</f>
        <v>-2.2580846543450712</v>
      </c>
      <c r="T31" s="578">
        <f>IF(M31="","",X31*COS(RADIANS(W31)))</f>
        <v>1.9731980291688609</v>
      </c>
      <c r="U31" s="572">
        <f>IF(M31="","",X31*SIN(RADIANS(W31)))</f>
        <v>-4.6235548460706237</v>
      </c>
      <c r="V31" s="579">
        <f>IF(M31="","",Y31)</f>
        <v>-2.2580846543450712</v>
      </c>
      <c r="W31" s="528">
        <f t="shared" si="253"/>
        <v>293.11137239885659</v>
      </c>
      <c r="X31" s="572">
        <f>IF(M31="","",R31)</f>
        <v>5.0270040657372688</v>
      </c>
      <c r="Y31" s="573">
        <f t="shared" si="255"/>
        <v>-2.2580846543450712</v>
      </c>
      <c r="Z31" s="575">
        <f t="shared" si="18"/>
        <v>-0.12193397424882359</v>
      </c>
      <c r="AA31" s="572">
        <f t="shared" si="19"/>
        <v>-0.99158220462938695</v>
      </c>
      <c r="AB31" s="572">
        <f t="shared" si="20"/>
        <v>-4.3552696658323252E-2</v>
      </c>
      <c r="AC31" s="579">
        <f>IF(M31="","",SQRT(Z31^2+AA31^2+AB31^2))</f>
        <v>1</v>
      </c>
      <c r="AD31" s="580">
        <f>IF(M31="","",Z31*(1/SQRT(Z31^2+AA31^2+AB31^2)))</f>
        <v>-0.12193397424882359</v>
      </c>
      <c r="AE31" s="572">
        <f>IF(M31="","",AA31*(1/SQRT(Z31^2+AA31^2+AB31^2)))</f>
        <v>-0.99158220462938695</v>
      </c>
      <c r="AF31" s="576">
        <f>IF(M31="","",AB31*(1/SQRT(Z31^2+AA31^2+AB31^2)))</f>
        <v>-4.3552696658323252E-2</v>
      </c>
      <c r="AG31" s="545">
        <f>IF(M31="","",DEGREES(ATAN2(-AF31,AE31)))</f>
        <v>-87.485046760822286</v>
      </c>
      <c r="AH31" s="546">
        <f>IF(M31="","",DEGREES(ACOS(AD31)))</f>
        <v>97.003730898930144</v>
      </c>
      <c r="AI31" s="528">
        <f>IF(M31="","",DEGREES(-ACOS(-AF31)))</f>
        <v>-87.50382473077525</v>
      </c>
      <c r="AJ31" s="529">
        <f>IF(M31="","",DEGREES(ATAN2(-AE31,AD31)))</f>
        <v>-7.0104162115586028</v>
      </c>
      <c r="AK31" s="578">
        <f>IF(M31="","",(COS(RADIANS((90-$Q$8)-W31))*AD31)+(-SIN(RADIANS((90-$Q$8)-W31))*AE31))</f>
        <v>0.86790319495166313</v>
      </c>
      <c r="AL31" s="572">
        <f>IF(M31="","",(SIN(RADIANS((90-$Q$8)-W31))*AD31)+(COS(RADIANS((90-$Q$8)-W31))*AE31))</f>
        <v>-0.49482037832579567</v>
      </c>
      <c r="AM31" s="577">
        <f>IF(M31="","",AF31)</f>
        <v>-4.3552696658323252E-2</v>
      </c>
      <c r="AN31" s="524">
        <f>IF(M31="","",DEGREES(ATAN2(-AM31,AL31)))</f>
        <v>-84.969949372155938</v>
      </c>
      <c r="AO31" s="525">
        <f t="shared" si="116"/>
        <v>29.784116024848295</v>
      </c>
      <c r="AP31" s="528">
        <f>IF(M31="","",DEGREES(ATAN2(AK31,AL31)))</f>
        <v>-29.688897764544222</v>
      </c>
      <c r="AQ31" s="529">
        <f t="shared" si="21"/>
        <v>0.18139782544022384</v>
      </c>
      <c r="AS31" s="932">
        <f t="shared" si="143"/>
        <v>293.11137239885659</v>
      </c>
      <c r="AT31" s="928">
        <f t="shared" si="22"/>
        <v>-2.2402493961819085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2.14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88"/>
        <v>1613</v>
      </c>
      <c r="IM31" s="482" t="str">
        <f t="shared" si="237"/>
        <v/>
      </c>
      <c r="IN31" s="670" t="str">
        <f t="shared" si="90"/>
        <v/>
      </c>
      <c r="IO31" s="702"/>
      <c r="IP31" s="5" t="str">
        <f t="shared" si="91"/>
        <v/>
      </c>
      <c r="IQ31" s="714"/>
      <c r="IR31" s="9" t="str">
        <f t="shared" si="139"/>
        <v/>
      </c>
      <c r="IS31" s="5" t="str">
        <f t="shared" si="92"/>
        <v/>
      </c>
      <c r="IT31" s="5" t="str">
        <f t="shared" si="93"/>
        <v/>
      </c>
      <c r="IU31" s="5" t="str">
        <f t="shared" si="94"/>
        <v/>
      </c>
      <c r="IV31" s="670" t="str">
        <f t="shared" si="95"/>
        <v/>
      </c>
      <c r="IW31" s="9" t="str">
        <f t="shared" si="96"/>
        <v/>
      </c>
      <c r="IX31" s="5" t="str">
        <f t="shared" si="97"/>
        <v/>
      </c>
      <c r="IY31" s="5" t="str">
        <f t="shared" si="98"/>
        <v/>
      </c>
      <c r="IZ31" s="5" t="str">
        <f t="shared" si="99"/>
        <v/>
      </c>
      <c r="JA31" s="705" t="str">
        <f t="shared" si="100"/>
        <v/>
      </c>
    </row>
    <row r="32" spans="1:271" ht="15" customHeight="1" x14ac:dyDescent="0.25">
      <c r="A32" s="75">
        <f t="shared" si="1"/>
        <v>0.02</v>
      </c>
      <c r="B32" s="578">
        <f t="shared" si="2"/>
        <v>4.6667204558006903</v>
      </c>
      <c r="C32" s="572">
        <f t="shared" si="3"/>
        <v>1.9431013599869074</v>
      </c>
      <c r="D32" s="576">
        <f t="shared" si="4"/>
        <v>-3.0095891874135794</v>
      </c>
      <c r="E32" s="580">
        <f t="shared" si="5"/>
        <v>0.12321454352127205</v>
      </c>
      <c r="F32" s="572">
        <f t="shared" si="6"/>
        <v>0.99142389464781044</v>
      </c>
      <c r="G32" s="579">
        <f t="shared" si="7"/>
        <v>4.3552696658322981E-2</v>
      </c>
      <c r="H32" s="580">
        <f t="shared" si="8"/>
        <v>0.3125</v>
      </c>
      <c r="I32" s="572">
        <f t="shared" si="9"/>
        <v>0.52</v>
      </c>
      <c r="J32" s="483">
        <f t="shared" si="10"/>
        <v>2.1459999999999999</v>
      </c>
      <c r="K32" s="806">
        <f t="shared" si="11"/>
        <v>1613</v>
      </c>
      <c r="L32" s="309"/>
      <c r="M32" s="164">
        <f t="shared" si="12"/>
        <v>2.1459999999999999</v>
      </c>
      <c r="N32" s="575">
        <f t="shared" si="13"/>
        <v>4.6667204558006903</v>
      </c>
      <c r="O32" s="572">
        <f t="shared" si="14"/>
        <v>1.9431013599869074</v>
      </c>
      <c r="P32" s="576">
        <f t="shared" si="15"/>
        <v>-3.0095891874135794</v>
      </c>
      <c r="Q32" s="528">
        <f t="shared" si="140"/>
        <v>22.605578562558421</v>
      </c>
      <c r="R32" s="572">
        <f t="shared" si="101"/>
        <v>5.0550887932628417</v>
      </c>
      <c r="S32" s="577">
        <f t="shared" si="102"/>
        <v>-3.0095891874135794</v>
      </c>
      <c r="T32" s="578">
        <f t="shared" si="103"/>
        <v>1.9783043675213483</v>
      </c>
      <c r="U32" s="572">
        <f t="shared" si="104"/>
        <v>-4.651906548633316</v>
      </c>
      <c r="V32" s="579">
        <f t="shared" si="141"/>
        <v>-3.0095891874135794</v>
      </c>
      <c r="W32" s="528">
        <f t="shared" si="253"/>
        <v>293.03846940842942</v>
      </c>
      <c r="X32" s="572">
        <f t="shared" si="105"/>
        <v>5.0550887932628417</v>
      </c>
      <c r="Y32" s="573">
        <f t="shared" si="255"/>
        <v>-3.0095891874135794</v>
      </c>
      <c r="Z32" s="575">
        <f t="shared" si="18"/>
        <v>-0.12321454352127205</v>
      </c>
      <c r="AA32" s="572">
        <f t="shared" si="19"/>
        <v>-0.99142389464781044</v>
      </c>
      <c r="AB32" s="572">
        <f t="shared" si="20"/>
        <v>-4.3552696658322981E-2</v>
      </c>
      <c r="AC32" s="579">
        <f t="shared" si="106"/>
        <v>1</v>
      </c>
      <c r="AD32" s="580">
        <f t="shared" si="142"/>
        <v>-0.12321454352127205</v>
      </c>
      <c r="AE32" s="572">
        <f t="shared" si="107"/>
        <v>-0.99142389464781044</v>
      </c>
      <c r="AF32" s="576">
        <f t="shared" si="108"/>
        <v>-4.3552696658322981E-2</v>
      </c>
      <c r="AG32" s="545">
        <f t="shared" si="109"/>
        <v>-87.484645690324669</v>
      </c>
      <c r="AH32" s="546">
        <f t="shared" si="110"/>
        <v>97.077659589705576</v>
      </c>
      <c r="AI32" s="528">
        <f t="shared" si="111"/>
        <v>-87.50382473077525</v>
      </c>
      <c r="AJ32" s="529">
        <f t="shared" si="112"/>
        <v>-7.0844161901901019</v>
      </c>
      <c r="AK32" s="578">
        <f t="shared" si="238"/>
        <v>0.86789372093390582</v>
      </c>
      <c r="AL32" s="572">
        <f t="shared" si="113"/>
        <v>-0.49483699515829221</v>
      </c>
      <c r="AM32" s="577">
        <f t="shared" si="114"/>
        <v>-4.3552696658322981E-2</v>
      </c>
      <c r="AN32" s="524">
        <f t="shared" si="115"/>
        <v>-84.97011741683842</v>
      </c>
      <c r="AO32" s="525">
        <f t="shared" si="116"/>
        <v>29.785208788526894</v>
      </c>
      <c r="AP32" s="528">
        <f t="shared" si="117"/>
        <v>-29.689994752748529</v>
      </c>
      <c r="AQ32" s="529">
        <f t="shared" si="21"/>
        <v>0.1803900340937914</v>
      </c>
      <c r="AS32" s="932">
        <f t="shared" si="143"/>
        <v>293.03846940842942</v>
      </c>
      <c r="AT32" s="928">
        <f t="shared" si="22"/>
        <v>-2.9917336784197426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2.1459999999999999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88"/>
        <v>1613</v>
      </c>
      <c r="IM32" s="482" t="str">
        <f t="shared" si="237"/>
        <v/>
      </c>
      <c r="IN32" s="670" t="str">
        <f t="shared" si="90"/>
        <v/>
      </c>
      <c r="IO32" s="702"/>
      <c r="IP32" s="5" t="str">
        <f t="shared" si="91"/>
        <v/>
      </c>
      <c r="IQ32" s="714"/>
      <c r="IR32" s="9" t="str">
        <f t="shared" si="139"/>
        <v/>
      </c>
      <c r="IS32" s="5" t="str">
        <f t="shared" si="92"/>
        <v/>
      </c>
      <c r="IT32" s="5" t="str">
        <f t="shared" si="93"/>
        <v/>
      </c>
      <c r="IU32" s="5" t="str">
        <f t="shared" si="94"/>
        <v/>
      </c>
      <c r="IV32" s="670" t="str">
        <f t="shared" si="95"/>
        <v/>
      </c>
      <c r="IW32" s="9" t="str">
        <f t="shared" si="96"/>
        <v/>
      </c>
      <c r="IX32" s="5" t="str">
        <f t="shared" si="97"/>
        <v/>
      </c>
      <c r="IY32" s="5" t="str">
        <f t="shared" si="98"/>
        <v/>
      </c>
      <c r="IZ32" s="5" t="str">
        <f t="shared" si="99"/>
        <v/>
      </c>
      <c r="JA32" s="705" t="str">
        <f t="shared" si="100"/>
        <v/>
      </c>
    </row>
    <row r="33" spans="1:269" ht="15" customHeight="1" x14ac:dyDescent="0.25">
      <c r="A33" s="75">
        <f t="shared" si="1"/>
        <v>0</v>
      </c>
      <c r="B33" s="578">
        <f t="shared" si="2"/>
        <v>3.175528456305075</v>
      </c>
      <c r="C33" s="572">
        <f t="shared" si="3"/>
        <v>0.34038293778780537</v>
      </c>
      <c r="D33" s="576">
        <f t="shared" si="4"/>
        <v>-0.15425909251969605</v>
      </c>
      <c r="E33" s="580">
        <f t="shared" si="5"/>
        <v>0.10393308058719902</v>
      </c>
      <c r="F33" s="572">
        <f t="shared" si="6"/>
        <v>1.1140522842226726E-2</v>
      </c>
      <c r="G33" s="579">
        <f t="shared" si="7"/>
        <v>0.99452189694870807</v>
      </c>
      <c r="H33" s="580">
        <f t="shared" si="8"/>
        <v>0.255</v>
      </c>
      <c r="I33" s="572">
        <f t="shared" si="9"/>
        <v>0.41499999999999992</v>
      </c>
      <c r="J33" s="483">
        <f t="shared" si="10"/>
        <v>2.2160000000000002</v>
      </c>
      <c r="K33" s="806" t="str">
        <f t="shared" si="11"/>
        <v>CPS-32193r1</v>
      </c>
      <c r="L33" s="309"/>
      <c r="M33" s="164">
        <f t="shared" si="12"/>
        <v>2.2160000000000002</v>
      </c>
      <c r="N33" s="575">
        <f t="shared" si="13"/>
        <v>3.175528456305075</v>
      </c>
      <c r="O33" s="572">
        <f t="shared" si="14"/>
        <v>0.34038293778780537</v>
      </c>
      <c r="P33" s="576">
        <f t="shared" si="15"/>
        <v>-0.15425909251969605</v>
      </c>
      <c r="Q33" s="528">
        <f t="shared" si="140"/>
        <v>6.1181390674357452</v>
      </c>
      <c r="R33" s="572">
        <f t="shared" si="101"/>
        <v>3.1937190736100054</v>
      </c>
      <c r="S33" s="577">
        <f t="shared" si="102"/>
        <v>-0.15425909251969605</v>
      </c>
      <c r="T33" s="578">
        <f t="shared" si="103"/>
        <v>0.36436528864578149</v>
      </c>
      <c r="U33" s="572">
        <f t="shared" si="104"/>
        <v>-3.1728661266385676</v>
      </c>
      <c r="V33" s="579">
        <f t="shared" si="141"/>
        <v>-0.15425909251969605</v>
      </c>
      <c r="W33" s="528">
        <f t="shared" si="253"/>
        <v>276.55102991330671</v>
      </c>
      <c r="X33" s="572">
        <f t="shared" si="105"/>
        <v>3.1937190736100054</v>
      </c>
      <c r="Y33" s="573">
        <f t="shared" si="255"/>
        <v>-0.15425909251969605</v>
      </c>
      <c r="Z33" s="575">
        <f t="shared" si="18"/>
        <v>-0.10393308058719902</v>
      </c>
      <c r="AA33" s="572">
        <f t="shared" si="19"/>
        <v>-1.1140522842226726E-2</v>
      </c>
      <c r="AB33" s="572">
        <f t="shared" si="20"/>
        <v>-0.99452189694870807</v>
      </c>
      <c r="AC33" s="579">
        <f t="shared" si="106"/>
        <v>1</v>
      </c>
      <c r="AD33" s="580">
        <f t="shared" si="142"/>
        <v>-0.10393308058719902</v>
      </c>
      <c r="AE33" s="572">
        <f t="shared" si="107"/>
        <v>-1.1140522842226726E-2</v>
      </c>
      <c r="AF33" s="576">
        <f t="shared" si="108"/>
        <v>-0.99452189694870807</v>
      </c>
      <c r="AG33" s="545">
        <f t="shared" si="109"/>
        <v>-0.64179405776885323</v>
      </c>
      <c r="AH33" s="546">
        <f t="shared" si="110"/>
        <v>95.965700258763846</v>
      </c>
      <c r="AI33" s="528">
        <f t="shared" si="111"/>
        <v>-5.9999991337072789</v>
      </c>
      <c r="AJ33" s="529">
        <f t="shared" si="112"/>
        <v>-83.881860932564223</v>
      </c>
      <c r="AK33" s="578">
        <f t="shared" si="238"/>
        <v>1.0755285551056204E-16</v>
      </c>
      <c r="AL33" s="572">
        <f t="shared" si="113"/>
        <v>-0.10452844823082079</v>
      </c>
      <c r="AM33" s="577">
        <f t="shared" si="114"/>
        <v>-0.99452189694870807</v>
      </c>
      <c r="AN33" s="524">
        <f t="shared" si="115"/>
        <v>-5.9999991337073082</v>
      </c>
      <c r="AO33" s="525">
        <f t="shared" si="116"/>
        <v>0</v>
      </c>
      <c r="AP33" s="528">
        <f t="shared" si="117"/>
        <v>-89.999999999999943</v>
      </c>
      <c r="AQ33" s="529">
        <f t="shared" si="21"/>
        <v>0.28552389338024181</v>
      </c>
      <c r="AS33" s="932">
        <f t="shared" si="143"/>
        <v>276.55102991330671</v>
      </c>
      <c r="AT33" s="928">
        <f t="shared" si="22"/>
        <v>-0.1318237392216583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>Nose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2.2160000000000002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2.1160000000000001</v>
      </c>
      <c r="IK33" s="677" cm="1">
        <f t="array" ref="IK33">IFERROR(ROUND(VALUE(IF($IJ33&lt;1,$IJ33+LARGE((IF($M$9:$M$150="",0,$M$9:$M$150)-MOD(IF($M$9:$M$150="",0,$M$9:$M$150),1)),1),$IJ33)),4),"")</f>
        <v>2.1160000000000001</v>
      </c>
      <c r="IL33" s="482">
        <f t="shared" si="88"/>
        <v>1613</v>
      </c>
      <c r="IM33" s="482" t="str">
        <f t="shared" si="237"/>
        <v>CPS-32193r1</v>
      </c>
      <c r="IN33" s="670">
        <f t="shared" si="90"/>
        <v>18.481469544900676</v>
      </c>
      <c r="IO33" s="702">
        <v>6.8837462985836498E-2</v>
      </c>
      <c r="IP33" s="5">
        <f t="shared" si="91"/>
        <v>1.56</v>
      </c>
      <c r="IQ33" s="714">
        <v>780</v>
      </c>
      <c r="IR33" s="9">
        <f t="shared" si="139"/>
        <v>-3.1946027962538608</v>
      </c>
      <c r="IS33" s="5">
        <f t="shared" si="92"/>
        <v>-0.11880493919077446</v>
      </c>
      <c r="IT33" s="5">
        <f t="shared" si="93"/>
        <v>0.3125</v>
      </c>
      <c r="IU33" s="5">
        <f t="shared" si="94"/>
        <v>0.300936898683071</v>
      </c>
      <c r="IV33" s="670">
        <f t="shared" si="95"/>
        <v>10.242376499105918</v>
      </c>
      <c r="IW33" s="9">
        <f t="shared" si="96"/>
        <v>-3.1937190736100054</v>
      </c>
      <c r="IX33" s="5">
        <f t="shared" si="97"/>
        <v>-0.15425909251969605</v>
      </c>
      <c r="IY33" s="5">
        <f t="shared" si="98"/>
        <v>0.255</v>
      </c>
      <c r="IZ33" s="5">
        <f t="shared" si="99"/>
        <v>0.255</v>
      </c>
      <c r="JA33" s="705">
        <f t="shared" si="100"/>
        <v>5.9999991337073082</v>
      </c>
    </row>
    <row r="34" spans="1:269" ht="15" customHeight="1" x14ac:dyDescent="0.25">
      <c r="A34" s="75">
        <f t="shared" si="1"/>
        <v>0</v>
      </c>
      <c r="B34" s="578">
        <f t="shared" si="2"/>
        <v>3.878126591350461</v>
      </c>
      <c r="C34" s="572">
        <f t="shared" si="3"/>
        <v>0.56642244007706855</v>
      </c>
      <c r="D34" s="576">
        <f t="shared" si="4"/>
        <v>-0.39102043806262499</v>
      </c>
      <c r="E34" s="580">
        <f t="shared" si="5"/>
        <v>0.44922423854638721</v>
      </c>
      <c r="F34" s="572">
        <f t="shared" si="6"/>
        <v>6.5611754373031406E-2</v>
      </c>
      <c r="G34" s="579">
        <f t="shared" si="7"/>
        <v>0.8910065550771844</v>
      </c>
      <c r="H34" s="580">
        <f t="shared" si="8"/>
        <v>0.255</v>
      </c>
      <c r="I34" s="572">
        <f t="shared" si="9"/>
        <v>0.41499999999999992</v>
      </c>
      <c r="J34" s="483">
        <f t="shared" si="10"/>
        <v>2.222</v>
      </c>
      <c r="K34" s="806" t="str">
        <f t="shared" si="11"/>
        <v>CPS-32193r1</v>
      </c>
      <c r="L34" s="309"/>
      <c r="M34" s="164">
        <f t="shared" si="12"/>
        <v>2.222</v>
      </c>
      <c r="N34" s="575">
        <f t="shared" si="13"/>
        <v>3.878126591350461</v>
      </c>
      <c r="O34" s="572">
        <f t="shared" si="14"/>
        <v>0.56642244007706855</v>
      </c>
      <c r="P34" s="576">
        <f t="shared" si="15"/>
        <v>-0.39102043806262499</v>
      </c>
      <c r="Q34" s="528">
        <f t="shared" si="140"/>
        <v>8.3096191473203369</v>
      </c>
      <c r="R34" s="572">
        <f>IF(M34="","",SQRT(N34^2+O34^2))</f>
        <v>3.9192729222602507</v>
      </c>
      <c r="S34" s="577">
        <f>IF(M34="","",P34)</f>
        <v>-0.39102043806262499</v>
      </c>
      <c r="T34" s="578">
        <f>IF(M34="","",X34*COS(RADIANS(W34)))</f>
        <v>0.59570667815175282</v>
      </c>
      <c r="U34" s="572">
        <f>IF(M34="","",X34*SIN(RADIANS(W34)))</f>
        <v>-3.873736412401831</v>
      </c>
      <c r="V34" s="579">
        <f>IF(M34="","",Y34)</f>
        <v>-0.39102043806262499</v>
      </c>
      <c r="W34" s="528">
        <f t="shared" si="253"/>
        <v>278.74250999319133</v>
      </c>
      <c r="X34" s="572">
        <f>IF(M34="","",R34)</f>
        <v>3.9192729222602507</v>
      </c>
      <c r="Y34" s="573">
        <f t="shared" si="255"/>
        <v>-0.39102043806262499</v>
      </c>
      <c r="Z34" s="575">
        <f t="shared" si="18"/>
        <v>-0.44922423854638721</v>
      </c>
      <c r="AA34" s="572">
        <f t="shared" si="19"/>
        <v>-6.5611754373031406E-2</v>
      </c>
      <c r="AB34" s="572">
        <f t="shared" si="20"/>
        <v>-0.8910065550771844</v>
      </c>
      <c r="AC34" s="579">
        <f>IF(M34="","",SQRT(Z34^2+AA34^2+AB34^2))</f>
        <v>1</v>
      </c>
      <c r="AD34" s="580">
        <f>IF(M34="","",Z34*(1/SQRT(Z34^2+AA34^2+AB34^2)))</f>
        <v>-0.44922423854638721</v>
      </c>
      <c r="AE34" s="572">
        <f>IF(M34="","",AA34*(1/SQRT(Z34^2+AA34^2+AB34^2)))</f>
        <v>-6.5611754373031406E-2</v>
      </c>
      <c r="AF34" s="576">
        <f>IF(M34="","",AB34*(1/SQRT(Z34^2+AA34^2+AB34^2)))</f>
        <v>-0.8910065550771844</v>
      </c>
      <c r="AG34" s="545">
        <f>IF(M34="","",DEGREES(ATAN2(-AF34,AE34)))</f>
        <v>-4.2115332259859191</v>
      </c>
      <c r="AH34" s="546">
        <f>IF(M34="","",DEGREES(ACOS(AD34)))</f>
        <v>116.6939227880854</v>
      </c>
      <c r="AI34" s="528">
        <f>IF(M34="","",DEGREES(-ACOS(-AF34)))</f>
        <v>-26.999996101682878</v>
      </c>
      <c r="AJ34" s="529">
        <f>IF(M34="","",DEGREES(ATAN2(-AE34,AD34)))</f>
        <v>-81.690380852679652</v>
      </c>
      <c r="AK34" s="578">
        <f>IF(M34="","",(COS(RADIANS((90-$Q$8)-W34))*AD34)+(-SIN(RADIANS((90-$Q$8)-W34))*AE34))</f>
        <v>-1.8041124150158794E-16</v>
      </c>
      <c r="AL34" s="572">
        <f>IF(M34="","",(SIN(RADIANS((90-$Q$8)-W34))*AD34)+(COS(RADIANS((90-$Q$8)-W34))*AE34))</f>
        <v>-0.45399043911682596</v>
      </c>
      <c r="AM34" s="577">
        <f>IF(M34="","",AF34)</f>
        <v>-0.8910065550771844</v>
      </c>
      <c r="AN34" s="524">
        <f>IF(M34="","",DEGREES(ATAN2(-AM34,AL34)))</f>
        <v>-26.999996101682878</v>
      </c>
      <c r="AO34" s="525">
        <f t="shared" si="116"/>
        <v>0</v>
      </c>
      <c r="AP34" s="528">
        <f>IF(M34="","",DEGREES(ATAN2(AK34,AL34)))</f>
        <v>-90.000000000000028</v>
      </c>
      <c r="AQ34" s="529">
        <f t="shared" si="21"/>
        <v>0.23266704270408664</v>
      </c>
      <c r="AS34" s="932">
        <f t="shared" si="143"/>
        <v>278.74250999319133</v>
      </c>
      <c r="AT34" s="928">
        <f t="shared" si="22"/>
        <v>-0.36919382923122185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>Nose</v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2.222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2.1219999999999999</v>
      </c>
      <c r="IK34" s="677" cm="1">
        <f t="array" ref="IK34">IFERROR(ROUND(VALUE(IF($IJ34&lt;1,$IJ34+LARGE((IF($M$9:$M$150="",0,$M$9:$M$150)-MOD(IF($M$9:$M$150="",0,$M$9:$M$150),1)),1),$IJ34)),4),"")</f>
        <v>2.1219999999999999</v>
      </c>
      <c r="IL34" s="482">
        <f t="shared" si="88"/>
        <v>1613</v>
      </c>
      <c r="IM34" s="482" t="str">
        <f t="shared" si="237"/>
        <v>CPS-32193r1</v>
      </c>
      <c r="IN34" s="670">
        <f t="shared" si="90"/>
        <v>15.802515770002231</v>
      </c>
      <c r="IO34" s="702">
        <v>5.9523524782473601E-2</v>
      </c>
      <c r="IP34" s="5">
        <f t="shared" si="91"/>
        <v>1.78</v>
      </c>
      <c r="IQ34" s="714">
        <v>890</v>
      </c>
      <c r="IR34" s="9">
        <f t="shared" si="139"/>
        <v>-3.923195158347927</v>
      </c>
      <c r="IS34" s="5">
        <f t="shared" si="92"/>
        <v>-0.3574623281411074</v>
      </c>
      <c r="IT34" s="5">
        <f t="shared" si="93"/>
        <v>0.3125</v>
      </c>
      <c r="IU34" s="5">
        <f t="shared" si="94"/>
        <v>0.29743921675420748</v>
      </c>
      <c r="IV34" s="670">
        <f t="shared" si="95"/>
        <v>29.091158349317926</v>
      </c>
      <c r="IW34" s="9">
        <f t="shared" si="96"/>
        <v>-3.9192729222602507</v>
      </c>
      <c r="IX34" s="5">
        <f t="shared" si="97"/>
        <v>-0.39102043806262499</v>
      </c>
      <c r="IY34" s="5">
        <f t="shared" si="98"/>
        <v>0.255</v>
      </c>
      <c r="IZ34" s="5">
        <f t="shared" si="99"/>
        <v>0.255</v>
      </c>
      <c r="JA34" s="705">
        <f t="shared" si="100"/>
        <v>26.999996101682878</v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4.4392726783140954</v>
      </c>
      <c r="C35" s="572">
        <f t="shared" si="3"/>
        <v>0.76179852339491338</v>
      </c>
      <c r="D35" s="576">
        <f t="shared" si="4"/>
        <v>-0.86976760741104675</v>
      </c>
      <c r="E35" s="580">
        <f t="shared" si="5"/>
        <v>0.73243854669546282</v>
      </c>
      <c r="F35" s="572">
        <f t="shared" si="6"/>
        <v>0.12568964417883446</v>
      </c>
      <c r="G35" s="579">
        <f t="shared" si="7"/>
        <v>0.66913069624762889</v>
      </c>
      <c r="H35" s="580">
        <f t="shared" si="8"/>
        <v>0.255</v>
      </c>
      <c r="I35" s="572">
        <f t="shared" si="9"/>
        <v>0.41499999999999992</v>
      </c>
      <c r="J35" s="483">
        <f t="shared" si="10"/>
        <v>2.2280000000000002</v>
      </c>
      <c r="K35" s="806" t="str">
        <f t="shared" si="11"/>
        <v>CPS-32193r1</v>
      </c>
      <c r="L35" s="309"/>
      <c r="M35" s="164">
        <f t="shared" si="12"/>
        <v>2.2280000000000002</v>
      </c>
      <c r="N35" s="575">
        <f t="shared" si="13"/>
        <v>4.4392726783140954</v>
      </c>
      <c r="O35" s="572">
        <f t="shared" si="14"/>
        <v>0.76179852339491338</v>
      </c>
      <c r="P35" s="576">
        <f t="shared" si="15"/>
        <v>-0.86976760741104675</v>
      </c>
      <c r="Q35" s="528">
        <f t="shared" si="140"/>
        <v>9.7373623727245207</v>
      </c>
      <c r="R35" s="572">
        <f>IF(M35="","",SQRT(N35^2+O35^2))</f>
        <v>4.5041623974577867</v>
      </c>
      <c r="S35" s="577">
        <f>IF(M35="","",P35)</f>
        <v>-0.86976760741104675</v>
      </c>
      <c r="T35" s="578">
        <f>IF(M35="","",X35*COS(RADIANS(W35)))</f>
        <v>0.7953168113993806</v>
      </c>
      <c r="U35" s="572">
        <f>IF(M35="","",X35*SIN(RADIANS(W35)))</f>
        <v>-4.4333903586508372</v>
      </c>
      <c r="V35" s="579">
        <f>IF(M35="","",Y35)</f>
        <v>-0.86976760741104675</v>
      </c>
      <c r="W35" s="528">
        <f t="shared" si="253"/>
        <v>280.17025321859552</v>
      </c>
      <c r="X35" s="572">
        <f>IF(M35="","",R35)</f>
        <v>4.5041623974577867</v>
      </c>
      <c r="Y35" s="573">
        <f t="shared" si="255"/>
        <v>-0.86976760741104675</v>
      </c>
      <c r="Z35" s="575">
        <f t="shared" si="18"/>
        <v>-0.73243854669546282</v>
      </c>
      <c r="AA35" s="572">
        <f t="shared" si="19"/>
        <v>-0.12568964417883446</v>
      </c>
      <c r="AB35" s="572">
        <f t="shared" si="20"/>
        <v>-0.66913069624762889</v>
      </c>
      <c r="AC35" s="579">
        <f>IF(M35="","",SQRT(Z35^2+AA35^2+AB35^2))</f>
        <v>1</v>
      </c>
      <c r="AD35" s="580">
        <f>IF(M35="","",Z35*(1/SQRT(Z35^2+AA35^2+AB35^2)))</f>
        <v>-0.73243854669546282</v>
      </c>
      <c r="AE35" s="572">
        <f>IF(M35="","",AA35*(1/SQRT(Z35^2+AA35^2+AB35^2)))</f>
        <v>-0.12568964417883446</v>
      </c>
      <c r="AF35" s="576">
        <f>IF(M35="","",AB35*(1/SQRT(Z35^2+AA35^2+AB35^2)))</f>
        <v>-0.66913069624762889</v>
      </c>
      <c r="AG35" s="545">
        <f>IF(M35="","",DEGREES(ATAN2(-AF35,AE35)))</f>
        <v>-10.638484176701256</v>
      </c>
      <c r="AH35" s="546">
        <f>IF(M35="","",DEGREES(ACOS(AD35)))</f>
        <v>137.09121748477946</v>
      </c>
      <c r="AI35" s="528">
        <f>IF(M35="","",DEGREES(-ACOS(-AF35)))</f>
        <v>-47.999993069658444</v>
      </c>
      <c r="AJ35" s="529">
        <f>IF(M35="","",DEGREES(ATAN2(-AE35,AD35)))</f>
        <v>-80.262637627275467</v>
      </c>
      <c r="AK35" s="578">
        <f>IF(M35="","",(COS(RADIANS((90-$Q$8)-W35))*AD35)+(-SIN(RADIANS((90-$Q$8)-W35))*AE35))</f>
        <v>9.7144514654701197E-17</v>
      </c>
      <c r="AL35" s="572">
        <f>IF(M35="","",(SIN(RADIANS((90-$Q$8)-W35))*AD35)+(COS(RADIANS((90-$Q$8)-W35))*AE35))</f>
        <v>-0.74314474454117196</v>
      </c>
      <c r="AM35" s="577">
        <f>IF(M35="","",AF35)</f>
        <v>-0.66913069624762889</v>
      </c>
      <c r="AN35" s="524">
        <f>IF(M35="","",DEGREES(ATAN2(-AM35,AL35)))</f>
        <v>-47.999993069658451</v>
      </c>
      <c r="AO35" s="525">
        <f t="shared" si="116"/>
        <v>0</v>
      </c>
      <c r="AP35" s="528">
        <f>IF(M35="","",DEGREES(ATAN2(AK35,AL35)))</f>
        <v>-90</v>
      </c>
      <c r="AQ35" s="529">
        <f t="shared" si="21"/>
        <v>0.20245425833950426</v>
      </c>
      <c r="AS35" s="932">
        <f t="shared" si="143"/>
        <v>280.17025321859552</v>
      </c>
      <c r="AT35" s="928">
        <f t="shared" si="22"/>
        <v>-0.84833759392003372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>Taper</v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2.2280000000000002</v>
      </c>
      <c r="IJ35" s="674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2.1280000000000001</v>
      </c>
      <c r="IK35" s="677" cm="1">
        <f t="array" ref="IK35">IFERROR(ROUND(VALUE(IF($IJ35&lt;1,$IJ35+LARGE((IF($M$9:$M$150="",0,$M$9:$M$150)-MOD(IF($M$9:$M$150="",0,$M$9:$M$150),1)),1),$IJ35)),4),"")</f>
        <v>2.1280000000000001</v>
      </c>
      <c r="IL35" s="482">
        <f t="shared" si="88"/>
        <v>1613</v>
      </c>
      <c r="IM35" s="482" t="str">
        <f t="shared" si="237"/>
        <v>CPS-32193r1</v>
      </c>
      <c r="IN35" s="670">
        <f t="shared" si="90"/>
        <v>13.673426042183394</v>
      </c>
      <c r="IO35" s="702">
        <v>5.7545390664378998E-2</v>
      </c>
      <c r="IP35" s="5">
        <f t="shared" si="91"/>
        <v>1.98</v>
      </c>
      <c r="IQ35" s="714">
        <v>990</v>
      </c>
      <c r="IR35" s="9">
        <f t="shared" si="139"/>
        <v>-4.5186798771013077</v>
      </c>
      <c r="IS35" s="5">
        <f t="shared" si="92"/>
        <v>-0.83989448125825528</v>
      </c>
      <c r="IT35" s="5">
        <f t="shared" si="93"/>
        <v>0.3125</v>
      </c>
      <c r="IU35" s="5">
        <f t="shared" si="94"/>
        <v>0.29011748659593367</v>
      </c>
      <c r="IV35" s="670">
        <f t="shared" si="95"/>
        <v>47.834713669325687</v>
      </c>
      <c r="IW35" s="9">
        <f t="shared" si="96"/>
        <v>-4.5041623974577867</v>
      </c>
      <c r="IX35" s="5">
        <f t="shared" si="97"/>
        <v>-0.86976760741104675</v>
      </c>
      <c r="IY35" s="5">
        <f t="shared" si="98"/>
        <v>0.255</v>
      </c>
      <c r="IZ35" s="5">
        <f t="shared" si="99"/>
        <v>0.255</v>
      </c>
      <c r="JA35" s="705">
        <f t="shared" si="100"/>
        <v>47.999993069658451</v>
      </c>
    </row>
    <row r="36" spans="1:269" ht="15" customHeight="1" x14ac:dyDescent="0.25">
      <c r="A36" s="75">
        <f t="shared" si="1"/>
        <v>0</v>
      </c>
      <c r="B36" s="578">
        <f t="shared" si="2"/>
        <v>4.8028002956841052</v>
      </c>
      <c r="C36" s="572">
        <f t="shared" si="3"/>
        <v>0.87117548928701927</v>
      </c>
      <c r="D36" s="576">
        <f t="shared" si="4"/>
        <v>-1.533273003894158</v>
      </c>
      <c r="E36" s="580">
        <f t="shared" si="5"/>
        <v>0.91859092475169779</v>
      </c>
      <c r="F36" s="572">
        <f t="shared" si="6"/>
        <v>0.16662235551294891</v>
      </c>
      <c r="G36" s="579">
        <f t="shared" si="7"/>
        <v>0.3583681118726067</v>
      </c>
      <c r="H36" s="580">
        <f t="shared" si="8"/>
        <v>0.255</v>
      </c>
      <c r="I36" s="572">
        <f t="shared" si="9"/>
        <v>0.41499999999999992</v>
      </c>
      <c r="J36" s="483">
        <f t="shared" si="10"/>
        <v>2.234</v>
      </c>
      <c r="K36" s="806" t="str">
        <f t="shared" si="11"/>
        <v>CPS-32193r1</v>
      </c>
      <c r="L36" s="309"/>
      <c r="M36" s="164">
        <f t="shared" si="12"/>
        <v>2.234</v>
      </c>
      <c r="N36" s="575">
        <f t="shared" si="13"/>
        <v>4.8028002956841052</v>
      </c>
      <c r="O36" s="572">
        <f t="shared" si="14"/>
        <v>0.87117548928701927</v>
      </c>
      <c r="P36" s="576">
        <f t="shared" si="15"/>
        <v>-1.533273003894158</v>
      </c>
      <c r="Q36" s="528">
        <f t="shared" si="140"/>
        <v>10.2810452563924</v>
      </c>
      <c r="R36" s="572">
        <f>IF(M36="","",SQRT(N36^2+O36^2))</f>
        <v>4.8811717254525888</v>
      </c>
      <c r="S36" s="577">
        <f>IF(M36="","",P36)</f>
        <v>-1.533273003894158</v>
      </c>
      <c r="T36" s="578">
        <f>IF(M36="","",X36*COS(RADIANS(W36)))</f>
        <v>0.90743721521757115</v>
      </c>
      <c r="U36" s="572">
        <f>IF(M36="","",X36*SIN(RADIANS(W36)))</f>
        <v>-4.7960812246870868</v>
      </c>
      <c r="V36" s="579">
        <f>IF(M36="","",Y36)</f>
        <v>-1.533273003894158</v>
      </c>
      <c r="W36" s="528">
        <f t="shared" si="253"/>
        <v>280.7139361022634</v>
      </c>
      <c r="X36" s="572">
        <f>IF(M36="","",R36)</f>
        <v>4.8811717254525888</v>
      </c>
      <c r="Y36" s="573">
        <f t="shared" si="255"/>
        <v>-1.533273003894158</v>
      </c>
      <c r="Z36" s="575">
        <f t="shared" si="18"/>
        <v>-0.91859092475169779</v>
      </c>
      <c r="AA36" s="572">
        <f t="shared" si="19"/>
        <v>-0.16662235551294891</v>
      </c>
      <c r="AB36" s="572">
        <f t="shared" si="20"/>
        <v>-0.3583681118726067</v>
      </c>
      <c r="AC36" s="579">
        <f>IF(M36="","",SQRT(Z36^2+AA36^2+AB36^2))</f>
        <v>1</v>
      </c>
      <c r="AD36" s="580">
        <f>IF(M36="","",Z36*(1/SQRT(Z36^2+AA36^2+AB36^2)))</f>
        <v>-0.91859092475169779</v>
      </c>
      <c r="AE36" s="572">
        <f>IF(M36="","",AA36*(1/SQRT(Z36^2+AA36^2+AB36^2)))</f>
        <v>-0.16662235551294891</v>
      </c>
      <c r="AF36" s="576">
        <f>IF(M36="","",AB36*(1/SQRT(Z36^2+AA36^2+AB36^2)))</f>
        <v>-0.3583681118726067</v>
      </c>
      <c r="AG36" s="545">
        <f>IF(M36="","",DEGREES(ATAN2(-AF36,AE36)))</f>
        <v>-24.935954069020625</v>
      </c>
      <c r="AH36" s="546">
        <f>IF(M36="","",DEGREES(ACOS(AD36)))</f>
        <v>156.72094637397612</v>
      </c>
      <c r="AI36" s="528">
        <f>IF(M36="","",DEGREES(-ACOS(-AF36)))</f>
        <v>-68.999990037634035</v>
      </c>
      <c r="AJ36" s="529">
        <f>IF(M36="","",DEGREES(ATAN2(-AE36,AD36)))</f>
        <v>-79.71895474360764</v>
      </c>
      <c r="AK36" s="578">
        <f>IF(M36="","",(COS(RADIANS((90-$Q$8)-W36))*AD36)+(-SIN(RADIANS((90-$Q$8)-W36))*AE36))</f>
        <v>-5.2735593669694936E-16</v>
      </c>
      <c r="AL36" s="572">
        <f>IF(M36="","",(SIN(RADIANS((90-$Q$8)-W36))*AD36)+(COS(RADIANS((90-$Q$8)-W36))*AE36))</f>
        <v>-0.93358036418557067</v>
      </c>
      <c r="AM36" s="577">
        <f>IF(M36="","",AF36)</f>
        <v>-0.3583681118726067</v>
      </c>
      <c r="AN36" s="524">
        <f>IF(M36="","",DEGREES(ATAN2(-AM36,AL36)))</f>
        <v>-68.999990037634035</v>
      </c>
      <c r="AO36" s="525">
        <f t="shared" si="116"/>
        <v>0</v>
      </c>
      <c r="AP36" s="528">
        <f>IF(M36="","",DEGREES(ATAN2(AK36,AL36)))</f>
        <v>-90.000000000000028</v>
      </c>
      <c r="AQ36" s="529">
        <f t="shared" si="21"/>
        <v>0.18681732020949771</v>
      </c>
      <c r="AS36" s="932">
        <f t="shared" si="143"/>
        <v>280.7139361022634</v>
      </c>
      <c r="AT36" s="928">
        <f t="shared" si="22"/>
        <v>-1.5119940134263861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>Taper</v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6"/>
        <v>2.234</v>
      </c>
      <c r="IJ36" s="674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2.1339999999999999</v>
      </c>
      <c r="IK36" s="677" cm="1">
        <f t="array" ref="IK36">IFERROR(ROUND(VALUE(IF($IJ36&lt;1,$IJ36+LARGE((IF($M$9:$M$150="",0,$M$9:$M$150)-MOD(IF($M$9:$M$150="",0,$M$9:$M$150),1)),1),$IJ36)),4),"")</f>
        <v>2.1339999999999999</v>
      </c>
      <c r="IL36" s="482">
        <f t="shared" si="88"/>
        <v>1613</v>
      </c>
      <c r="IM36" s="482" t="str">
        <f t="shared" si="237"/>
        <v>CPS-32193r1</v>
      </c>
      <c r="IN36" s="670">
        <f t="shared" si="90"/>
        <v>12.582812059852813</v>
      </c>
      <c r="IO36" s="702">
        <v>5.0263646882176397E-2</v>
      </c>
      <c r="IP36" s="5">
        <f t="shared" si="91"/>
        <v>2.36</v>
      </c>
      <c r="IQ36" s="714">
        <v>1180</v>
      </c>
      <c r="IR36" s="9">
        <f t="shared" si="139"/>
        <v>-4.9033194043169575</v>
      </c>
      <c r="IS36" s="5">
        <f t="shared" si="92"/>
        <v>-1.5023874719178385</v>
      </c>
      <c r="IT36" s="5">
        <f t="shared" si="93"/>
        <v>0.3125</v>
      </c>
      <c r="IU36" s="5">
        <f t="shared" si="94"/>
        <v>0.28136480139397307</v>
      </c>
      <c r="IV36" s="670">
        <f t="shared" si="95"/>
        <v>66.440489504246187</v>
      </c>
      <c r="IW36" s="9">
        <f t="shared" si="96"/>
        <v>-4.8811717254525888</v>
      </c>
      <c r="IX36" s="5">
        <f t="shared" si="97"/>
        <v>-1.533273003894158</v>
      </c>
      <c r="IY36" s="5">
        <f t="shared" si="98"/>
        <v>0.255</v>
      </c>
      <c r="IZ36" s="5">
        <f t="shared" si="99"/>
        <v>0.255</v>
      </c>
      <c r="JA36" s="705">
        <f t="shared" si="100"/>
        <v>68.999990037634035</v>
      </c>
    </row>
    <row r="37" spans="1:269" ht="15" customHeight="1" x14ac:dyDescent="0.25">
      <c r="A37" s="75">
        <f t="shared" si="1"/>
        <v>0</v>
      </c>
      <c r="B37" s="578">
        <f t="shared" si="2"/>
        <v>4.9106516077882949</v>
      </c>
      <c r="C37" s="572">
        <f t="shared" si="3"/>
        <v>0.90191561988760793</v>
      </c>
      <c r="D37" s="576">
        <f t="shared" si="4"/>
        <v>-2.2818566031583245</v>
      </c>
      <c r="E37" s="580">
        <f t="shared" si="5"/>
        <v>0.98354861808118588</v>
      </c>
      <c r="F37" s="572">
        <f t="shared" si="6"/>
        <v>0.18064361563736017</v>
      </c>
      <c r="G37" s="579">
        <f t="shared" si="7"/>
        <v>2.2679489666832533E-7</v>
      </c>
      <c r="H37" s="580">
        <f t="shared" si="8"/>
        <v>0.255</v>
      </c>
      <c r="I37" s="572">
        <f t="shared" si="9"/>
        <v>0.41499999999999992</v>
      </c>
      <c r="J37" s="483">
        <f t="shared" si="10"/>
        <v>2.2400000000000002</v>
      </c>
      <c r="K37" s="806" t="str">
        <f t="shared" si="11"/>
        <v>CPS-32193r1</v>
      </c>
      <c r="L37" s="309"/>
      <c r="M37" s="164">
        <f t="shared" si="12"/>
        <v>2.2400000000000002</v>
      </c>
      <c r="N37" s="575">
        <f t="shared" si="13"/>
        <v>4.9106516077882949</v>
      </c>
      <c r="O37" s="572">
        <f t="shared" si="14"/>
        <v>0.90191561988760793</v>
      </c>
      <c r="P37" s="576">
        <f t="shared" si="15"/>
        <v>-2.2818566031583245</v>
      </c>
      <c r="Q37" s="528">
        <f t="shared" si="140"/>
        <v>10.407250831170924</v>
      </c>
      <c r="R37" s="572">
        <f t="shared" si="101"/>
        <v>4.9927899012947679</v>
      </c>
      <c r="S37" s="577">
        <f t="shared" si="102"/>
        <v>-2.2818566031583245</v>
      </c>
      <c r="T37" s="578">
        <f t="shared" si="103"/>
        <v>0.93899131731939245</v>
      </c>
      <c r="U37" s="572">
        <f t="shared" si="104"/>
        <v>-4.9036972076658456</v>
      </c>
      <c r="V37" s="579">
        <f t="shared" si="141"/>
        <v>-2.2818566031583245</v>
      </c>
      <c r="W37" s="528">
        <f t="shared" si="253"/>
        <v>280.84014167704191</v>
      </c>
      <c r="X37" s="572">
        <f t="shared" si="105"/>
        <v>4.9927899012947679</v>
      </c>
      <c r="Y37" s="573">
        <f t="shared" si="255"/>
        <v>-2.2818566031583245</v>
      </c>
      <c r="Z37" s="575">
        <f t="shared" si="18"/>
        <v>-0.98354861808118588</v>
      </c>
      <c r="AA37" s="572">
        <f t="shared" si="19"/>
        <v>-0.18064361563736017</v>
      </c>
      <c r="AB37" s="572">
        <f t="shared" si="20"/>
        <v>-2.2679489666832533E-7</v>
      </c>
      <c r="AC37" s="579">
        <f t="shared" si="106"/>
        <v>1</v>
      </c>
      <c r="AD37" s="580">
        <f t="shared" si="142"/>
        <v>-0.98354861808118588</v>
      </c>
      <c r="AE37" s="572">
        <f t="shared" si="107"/>
        <v>-0.18064361563736017</v>
      </c>
      <c r="AF37" s="576">
        <f t="shared" si="108"/>
        <v>-2.2679489666832533E-7</v>
      </c>
      <c r="AG37" s="545">
        <f t="shared" si="109"/>
        <v>-89.99992806615198</v>
      </c>
      <c r="AH37" s="546">
        <f t="shared" si="110"/>
        <v>169.59274916882109</v>
      </c>
      <c r="AI37" s="528">
        <f t="shared" si="111"/>
        <v>-89.999987005609611</v>
      </c>
      <c r="AJ37" s="529">
        <f t="shared" si="112"/>
        <v>-79.592749168829073</v>
      </c>
      <c r="AK37" s="578">
        <f t="shared" si="238"/>
        <v>2.4980018054066022E-16</v>
      </c>
      <c r="AL37" s="572">
        <f t="shared" si="113"/>
        <v>-0.99999999999997424</v>
      </c>
      <c r="AM37" s="577">
        <f t="shared" si="114"/>
        <v>-2.2679489666832533E-7</v>
      </c>
      <c r="AN37" s="524">
        <f t="shared" si="115"/>
        <v>-89.999987005609611</v>
      </c>
      <c r="AO37" s="525">
        <f t="shared" si="116"/>
        <v>0</v>
      </c>
      <c r="AP37" s="528">
        <f t="shared" si="117"/>
        <v>-89.999999999999986</v>
      </c>
      <c r="AQ37" s="529">
        <f t="shared" si="21"/>
        <v>0.18264088458182834</v>
      </c>
      <c r="AS37" s="932">
        <f t="shared" si="143"/>
        <v>280.84014167704191</v>
      </c>
      <c r="AT37" s="928">
        <f t="shared" si="22"/>
        <v>-2.2606126697946576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>Taper</v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2.2400000000000002</v>
      </c>
      <c r="IJ37" s="674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2.14</v>
      </c>
      <c r="IK37" s="677" cm="1">
        <f t="array" ref="IK37">IFERROR(ROUND(VALUE(IF($IJ37&lt;1,$IJ37+LARGE((IF($M$9:$M$150="",0,$M$9:$M$150)-MOD(IF($M$9:$M$150="",0,$M$9:$M$150),1)),1),$IJ37)),4),"")</f>
        <v>2.14</v>
      </c>
      <c r="IL37" s="482">
        <f t="shared" si="88"/>
        <v>1613</v>
      </c>
      <c r="IM37" s="482" t="str">
        <f t="shared" si="237"/>
        <v>CPS-32193r1</v>
      </c>
      <c r="IN37" s="670">
        <f t="shared" si="90"/>
        <v>12.271230721814675</v>
      </c>
      <c r="IO37" s="702">
        <v>4.8062200035360797E-2</v>
      </c>
      <c r="IP37" s="5">
        <f t="shared" si="91"/>
        <v>2.76</v>
      </c>
      <c r="IQ37" s="714">
        <v>1380</v>
      </c>
      <c r="IR37" s="9">
        <f t="shared" si="139"/>
        <v>-5.0270040657372688</v>
      </c>
      <c r="IS37" s="5">
        <f t="shared" si="92"/>
        <v>-2.2580846543450712</v>
      </c>
      <c r="IT37" s="5">
        <f t="shared" si="93"/>
        <v>0.3125</v>
      </c>
      <c r="IU37" s="5">
        <f t="shared" si="94"/>
        <v>0.27121974842239471</v>
      </c>
      <c r="IV37" s="670">
        <f t="shared" si="95"/>
        <v>84.969949372155938</v>
      </c>
      <c r="IW37" s="9">
        <f t="shared" si="96"/>
        <v>-4.9927899012947679</v>
      </c>
      <c r="IX37" s="5">
        <f t="shared" si="97"/>
        <v>-2.2818566031583245</v>
      </c>
      <c r="IY37" s="5">
        <f t="shared" si="98"/>
        <v>0.255</v>
      </c>
      <c r="IZ37" s="5">
        <f t="shared" si="99"/>
        <v>0.255</v>
      </c>
      <c r="JA37" s="705">
        <f t="shared" si="100"/>
        <v>89.999987005609611</v>
      </c>
    </row>
    <row r="38" spans="1:269" ht="15" customHeight="1" x14ac:dyDescent="0.25">
      <c r="A38" s="75">
        <f t="shared" si="1"/>
        <v>0</v>
      </c>
      <c r="B38" s="578">
        <f t="shared" si="2"/>
        <v>4.9383339706233738</v>
      </c>
      <c r="C38" s="572">
        <f t="shared" si="3"/>
        <v>0.90666493163973028</v>
      </c>
      <c r="D38" s="576">
        <f t="shared" si="4"/>
        <v>-3.0332440686800783</v>
      </c>
      <c r="E38" s="580">
        <f t="shared" si="5"/>
        <v>0.98356046955660281</v>
      </c>
      <c r="F38" s="572">
        <f t="shared" si="6"/>
        <v>0.18057907610114668</v>
      </c>
      <c r="G38" s="579">
        <f t="shared" si="7"/>
        <v>2.2679489658505858E-7</v>
      </c>
      <c r="H38" s="580">
        <f t="shared" si="8"/>
        <v>0.255</v>
      </c>
      <c r="I38" s="572">
        <f t="shared" si="9"/>
        <v>0.41499999999999992</v>
      </c>
      <c r="J38" s="483">
        <f t="shared" si="10"/>
        <v>2.246</v>
      </c>
      <c r="K38" s="806" t="str">
        <f t="shared" si="11"/>
        <v>CPS-32193r1</v>
      </c>
      <c r="L38" s="309"/>
      <c r="M38" s="164">
        <f t="shared" si="12"/>
        <v>2.246</v>
      </c>
      <c r="N38" s="575">
        <f t="shared" si="13"/>
        <v>4.9383339706233738</v>
      </c>
      <c r="O38" s="572">
        <f t="shared" si="14"/>
        <v>0.90666493163973028</v>
      </c>
      <c r="P38" s="576">
        <f t="shared" si="15"/>
        <v>-3.0332440686800783</v>
      </c>
      <c r="Q38" s="528">
        <f t="shared" si="140"/>
        <v>10.40349115860508</v>
      </c>
      <c r="R38" s="572">
        <f t="shared" si="101"/>
        <v>5.0208747946625891</v>
      </c>
      <c r="S38" s="577">
        <f t="shared" si="102"/>
        <v>-3.0332440686800783</v>
      </c>
      <c r="T38" s="578">
        <f t="shared" si="103"/>
        <v>0.94394964203761444</v>
      </c>
      <c r="U38" s="572">
        <f t="shared" si="104"/>
        <v>-4.9313428979310654</v>
      </c>
      <c r="V38" s="579">
        <f t="shared" si="141"/>
        <v>-3.0332440686800783</v>
      </c>
      <c r="W38" s="528">
        <f t="shared" si="253"/>
        <v>280.83638200447609</v>
      </c>
      <c r="X38" s="572">
        <f t="shared" si="105"/>
        <v>5.0208747946625891</v>
      </c>
      <c r="Y38" s="573">
        <f t="shared" si="255"/>
        <v>-3.0332440686800783</v>
      </c>
      <c r="Z38" s="575">
        <f t="shared" si="18"/>
        <v>-0.98356046955660281</v>
      </c>
      <c r="AA38" s="572">
        <f t="shared" si="19"/>
        <v>-0.18057907610114668</v>
      </c>
      <c r="AB38" s="572">
        <f t="shared" si="20"/>
        <v>-2.2679489658505858E-7</v>
      </c>
      <c r="AC38" s="579">
        <f t="shared" si="106"/>
        <v>1</v>
      </c>
      <c r="AD38" s="580">
        <f t="shared" si="142"/>
        <v>-0.98356046955660281</v>
      </c>
      <c r="AE38" s="572">
        <f t="shared" si="107"/>
        <v>-0.18057907610114668</v>
      </c>
      <c r="AF38" s="576">
        <f t="shared" si="108"/>
        <v>-2.2679489658505858E-7</v>
      </c>
      <c r="AG38" s="545">
        <f t="shared" si="109"/>
        <v>-89.999928040442612</v>
      </c>
      <c r="AH38" s="546">
        <f t="shared" si="110"/>
        <v>169.59650884138691</v>
      </c>
      <c r="AI38" s="528">
        <f t="shared" si="111"/>
        <v>-89.999987005609611</v>
      </c>
      <c r="AJ38" s="529">
        <f t="shared" si="112"/>
        <v>-79.59650884139495</v>
      </c>
      <c r="AK38" s="578">
        <f t="shared" si="238"/>
        <v>-6.9388939039072284E-16</v>
      </c>
      <c r="AL38" s="572">
        <f t="shared" si="113"/>
        <v>-0.99999999999997435</v>
      </c>
      <c r="AM38" s="577">
        <f t="shared" si="114"/>
        <v>-2.2679489658505858E-7</v>
      </c>
      <c r="AN38" s="524">
        <f t="shared" si="115"/>
        <v>-89.999987005609626</v>
      </c>
      <c r="AO38" s="525">
        <f t="shared" si="116"/>
        <v>0</v>
      </c>
      <c r="AP38" s="528">
        <f t="shared" si="117"/>
        <v>-90.000000000000043</v>
      </c>
      <c r="AQ38" s="529">
        <f t="shared" si="21"/>
        <v>0.18161926673217046</v>
      </c>
      <c r="AS38" s="932">
        <f t="shared" si="143"/>
        <v>280.83638200447609</v>
      </c>
      <c r="AT38" s="928">
        <f t="shared" si="22"/>
        <v>-3.0119990909629211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4"/>
        <v/>
      </c>
      <c r="BA38" s="296" t="str">
        <f t="shared" si="24"/>
        <v/>
      </c>
      <c r="BB38" s="190" t="str">
        <f t="shared" si="145"/>
        <v/>
      </c>
      <c r="BC38" s="9"/>
      <c r="BD38" s="5" t="str">
        <f t="shared" si="146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7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8"/>
        <v/>
      </c>
      <c r="BP38" s="5" t="str">
        <f t="shared" si="239"/>
        <v/>
      </c>
      <c r="BQ38" s="5" t="str">
        <f t="shared" si="149"/>
        <v/>
      </c>
      <c r="BR38" s="6" t="str">
        <f t="shared" si="150"/>
        <v/>
      </c>
      <c r="BS38" s="4" t="str">
        <f t="shared" si="118"/>
        <v/>
      </c>
      <c r="BT38" s="5" t="str">
        <f t="shared" si="118"/>
        <v/>
      </c>
      <c r="BU38" s="10" t="str">
        <f t="shared" si="119"/>
        <v/>
      </c>
      <c r="BV38" s="9" t="str">
        <f t="shared" si="120"/>
        <v/>
      </c>
      <c r="BW38" s="5" t="str">
        <f t="shared" si="121"/>
        <v/>
      </c>
      <c r="BX38" s="8" t="str">
        <f t="shared" si="122"/>
        <v/>
      </c>
      <c r="BY38" s="173" t="str">
        <f t="shared" si="123"/>
        <v/>
      </c>
      <c r="BZ38" s="5" t="str">
        <f t="shared" si="124"/>
        <v/>
      </c>
      <c r="CA38" s="6" t="str">
        <f t="shared" si="125"/>
        <v/>
      </c>
      <c r="CB38" s="4" t="str">
        <f t="shared" si="151"/>
        <v/>
      </c>
      <c r="CC38" s="5" t="str">
        <f t="shared" si="152"/>
        <v/>
      </c>
      <c r="CD38" s="5" t="str">
        <f t="shared" si="153"/>
        <v/>
      </c>
      <c r="CE38" s="6" t="str">
        <f t="shared" si="154"/>
        <v/>
      </c>
      <c r="CF38" s="4" t="str">
        <f t="shared" si="155"/>
        <v/>
      </c>
      <c r="CG38" s="5" t="str">
        <f t="shared" si="156"/>
        <v/>
      </c>
      <c r="CH38" s="5" t="str">
        <f t="shared" si="157"/>
        <v/>
      </c>
      <c r="CI38" s="4" t="str">
        <f t="shared" si="126"/>
        <v/>
      </c>
      <c r="CJ38" s="5" t="str">
        <f t="shared" si="127"/>
        <v/>
      </c>
      <c r="CK38" s="8" t="str">
        <f t="shared" si="128"/>
        <v/>
      </c>
      <c r="CL38" s="173" t="str">
        <f t="shared" si="129"/>
        <v/>
      </c>
      <c r="CM38" s="5" t="str">
        <f t="shared" si="130"/>
        <v/>
      </c>
      <c r="CN38" s="6" t="str">
        <f t="shared" si="131"/>
        <v/>
      </c>
      <c r="CO38" s="167" t="str">
        <f t="shared" si="35"/>
        <v/>
      </c>
      <c r="CP38" s="4" t="str">
        <f t="shared" si="240"/>
        <v/>
      </c>
      <c r="CQ38" s="5" t="str">
        <f t="shared" si="241"/>
        <v/>
      </c>
      <c r="CR38" s="5" t="str">
        <f t="shared" si="158"/>
        <v/>
      </c>
      <c r="CS38" s="8" t="str">
        <f t="shared" si="159"/>
        <v/>
      </c>
      <c r="CT38" s="9" t="str">
        <f t="shared" si="160"/>
        <v/>
      </c>
      <c r="CU38" s="6" t="str">
        <f t="shared" si="161"/>
        <v/>
      </c>
      <c r="CV38" s="4" t="str">
        <f t="shared" si="242"/>
        <v/>
      </c>
      <c r="CW38" s="5" t="str">
        <f t="shared" si="162"/>
        <v/>
      </c>
      <c r="CX38" s="8" t="str">
        <f t="shared" si="163"/>
        <v/>
      </c>
      <c r="CY38" s="9" t="str">
        <f t="shared" si="164"/>
        <v/>
      </c>
      <c r="CZ38" s="5" t="str">
        <f t="shared" si="165"/>
        <v/>
      </c>
      <c r="DA38" s="6" t="str">
        <f t="shared" si="166"/>
        <v/>
      </c>
      <c r="DB38" s="4" t="str">
        <f t="shared" si="167"/>
        <v/>
      </c>
      <c r="DC38" s="5" t="str">
        <f t="shared" si="167"/>
        <v/>
      </c>
      <c r="DD38" s="10" t="str">
        <f t="shared" si="168"/>
        <v/>
      </c>
      <c r="DE38" s="9" t="str">
        <f t="shared" si="169"/>
        <v/>
      </c>
      <c r="DF38" s="5" t="str">
        <f t="shared" si="169"/>
        <v/>
      </c>
      <c r="DG38" s="10" t="str">
        <f t="shared" si="170"/>
        <v/>
      </c>
      <c r="DH38" s="70" t="str">
        <f t="shared" si="171"/>
        <v/>
      </c>
      <c r="DI38" s="4" t="str">
        <f t="shared" si="172"/>
        <v/>
      </c>
      <c r="DJ38" s="5" t="str">
        <f t="shared" si="173"/>
        <v/>
      </c>
      <c r="DK38" s="10" t="str">
        <f t="shared" si="174"/>
        <v/>
      </c>
      <c r="DL38" s="9" t="str">
        <f t="shared" si="175"/>
        <v/>
      </c>
      <c r="DM38" s="173" t="str">
        <f t="shared" si="176"/>
        <v/>
      </c>
      <c r="DN38" s="178" t="str">
        <f t="shared" si="177"/>
        <v/>
      </c>
      <c r="DO38" s="9" t="str">
        <f t="shared" si="178"/>
        <v/>
      </c>
      <c r="DP38" s="173" t="str">
        <f t="shared" si="179"/>
        <v/>
      </c>
      <c r="DQ38" s="11" t="str">
        <f t="shared" si="180"/>
        <v/>
      </c>
      <c r="DR38" s="173" t="str">
        <f t="shared" si="181"/>
        <v/>
      </c>
      <c r="DS38" s="5" t="str">
        <f t="shared" si="182"/>
        <v/>
      </c>
      <c r="DT38" s="5" t="str">
        <f t="shared" si="183"/>
        <v/>
      </c>
      <c r="DU38" s="5" t="str">
        <f t="shared" si="184"/>
        <v/>
      </c>
      <c r="DV38" s="5" t="str">
        <f t="shared" si="185"/>
        <v/>
      </c>
      <c r="DW38" s="5" t="str">
        <f t="shared" si="186"/>
        <v/>
      </c>
      <c r="DX38" s="167" t="str">
        <f t="shared" si="187"/>
        <v/>
      </c>
      <c r="DY38" s="9" t="str">
        <f t="shared" si="188"/>
        <v/>
      </c>
      <c r="DZ38" s="5" t="str">
        <f t="shared" si="189"/>
        <v/>
      </c>
      <c r="EA38" s="10" t="str">
        <f t="shared" si="190"/>
        <v/>
      </c>
      <c r="EB38" s="6" t="str">
        <f t="shared" si="191"/>
        <v/>
      </c>
      <c r="EC38" s="173" t="str">
        <f t="shared" si="192"/>
        <v/>
      </c>
      <c r="ED38" s="5" t="str">
        <f t="shared" si="193"/>
        <v/>
      </c>
      <c r="EE38" s="4" t="str">
        <f t="shared" si="194"/>
        <v/>
      </c>
      <c r="EF38" s="5" t="str">
        <f t="shared" si="195"/>
        <v/>
      </c>
      <c r="EG38" s="10" t="str">
        <f t="shared" si="196"/>
        <v/>
      </c>
      <c r="EH38" s="9" t="str">
        <f t="shared" si="197"/>
        <v/>
      </c>
      <c r="EI38" s="5" t="str">
        <f t="shared" si="198"/>
        <v/>
      </c>
      <c r="EJ38" s="6" t="str">
        <f t="shared" si="199"/>
        <v/>
      </c>
      <c r="EK38" s="236" t="str">
        <f t="shared" si="200"/>
        <v/>
      </c>
      <c r="EL38" s="238" t="str">
        <f t="shared" si="201"/>
        <v/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str">
        <f t="shared" si="205"/>
        <v/>
      </c>
      <c r="EQ38" s="5" t="str">
        <f t="shared" si="206"/>
        <v/>
      </c>
      <c r="ER38" s="7" t="str">
        <f t="shared" si="207"/>
        <v/>
      </c>
      <c r="ES38" s="21" t="str">
        <f t="shared" si="132"/>
        <v/>
      </c>
      <c r="ET38" s="5" t="str">
        <f t="shared" si="44"/>
        <v/>
      </c>
      <c r="EU38" s="10" t="str">
        <f t="shared" si="45"/>
        <v/>
      </c>
      <c r="EV38" s="174" t="str">
        <f t="shared" si="254"/>
        <v/>
      </c>
      <c r="EW38" s="9" t="str">
        <f t="shared" si="133"/>
        <v/>
      </c>
      <c r="EX38" s="5" t="str">
        <f t="shared" si="47"/>
        <v/>
      </c>
      <c r="EY38" s="6" t="str">
        <f t="shared" si="208"/>
        <v/>
      </c>
      <c r="EZ38" s="51" t="str">
        <f t="shared" si="209"/>
        <v/>
      </c>
      <c r="FA38" s="266" t="str">
        <f t="shared" si="134"/>
        <v/>
      </c>
      <c r="FB38" s="267" t="str">
        <f t="shared" si="135"/>
        <v/>
      </c>
      <c r="FC38" s="269" t="str">
        <f t="shared" si="48"/>
        <v/>
      </c>
      <c r="FD38" s="4" t="str">
        <f t="shared" si="136"/>
        <v/>
      </c>
      <c r="FE38" s="5" t="str">
        <f t="shared" si="49"/>
        <v/>
      </c>
      <c r="FF38" s="7" t="str">
        <f t="shared" si="210"/>
        <v/>
      </c>
      <c r="FG38" s="173" t="str">
        <f t="shared" si="211"/>
        <v/>
      </c>
      <c r="FH38" s="5" t="str">
        <f t="shared" si="50"/>
        <v/>
      </c>
      <c r="FI38" s="10" t="str">
        <f t="shared" si="51"/>
        <v/>
      </c>
      <c r="FJ38" s="279" t="str">
        <f t="shared" si="212"/>
        <v/>
      </c>
      <c r="FK38" s="4" t="str">
        <f t="shared" si="52"/>
        <v/>
      </c>
      <c r="FL38" s="5" t="str">
        <f t="shared" si="213"/>
        <v/>
      </c>
      <c r="FM38" s="8" t="str">
        <f t="shared" si="214"/>
        <v/>
      </c>
      <c r="FN38" s="9" t="str">
        <f t="shared" si="215"/>
        <v/>
      </c>
      <c r="FO38" s="10" t="str">
        <f t="shared" si="53"/>
        <v/>
      </c>
      <c r="FP38" s="277" t="str">
        <f t="shared" si="54"/>
        <v/>
      </c>
      <c r="FQ38" s="173" t="str">
        <f t="shared" si="243"/>
        <v/>
      </c>
      <c r="FR38" s="10" t="str">
        <f t="shared" si="216"/>
        <v/>
      </c>
      <c r="FS38" s="9" t="str">
        <f t="shared" si="217"/>
        <v/>
      </c>
      <c r="FT38" s="6" t="str">
        <f t="shared" si="218"/>
        <v/>
      </c>
      <c r="FU38" s="4" t="str">
        <f t="shared" si="219"/>
        <v/>
      </c>
      <c r="FV38" s="5" t="str">
        <f t="shared" si="220"/>
        <v/>
      </c>
      <c r="FW38" s="8" t="str">
        <f t="shared" si="244"/>
        <v/>
      </c>
      <c r="FX38" s="9" t="str">
        <f t="shared" si="245"/>
        <v/>
      </c>
      <c r="FY38" s="10" t="str">
        <f t="shared" si="55"/>
        <v/>
      </c>
      <c r="FZ38" s="277" t="str">
        <f t="shared" si="246"/>
        <v/>
      </c>
      <c r="GA38" s="177" t="str">
        <f t="shared" si="221"/>
        <v/>
      </c>
      <c r="GB38" s="4" t="str">
        <f t="shared" si="222"/>
        <v/>
      </c>
      <c r="GC38" s="5" t="str">
        <f t="shared" si="223"/>
        <v/>
      </c>
      <c r="GD38" s="10" t="str">
        <f t="shared" si="224"/>
        <v/>
      </c>
      <c r="GE38" s="311" t="str">
        <f t="shared" si="225"/>
        <v/>
      </c>
      <c r="GF38" s="341" t="str">
        <f t="shared" si="247"/>
        <v/>
      </c>
      <c r="GG38" s="285" t="str">
        <f t="shared" si="56"/>
        <v/>
      </c>
      <c r="GH38" s="286" t="str">
        <f t="shared" si="57"/>
        <v/>
      </c>
      <c r="GI38" s="281" t="str">
        <f t="shared" si="58"/>
        <v/>
      </c>
      <c r="GJ38" s="167" t="str">
        <f t="shared" si="226"/>
        <v/>
      </c>
      <c r="GK38" s="174" t="str">
        <f t="shared" si="59"/>
        <v/>
      </c>
      <c r="GL38" s="174" t="str">
        <f t="shared" si="227"/>
        <v/>
      </c>
      <c r="GM38" s="177" t="str">
        <f t="shared" si="248"/>
        <v/>
      </c>
      <c r="GN38" s="280" t="str">
        <f t="shared" si="228"/>
        <v/>
      </c>
      <c r="GO38" s="4" t="str">
        <f t="shared" si="229"/>
        <v/>
      </c>
      <c r="GP38" s="8" t="str">
        <f t="shared" si="249"/>
        <v/>
      </c>
      <c r="GQ38" s="177" t="str">
        <f t="shared" si="230"/>
        <v/>
      </c>
      <c r="GR38" s="371" t="str">
        <f t="shared" si="250"/>
        <v/>
      </c>
      <c r="GS38" s="342" t="str">
        <f t="shared" si="61"/>
        <v/>
      </c>
      <c r="GT38" s="343" t="str">
        <f t="shared" si="62"/>
        <v/>
      </c>
      <c r="GU38" s="344" t="str">
        <f t="shared" si="63"/>
        <v/>
      </c>
      <c r="GV38" s="343" t="str">
        <f t="shared" si="252"/>
        <v/>
      </c>
      <c r="GW38" s="345" t="str">
        <f t="shared" si="64"/>
        <v/>
      </c>
      <c r="GX38" s="346" t="str">
        <f t="shared" si="65"/>
        <v/>
      </c>
      <c r="GY38" s="344" t="str">
        <f t="shared" si="66"/>
        <v/>
      </c>
      <c r="GZ38" s="345" t="str">
        <f t="shared" si="67"/>
        <v/>
      </c>
      <c r="HA38" s="342" t="str">
        <f t="shared" si="68"/>
        <v/>
      </c>
      <c r="HB38" s="5" t="str">
        <f t="shared" si="231"/>
        <v/>
      </c>
      <c r="HC38" s="343" t="str">
        <f t="shared" si="232"/>
        <v/>
      </c>
      <c r="HD38" s="363" t="str">
        <f t="shared" si="233"/>
        <v/>
      </c>
      <c r="HE38" s="344" t="str">
        <f t="shared" si="69"/>
        <v/>
      </c>
      <c r="HF38" s="5" t="str">
        <f t="shared" si="70"/>
        <v/>
      </c>
      <c r="HG38" s="343" t="str">
        <f t="shared" si="234"/>
        <v/>
      </c>
      <c r="HH38" s="349" t="str">
        <f t="shared" si="235"/>
        <v/>
      </c>
      <c r="HI38" s="317" t="str">
        <f t="shared" si="71"/>
        <v/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>Taper</v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2.246</v>
      </c>
      <c r="IJ38" s="674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2.1459999999999999</v>
      </c>
      <c r="IK38" s="677" cm="1">
        <f t="array" ref="IK38">IFERROR(ROUND(VALUE(IF($IJ38&lt;1,$IJ38+LARGE((IF($M$9:$M$150="",0,$M$9:$M$150)-MOD(IF($M$9:$M$150="",0,$M$9:$M$150),1)),1),$IJ38)),4),"")</f>
        <v>2.1459999999999999</v>
      </c>
      <c r="IL38" s="482">
        <f t="shared" si="88"/>
        <v>1613</v>
      </c>
      <c r="IM38" s="482" t="str">
        <f t="shared" si="237"/>
        <v>CPS-32193r1</v>
      </c>
      <c r="IN38" s="670">
        <f t="shared" si="90"/>
        <v>12.202087403953328</v>
      </c>
      <c r="IO38" s="702">
        <v>4.8104159123766498E-2</v>
      </c>
      <c r="IP38" s="5">
        <f t="shared" si="91"/>
        <v>2.78</v>
      </c>
      <c r="IQ38" s="714">
        <v>1390</v>
      </c>
      <c r="IR38" s="9">
        <f t="shared" si="139"/>
        <v>-5.0550887932628417</v>
      </c>
      <c r="IS38" s="5">
        <f t="shared" si="92"/>
        <v>-3.0095891874135794</v>
      </c>
      <c r="IT38" s="5">
        <f t="shared" si="93"/>
        <v>0.3125</v>
      </c>
      <c r="IU38" s="5">
        <f t="shared" si="94"/>
        <v>0.27121678779184555</v>
      </c>
      <c r="IV38" s="670">
        <f t="shared" si="95"/>
        <v>84.97011741683842</v>
      </c>
      <c r="IW38" s="9">
        <f t="shared" si="96"/>
        <v>-5.0208747946625891</v>
      </c>
      <c r="IX38" s="5">
        <f t="shared" si="97"/>
        <v>-3.0332440686800783</v>
      </c>
      <c r="IY38" s="5">
        <f t="shared" si="98"/>
        <v>0.255</v>
      </c>
      <c r="IZ38" s="5">
        <f t="shared" si="99"/>
        <v>0.255</v>
      </c>
      <c r="JA38" s="705">
        <f t="shared" si="100"/>
        <v>89.999987005609626</v>
      </c>
    </row>
    <row r="39" spans="1:269" ht="15" customHeight="1" x14ac:dyDescent="0.25">
      <c r="A39" s="75">
        <f t="shared" si="1"/>
        <v>0.02</v>
      </c>
      <c r="B39" s="578">
        <f t="shared" si="2"/>
        <v>-3.6740706560870202</v>
      </c>
      <c r="C39" s="572">
        <f t="shared" si="3"/>
        <v>3.5693081595486906</v>
      </c>
      <c r="D39" s="576">
        <f t="shared" si="4"/>
        <v>-9.4977962776039639</v>
      </c>
      <c r="E39" s="580">
        <f t="shared" si="5"/>
        <v>-0.9874972864664342</v>
      </c>
      <c r="F39" s="572">
        <f t="shared" si="6"/>
        <v>-0.11131203729457491</v>
      </c>
      <c r="G39" s="579">
        <f t="shared" si="7"/>
        <v>-0.11161872412261598</v>
      </c>
      <c r="H39" s="580">
        <f t="shared" si="8"/>
        <v>0.26450000000000001</v>
      </c>
      <c r="I39" s="572">
        <f t="shared" si="9"/>
        <v>0.52</v>
      </c>
      <c r="J39" s="483">
        <f t="shared" si="10"/>
        <v>2.2519999999999998</v>
      </c>
      <c r="K39" s="806">
        <f t="shared" si="11"/>
        <v>1313</v>
      </c>
      <c r="L39" s="309"/>
      <c r="M39" s="164">
        <f t="shared" si="12"/>
        <v>2.2519999999999998</v>
      </c>
      <c r="N39" s="575">
        <f t="shared" si="13"/>
        <v>-3.6740706560870202</v>
      </c>
      <c r="O39" s="572">
        <f t="shared" si="14"/>
        <v>3.5693081595486906</v>
      </c>
      <c r="P39" s="576">
        <f t="shared" si="15"/>
        <v>-9.4977962776039639</v>
      </c>
      <c r="Q39" s="528">
        <f t="shared" si="140"/>
        <v>135.82862301815857</v>
      </c>
      <c r="R39" s="572">
        <f t="shared" si="101"/>
        <v>5.1223779559634774</v>
      </c>
      <c r="S39" s="577">
        <f t="shared" si="102"/>
        <v>-9.4977962776039639</v>
      </c>
      <c r="T39" s="578">
        <f t="shared" si="103"/>
        <v>3.5414475843281426</v>
      </c>
      <c r="U39" s="572">
        <f t="shared" si="104"/>
        <v>3.7009329811814933</v>
      </c>
      <c r="V39" s="579">
        <f t="shared" si="141"/>
        <v>-9.4977962776039639</v>
      </c>
      <c r="W39" s="528">
        <f t="shared" si="253"/>
        <v>46.261513864029553</v>
      </c>
      <c r="X39" s="572">
        <f t="shared" si="105"/>
        <v>5.1223779559634774</v>
      </c>
      <c r="Y39" s="573">
        <f t="shared" si="255"/>
        <v>-9.4977962776039639</v>
      </c>
      <c r="Z39" s="575">
        <f t="shared" si="18"/>
        <v>0.9874972864664342</v>
      </c>
      <c r="AA39" s="572">
        <f t="shared" si="19"/>
        <v>0.11131203729457491</v>
      </c>
      <c r="AB39" s="572">
        <f t="shared" si="20"/>
        <v>0.11161872412261598</v>
      </c>
      <c r="AC39" s="579">
        <f t="shared" si="106"/>
        <v>1</v>
      </c>
      <c r="AD39" s="580">
        <f t="shared" si="142"/>
        <v>0.9874972864664342</v>
      </c>
      <c r="AE39" s="572">
        <f t="shared" si="107"/>
        <v>0.11131203729457491</v>
      </c>
      <c r="AF39" s="576">
        <f t="shared" si="108"/>
        <v>0.11161872412261598</v>
      </c>
      <c r="AG39" s="545">
        <f t="shared" si="109"/>
        <v>135.07882200590905</v>
      </c>
      <c r="AH39" s="546">
        <f t="shared" si="110"/>
        <v>9.0697078841934715</v>
      </c>
      <c r="AI39" s="528">
        <f t="shared" si="111"/>
        <v>-96.408636339561312</v>
      </c>
      <c r="AJ39" s="529">
        <f t="shared" si="112"/>
        <v>96.431310912452858</v>
      </c>
      <c r="AK39" s="578">
        <f t="shared" si="238"/>
        <v>0.76793443315336329</v>
      </c>
      <c r="AL39" s="572">
        <f t="shared" si="113"/>
        <v>-0.63072812431558978</v>
      </c>
      <c r="AM39" s="577">
        <f t="shared" si="114"/>
        <v>0.11161872412261598</v>
      </c>
      <c r="AN39" s="524">
        <f t="shared" si="115"/>
        <v>-100.03561890671624</v>
      </c>
      <c r="AO39" s="525">
        <f t="shared" si="116"/>
        <v>39.831236627249659</v>
      </c>
      <c r="AP39" s="528">
        <f t="shared" si="117"/>
        <v>-39.397312105705716</v>
      </c>
      <c r="AQ39" s="529">
        <f t="shared" si="21"/>
        <v>0.17802038940560674</v>
      </c>
      <c r="AS39" s="932">
        <f t="shared" si="143"/>
        <v>406.26151386402955</v>
      </c>
      <c r="AT39" s="928">
        <f t="shared" si="22"/>
        <v>-9.5113916142922381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4"/>
        <v/>
      </c>
      <c r="BA39" s="296" t="str">
        <f t="shared" si="24"/>
        <v/>
      </c>
      <c r="BB39" s="190" t="str">
        <f t="shared" si="145"/>
        <v/>
      </c>
      <c r="BC39" s="9"/>
      <c r="BD39" s="5" t="str">
        <f t="shared" si="146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7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8"/>
        <v/>
      </c>
      <c r="BP39" s="5" t="str">
        <f t="shared" si="239"/>
        <v/>
      </c>
      <c r="BQ39" s="5" t="str">
        <f t="shared" si="149"/>
        <v/>
      </c>
      <c r="BR39" s="6" t="str">
        <f t="shared" si="150"/>
        <v/>
      </c>
      <c r="BS39" s="4" t="str">
        <f t="shared" si="118"/>
        <v/>
      </c>
      <c r="BT39" s="5" t="str">
        <f t="shared" si="118"/>
        <v/>
      </c>
      <c r="BU39" s="10" t="str">
        <f t="shared" si="119"/>
        <v/>
      </c>
      <c r="BV39" s="9" t="str">
        <f t="shared" si="120"/>
        <v/>
      </c>
      <c r="BW39" s="5" t="str">
        <f t="shared" si="121"/>
        <v/>
      </c>
      <c r="BX39" s="8" t="str">
        <f t="shared" si="122"/>
        <v/>
      </c>
      <c r="BY39" s="173" t="str">
        <f t="shared" si="123"/>
        <v/>
      </c>
      <c r="BZ39" s="5" t="str">
        <f t="shared" si="124"/>
        <v/>
      </c>
      <c r="CA39" s="6" t="str">
        <f t="shared" si="125"/>
        <v/>
      </c>
      <c r="CB39" s="4" t="str">
        <f t="shared" si="151"/>
        <v/>
      </c>
      <c r="CC39" s="5" t="str">
        <f t="shared" si="152"/>
        <v/>
      </c>
      <c r="CD39" s="5" t="str">
        <f t="shared" si="153"/>
        <v/>
      </c>
      <c r="CE39" s="6" t="str">
        <f t="shared" si="154"/>
        <v/>
      </c>
      <c r="CF39" s="4" t="str">
        <f t="shared" si="155"/>
        <v/>
      </c>
      <c r="CG39" s="5" t="str">
        <f t="shared" si="156"/>
        <v/>
      </c>
      <c r="CH39" s="5" t="str">
        <f t="shared" si="157"/>
        <v/>
      </c>
      <c r="CI39" s="4" t="str">
        <f t="shared" si="126"/>
        <v/>
      </c>
      <c r="CJ39" s="5" t="str">
        <f t="shared" si="127"/>
        <v/>
      </c>
      <c r="CK39" s="8" t="str">
        <f t="shared" si="128"/>
        <v/>
      </c>
      <c r="CL39" s="173" t="str">
        <f t="shared" si="129"/>
        <v/>
      </c>
      <c r="CM39" s="5" t="str">
        <f t="shared" si="130"/>
        <v/>
      </c>
      <c r="CN39" s="6" t="str">
        <f t="shared" si="131"/>
        <v/>
      </c>
      <c r="CO39" s="167" t="str">
        <f t="shared" si="35"/>
        <v/>
      </c>
      <c r="CP39" s="4" t="str">
        <f t="shared" si="240"/>
        <v/>
      </c>
      <c r="CQ39" s="5" t="str">
        <f t="shared" si="241"/>
        <v/>
      </c>
      <c r="CR39" s="5" t="str">
        <f t="shared" si="158"/>
        <v/>
      </c>
      <c r="CS39" s="8" t="str">
        <f t="shared" si="159"/>
        <v/>
      </c>
      <c r="CT39" s="9" t="str">
        <f t="shared" si="160"/>
        <v/>
      </c>
      <c r="CU39" s="6" t="str">
        <f t="shared" si="161"/>
        <v/>
      </c>
      <c r="CV39" s="4" t="str">
        <f t="shared" si="242"/>
        <v/>
      </c>
      <c r="CW39" s="5" t="str">
        <f t="shared" si="162"/>
        <v/>
      </c>
      <c r="CX39" s="8" t="str">
        <f t="shared" si="163"/>
        <v/>
      </c>
      <c r="CY39" s="9" t="str">
        <f t="shared" si="164"/>
        <v/>
      </c>
      <c r="CZ39" s="5" t="str">
        <f t="shared" si="165"/>
        <v/>
      </c>
      <c r="DA39" s="6" t="str">
        <f t="shared" si="166"/>
        <v/>
      </c>
      <c r="DB39" s="4" t="str">
        <f t="shared" si="167"/>
        <v/>
      </c>
      <c r="DC39" s="5" t="str">
        <f t="shared" si="167"/>
        <v/>
      </c>
      <c r="DD39" s="10" t="str">
        <f t="shared" si="168"/>
        <v/>
      </c>
      <c r="DE39" s="9" t="str">
        <f t="shared" si="169"/>
        <v/>
      </c>
      <c r="DF39" s="5" t="str">
        <f t="shared" si="169"/>
        <v/>
      </c>
      <c r="DG39" s="10" t="str">
        <f t="shared" si="170"/>
        <v/>
      </c>
      <c r="DH39" s="70" t="str">
        <f t="shared" si="171"/>
        <v/>
      </c>
      <c r="DI39" s="4" t="str">
        <f t="shared" si="172"/>
        <v/>
      </c>
      <c r="DJ39" s="5" t="str">
        <f t="shared" si="173"/>
        <v/>
      </c>
      <c r="DK39" s="10" t="str">
        <f t="shared" si="174"/>
        <v/>
      </c>
      <c r="DL39" s="9" t="str">
        <f t="shared" si="175"/>
        <v/>
      </c>
      <c r="DM39" s="173" t="str">
        <f t="shared" si="176"/>
        <v/>
      </c>
      <c r="DN39" s="178" t="str">
        <f t="shared" si="177"/>
        <v/>
      </c>
      <c r="DO39" s="9" t="str">
        <f t="shared" si="178"/>
        <v/>
      </c>
      <c r="DP39" s="173" t="str">
        <f t="shared" si="179"/>
        <v/>
      </c>
      <c r="DQ39" s="11" t="str">
        <f t="shared" si="180"/>
        <v/>
      </c>
      <c r="DR39" s="173" t="str">
        <f t="shared" si="181"/>
        <v/>
      </c>
      <c r="DS39" s="5" t="str">
        <f t="shared" si="182"/>
        <v/>
      </c>
      <c r="DT39" s="5" t="str">
        <f t="shared" si="183"/>
        <v/>
      </c>
      <c r="DU39" s="5" t="str">
        <f t="shared" si="184"/>
        <v/>
      </c>
      <c r="DV39" s="5" t="str">
        <f t="shared" si="185"/>
        <v/>
      </c>
      <c r="DW39" s="5" t="str">
        <f t="shared" si="186"/>
        <v/>
      </c>
      <c r="DX39" s="167" t="str">
        <f t="shared" si="187"/>
        <v/>
      </c>
      <c r="DY39" s="9" t="str">
        <f t="shared" si="188"/>
        <v/>
      </c>
      <c r="DZ39" s="5" t="str">
        <f t="shared" si="189"/>
        <v/>
      </c>
      <c r="EA39" s="10" t="str">
        <f t="shared" si="190"/>
        <v/>
      </c>
      <c r="EB39" s="6" t="str">
        <f t="shared" si="191"/>
        <v/>
      </c>
      <c r="EC39" s="173" t="str">
        <f t="shared" si="192"/>
        <v/>
      </c>
      <c r="ED39" s="5" t="str">
        <f t="shared" si="193"/>
        <v/>
      </c>
      <c r="EE39" s="4" t="str">
        <f t="shared" si="194"/>
        <v/>
      </c>
      <c r="EF39" s="5" t="str">
        <f t="shared" si="195"/>
        <v/>
      </c>
      <c r="EG39" s="10" t="str">
        <f t="shared" si="196"/>
        <v/>
      </c>
      <c r="EH39" s="9" t="str">
        <f t="shared" si="197"/>
        <v/>
      </c>
      <c r="EI39" s="5" t="str">
        <f t="shared" si="198"/>
        <v/>
      </c>
      <c r="EJ39" s="6" t="str">
        <f t="shared" si="199"/>
        <v/>
      </c>
      <c r="EK39" s="236" t="str">
        <f t="shared" si="200"/>
        <v/>
      </c>
      <c r="EL39" s="238" t="str">
        <f t="shared" si="201"/>
        <v/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str">
        <f t="shared" si="205"/>
        <v/>
      </c>
      <c r="EQ39" s="5" t="str">
        <f t="shared" si="206"/>
        <v/>
      </c>
      <c r="ER39" s="7" t="str">
        <f t="shared" si="207"/>
        <v/>
      </c>
      <c r="ES39" s="21" t="str">
        <f t="shared" si="132"/>
        <v/>
      </c>
      <c r="ET39" s="5" t="str">
        <f t="shared" si="44"/>
        <v/>
      </c>
      <c r="EU39" s="10" t="str">
        <f t="shared" si="45"/>
        <v/>
      </c>
      <c r="EV39" s="174" t="str">
        <f t="shared" si="254"/>
        <v/>
      </c>
      <c r="EW39" s="9" t="str">
        <f t="shared" si="133"/>
        <v/>
      </c>
      <c r="EX39" s="5" t="str">
        <f t="shared" si="47"/>
        <v/>
      </c>
      <c r="EY39" s="6" t="str">
        <f t="shared" si="208"/>
        <v/>
      </c>
      <c r="EZ39" s="51" t="str">
        <f t="shared" si="209"/>
        <v/>
      </c>
      <c r="FA39" s="266" t="str">
        <f t="shared" si="134"/>
        <v/>
      </c>
      <c r="FB39" s="267" t="str">
        <f t="shared" si="135"/>
        <v/>
      </c>
      <c r="FC39" s="269" t="str">
        <f t="shared" si="48"/>
        <v/>
      </c>
      <c r="FD39" s="4" t="str">
        <f t="shared" si="136"/>
        <v/>
      </c>
      <c r="FE39" s="5" t="str">
        <f t="shared" si="49"/>
        <v/>
      </c>
      <c r="FF39" s="7" t="str">
        <f t="shared" si="210"/>
        <v/>
      </c>
      <c r="FG39" s="173" t="str">
        <f t="shared" si="211"/>
        <v/>
      </c>
      <c r="FH39" s="5" t="str">
        <f t="shared" si="50"/>
        <v/>
      </c>
      <c r="FI39" s="10" t="str">
        <f t="shared" si="51"/>
        <v/>
      </c>
      <c r="FJ39" s="279" t="str">
        <f t="shared" si="212"/>
        <v/>
      </c>
      <c r="FK39" s="4" t="str">
        <f t="shared" si="52"/>
        <v/>
      </c>
      <c r="FL39" s="5" t="str">
        <f t="shared" si="213"/>
        <v/>
      </c>
      <c r="FM39" s="8" t="str">
        <f t="shared" si="214"/>
        <v/>
      </c>
      <c r="FN39" s="9" t="str">
        <f t="shared" si="215"/>
        <v/>
      </c>
      <c r="FO39" s="10" t="str">
        <f t="shared" si="53"/>
        <v/>
      </c>
      <c r="FP39" s="277" t="str">
        <f t="shared" si="54"/>
        <v/>
      </c>
      <c r="FQ39" s="173" t="str">
        <f t="shared" si="243"/>
        <v/>
      </c>
      <c r="FR39" s="10" t="str">
        <f t="shared" si="216"/>
        <v/>
      </c>
      <c r="FS39" s="9" t="str">
        <f t="shared" si="217"/>
        <v/>
      </c>
      <c r="FT39" s="6" t="str">
        <f t="shared" si="218"/>
        <v/>
      </c>
      <c r="FU39" s="4" t="str">
        <f t="shared" si="219"/>
        <v/>
      </c>
      <c r="FV39" s="5" t="str">
        <f t="shared" si="220"/>
        <v/>
      </c>
      <c r="FW39" s="8" t="str">
        <f t="shared" si="244"/>
        <v/>
      </c>
      <c r="FX39" s="9" t="str">
        <f t="shared" si="245"/>
        <v/>
      </c>
      <c r="FY39" s="10" t="str">
        <f t="shared" si="55"/>
        <v/>
      </c>
      <c r="FZ39" s="277" t="str">
        <f t="shared" si="246"/>
        <v/>
      </c>
      <c r="GA39" s="177" t="str">
        <f t="shared" si="221"/>
        <v/>
      </c>
      <c r="GB39" s="4" t="str">
        <f t="shared" si="222"/>
        <v/>
      </c>
      <c r="GC39" s="5" t="str">
        <f t="shared" si="223"/>
        <v/>
      </c>
      <c r="GD39" s="10" t="str">
        <f t="shared" si="224"/>
        <v/>
      </c>
      <c r="GE39" s="311" t="str">
        <f t="shared" si="225"/>
        <v/>
      </c>
      <c r="GF39" s="341" t="str">
        <f t="shared" si="247"/>
        <v/>
      </c>
      <c r="GG39" s="285" t="str">
        <f t="shared" si="56"/>
        <v/>
      </c>
      <c r="GH39" s="286" t="str">
        <f t="shared" si="57"/>
        <v/>
      </c>
      <c r="GI39" s="281" t="str">
        <f t="shared" si="58"/>
        <v/>
      </c>
      <c r="GJ39" s="167" t="str">
        <f t="shared" si="226"/>
        <v/>
      </c>
      <c r="GK39" s="174" t="str">
        <f t="shared" si="59"/>
        <v/>
      </c>
      <c r="GL39" s="174" t="str">
        <f t="shared" si="227"/>
        <v/>
      </c>
      <c r="GM39" s="177" t="str">
        <f t="shared" si="248"/>
        <v/>
      </c>
      <c r="GN39" s="280" t="str">
        <f t="shared" si="228"/>
        <v/>
      </c>
      <c r="GO39" s="4" t="str">
        <f t="shared" si="229"/>
        <v/>
      </c>
      <c r="GP39" s="8" t="str">
        <f t="shared" si="249"/>
        <v/>
      </c>
      <c r="GQ39" s="177" t="str">
        <f t="shared" si="230"/>
        <v/>
      </c>
      <c r="GR39" s="371" t="str">
        <f t="shared" si="250"/>
        <v/>
      </c>
      <c r="GS39" s="342" t="str">
        <f t="shared" si="61"/>
        <v/>
      </c>
      <c r="GT39" s="343" t="str">
        <f t="shared" si="62"/>
        <v/>
      </c>
      <c r="GU39" s="344" t="str">
        <f t="shared" si="63"/>
        <v/>
      </c>
      <c r="GV39" s="343" t="str">
        <f t="shared" si="252"/>
        <v/>
      </c>
      <c r="GW39" s="345" t="str">
        <f t="shared" si="64"/>
        <v/>
      </c>
      <c r="GX39" s="346" t="str">
        <f t="shared" si="65"/>
        <v/>
      </c>
      <c r="GY39" s="344" t="str">
        <f t="shared" si="66"/>
        <v/>
      </c>
      <c r="GZ39" s="345" t="str">
        <f t="shared" si="67"/>
        <v/>
      </c>
      <c r="HA39" s="342" t="str">
        <f t="shared" si="68"/>
        <v/>
      </c>
      <c r="HB39" s="5" t="str">
        <f t="shared" si="231"/>
        <v/>
      </c>
      <c r="HC39" s="343" t="str">
        <f t="shared" si="232"/>
        <v/>
      </c>
      <c r="HD39" s="363" t="str">
        <f t="shared" si="233"/>
        <v/>
      </c>
      <c r="HE39" s="344" t="str">
        <f t="shared" si="69"/>
        <v/>
      </c>
      <c r="HF39" s="5" t="str">
        <f t="shared" si="70"/>
        <v/>
      </c>
      <c r="HG39" s="343" t="str">
        <f t="shared" si="234"/>
        <v/>
      </c>
      <c r="HH39" s="349" t="str">
        <f t="shared" si="235"/>
        <v/>
      </c>
      <c r="HI39" s="317" t="str">
        <f t="shared" si="71"/>
        <v/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2.2519999999999998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1313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0.02</v>
      </c>
      <c r="B40" s="578">
        <f t="shared" si="2"/>
        <v>0.69775378473477923</v>
      </c>
      <c r="C40" s="572">
        <f t="shared" si="3"/>
        <v>-0.51204340153913652</v>
      </c>
      <c r="D40" s="576">
        <f t="shared" si="4"/>
        <v>-0.53873221224147549</v>
      </c>
      <c r="E40" s="580">
        <f t="shared" si="5"/>
        <v>0.51215021919832138</v>
      </c>
      <c r="F40" s="572">
        <f t="shared" si="6"/>
        <v>0.81487249087937808</v>
      </c>
      <c r="G40" s="579">
        <f t="shared" si="7"/>
        <v>0.27144976806611831</v>
      </c>
      <c r="H40" s="580">
        <f t="shared" si="8"/>
        <v>0.3125</v>
      </c>
      <c r="I40" s="572">
        <f t="shared" si="9"/>
        <v>0.52</v>
      </c>
      <c r="J40" s="483">
        <f t="shared" si="10"/>
        <v>3.1030000000000002</v>
      </c>
      <c r="K40" s="806">
        <f t="shared" si="11"/>
        <v>1613</v>
      </c>
      <c r="L40" s="309"/>
      <c r="M40" s="164">
        <f t="shared" si="12"/>
        <v>3.1030000000000002</v>
      </c>
      <c r="N40" s="575">
        <f t="shared" si="13"/>
        <v>0.69775378473477923</v>
      </c>
      <c r="O40" s="572">
        <f t="shared" si="14"/>
        <v>-0.51204340153913652</v>
      </c>
      <c r="P40" s="576">
        <f t="shared" si="15"/>
        <v>-0.53873221224147549</v>
      </c>
      <c r="Q40" s="528">
        <f t="shared" si="140"/>
        <v>323.72708812190035</v>
      </c>
      <c r="R40" s="572">
        <f t="shared" si="101"/>
        <v>0.86547604771679154</v>
      </c>
      <c r="S40" s="577">
        <f t="shared" si="102"/>
        <v>-0.53873221224147549</v>
      </c>
      <c r="T40" s="578">
        <f t="shared" si="103"/>
        <v>-0.50675704871254879</v>
      </c>
      <c r="U40" s="572">
        <f t="shared" si="104"/>
        <v>-0.70160251050835432</v>
      </c>
      <c r="V40" s="579">
        <f t="shared" si="141"/>
        <v>-0.53873221224147549</v>
      </c>
      <c r="W40" s="528">
        <f t="shared" si="253"/>
        <v>234.15997896777134</v>
      </c>
      <c r="X40" s="572">
        <f t="shared" si="105"/>
        <v>0.86547604771679154</v>
      </c>
      <c r="Y40" s="573">
        <f t="shared" si="255"/>
        <v>-0.53873221224147549</v>
      </c>
      <c r="Z40" s="575">
        <f t="shared" si="18"/>
        <v>-0.51215021919832138</v>
      </c>
      <c r="AA40" s="572">
        <f t="shared" si="19"/>
        <v>-0.81487249087937808</v>
      </c>
      <c r="AB40" s="572">
        <f t="shared" si="20"/>
        <v>-0.27144976806611831</v>
      </c>
      <c r="AC40" s="579">
        <f t="shared" si="106"/>
        <v>1</v>
      </c>
      <c r="AD40" s="580">
        <f t="shared" si="142"/>
        <v>-0.51215021919832138</v>
      </c>
      <c r="AE40" s="572">
        <f t="shared" si="107"/>
        <v>-0.81487249087937808</v>
      </c>
      <c r="AF40" s="576">
        <f t="shared" si="108"/>
        <v>-0.27144976806611831</v>
      </c>
      <c r="AG40" s="545">
        <f t="shared" si="109"/>
        <v>-71.576087865676897</v>
      </c>
      <c r="AH40" s="546">
        <f t="shared" si="110"/>
        <v>120.8071611946996</v>
      </c>
      <c r="AI40" s="528">
        <f t="shared" si="111"/>
        <v>-74.249445278802412</v>
      </c>
      <c r="AJ40" s="529">
        <f t="shared" si="112"/>
        <v>-32.149505615160429</v>
      </c>
      <c r="AK40" s="578">
        <f t="shared" si="238"/>
        <v>0.95996129195771218</v>
      </c>
      <c r="AL40" s="572">
        <f t="shared" si="113"/>
        <v>6.9205067442571544E-2</v>
      </c>
      <c r="AM40" s="577">
        <f t="shared" si="114"/>
        <v>-0.27144976806611831</v>
      </c>
      <c r="AN40" s="524">
        <f t="shared" si="115"/>
        <v>14.302653650703496</v>
      </c>
      <c r="AO40" s="525">
        <f t="shared" si="116"/>
        <v>16.268123573021061</v>
      </c>
      <c r="AP40" s="528">
        <f t="shared" si="117"/>
        <v>4.1234062629392456</v>
      </c>
      <c r="AQ40" s="529">
        <f t="shared" si="21"/>
        <v>1.05351024542861</v>
      </c>
      <c r="AS40" s="932">
        <f t="shared" si="143"/>
        <v>234.15997896777134</v>
      </c>
      <c r="AT40" s="928">
        <f t="shared" si="22"/>
        <v>-0.50452156701412232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3.1030000000000002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1613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104" si="256">IF($K41="","",IF(AND($A$8="Y",ISNUMBER($K41)),$A$5,0))</f>
        <v>0.02</v>
      </c>
      <c r="B41" s="578">
        <f t="shared" ref="B41:B54" si="257">IFERROR(Q196+($A41*-E41),"")</f>
        <v>1.3057940699130854</v>
      </c>
      <c r="C41" s="572">
        <f t="shared" ref="C41:C54" si="258">IFERROR(R196+($A41*-F41),"")</f>
        <v>-0.93791275474022529</v>
      </c>
      <c r="D41" s="576">
        <f t="shared" ref="D41:D54" si="259">IFERROR(S196+($A41*-G41),"")</f>
        <v>-0.33949975573920044</v>
      </c>
      <c r="E41" s="580">
        <f t="shared" ref="E41:E54" si="260">T196</f>
        <v>0.51721777456955287</v>
      </c>
      <c r="F41" s="572">
        <f t="shared" ref="F41:F54" si="261">U196</f>
        <v>0.81701800827050908</v>
      </c>
      <c r="G41" s="579">
        <f t="shared" ref="G41:G54" si="262">V196</f>
        <v>0.25488693146375618</v>
      </c>
      <c r="H41" s="580">
        <f t="shared" ref="H41:H54" si="263">W196</f>
        <v>0.3125</v>
      </c>
      <c r="I41" s="572">
        <f t="shared" ref="I41:I54" si="264">X196</f>
        <v>0.52</v>
      </c>
      <c r="J41" s="483">
        <f t="shared" ref="J41:J54" si="265">IF(Y196=0,"",Y196)</f>
        <v>3.1059999999999999</v>
      </c>
      <c r="K41" s="806">
        <f t="shared" ref="K41:K54" si="266">Z196</f>
        <v>1613</v>
      </c>
      <c r="L41" s="309"/>
      <c r="M41" s="164">
        <f t="shared" ref="M41:M72" si="267">IF(J41="","",VALUE(J41))</f>
        <v>3.1059999999999999</v>
      </c>
      <c r="N41" s="575">
        <f t="shared" ref="N41:N72" si="268">IF(M41="","",B41)</f>
        <v>1.3057940699130854</v>
      </c>
      <c r="O41" s="572">
        <f t="shared" ref="O41:O72" si="269">IF(M41="","",C41)</f>
        <v>-0.93791275474022529</v>
      </c>
      <c r="P41" s="576">
        <f t="shared" ref="P41:P72" si="270">IF(M41="","",D41)</f>
        <v>-0.33949975573920044</v>
      </c>
      <c r="Q41" s="528">
        <f t="shared" si="140"/>
        <v>324.31144527955416</v>
      </c>
      <c r="R41" s="572">
        <f t="shared" si="101"/>
        <v>1.6077246308135538</v>
      </c>
      <c r="S41" s="577">
        <f t="shared" si="102"/>
        <v>-0.33949975573920044</v>
      </c>
      <c r="T41" s="578">
        <f t="shared" si="103"/>
        <v>-0.928020320923725</v>
      </c>
      <c r="U41" s="572">
        <f t="shared" si="104"/>
        <v>-1.3128430113601566</v>
      </c>
      <c r="V41" s="579">
        <f t="shared" si="141"/>
        <v>-0.33949975573920044</v>
      </c>
      <c r="W41" s="528">
        <f t="shared" si="253"/>
        <v>234.74433612542515</v>
      </c>
      <c r="X41" s="572">
        <f t="shared" si="105"/>
        <v>1.6077246308135538</v>
      </c>
      <c r="Y41" s="573">
        <f t="shared" si="255"/>
        <v>-0.33949975573920044</v>
      </c>
      <c r="Z41" s="575">
        <f t="shared" ref="Z41:Z72" si="271">IF(M41="","",-E41)</f>
        <v>-0.51721777456955287</v>
      </c>
      <c r="AA41" s="572">
        <f t="shared" ref="AA41:AA72" si="272">IF(M41="","",-F41)</f>
        <v>-0.81701800827050908</v>
      </c>
      <c r="AB41" s="572">
        <f t="shared" ref="AB41:AB72" si="273">IF(M41="","",-G41)</f>
        <v>-0.25488693146375618</v>
      </c>
      <c r="AC41" s="579">
        <f t="shared" si="106"/>
        <v>1</v>
      </c>
      <c r="AD41" s="580">
        <f t="shared" si="142"/>
        <v>-0.51721777456955287</v>
      </c>
      <c r="AE41" s="572">
        <f t="shared" si="107"/>
        <v>-0.81701800827050908</v>
      </c>
      <c r="AF41" s="576">
        <f t="shared" si="108"/>
        <v>-0.25488693146375618</v>
      </c>
      <c r="AG41" s="545">
        <f t="shared" si="109"/>
        <v>-72.673528099031131</v>
      </c>
      <c r="AH41" s="546">
        <f t="shared" si="110"/>
        <v>121.14580967117627</v>
      </c>
      <c r="AI41" s="528">
        <f t="shared" si="111"/>
        <v>-75.2331145853706</v>
      </c>
      <c r="AJ41" s="529">
        <f t="shared" si="112"/>
        <v>-32.336082149458818</v>
      </c>
      <c r="AK41" s="578">
        <f t="shared" si="238"/>
        <v>0.96531606732530595</v>
      </c>
      <c r="AL41" s="572">
        <f t="shared" si="113"/>
        <v>5.6546815406315287E-2</v>
      </c>
      <c r="AM41" s="577">
        <f t="shared" si="114"/>
        <v>-0.25488693146375618</v>
      </c>
      <c r="AN41" s="524">
        <f t="shared" si="115"/>
        <v>12.508515021959289</v>
      </c>
      <c r="AO41" s="525">
        <f t="shared" si="116"/>
        <v>15.134396576192788</v>
      </c>
      <c r="AP41" s="528">
        <f t="shared" si="117"/>
        <v>3.3524725709870147</v>
      </c>
      <c r="AQ41" s="529">
        <f t="shared" ref="AQ41:AQ72" si="274">IF(M41="","",DEGREES(ATAN(($AS$5*SIN(RADIANS(90)))/(($X41*2*PI())-($AS$5*COS(RADIANS(90)))))))</f>
        <v>0.56717478183443992</v>
      </c>
      <c r="AS41" s="932">
        <f t="shared" si="143"/>
        <v>234.74433612542515</v>
      </c>
      <c r="AT41" s="928">
        <f t="shared" ref="AT41:AT72" si="275">IF(M41="","",Y41+(((AS41-$AS$9)*$AS$6)*-1))</f>
        <v>-0.30545143194452895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3.1059999999999999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6">IF(ISNUMBER($IK41),INDEX($K$9:$K$150,MATCH($IK41,$M$9:$M$150,0)),$K41)</f>
        <v>1613</v>
      </c>
      <c r="IM41" s="482" t="str">
        <f t="shared" si="237"/>
        <v/>
      </c>
      <c r="IN41" s="670" t="str">
        <f t="shared" ref="IN41:IN72" si="427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8">IF(ISNUMBER($IK41),(($IQ41*12)/60)/$AS$3,"")</f>
        <v/>
      </c>
      <c r="IQ41" s="714"/>
      <c r="IR41" s="9" t="str">
        <f t="shared" ref="IR41:IR72" si="429">IF(ISNUMBER($IK41),(INDEX($X$9:$X$150,MATCH($IK41,$M$9:$M$150,0))*-1),"")</f>
        <v/>
      </c>
      <c r="IS41" s="5" t="str">
        <f t="shared" ref="IS41:IS72" si="430">IF(ISNUMBER($IK41),INDEX($Y$9:$Y$150,MATCH($IK41,$M$9:$M$150,0)),"")</f>
        <v/>
      </c>
      <c r="IT41" s="5" t="str">
        <f t="shared" ref="IT41:IT72" si="431">IF(ISNUMBER($IK41),INDEX($H$9:$H$150,MATCH($IK41,$M$9:$M$150,0)),"")</f>
        <v/>
      </c>
      <c r="IU41" s="5" t="str">
        <f t="shared" ref="IU41:IU72" si="432">IF(ISNUMBER($IK41),$IT41*COS(RADIANS(INDEX($AO$9:$AO$150,MATCH($IK41,$M$9:$M$150,0)))),"")</f>
        <v/>
      </c>
      <c r="IV41" s="670" t="str">
        <f t="shared" ref="IV41:IV72" si="433">IF(ISNUMBER($IK41),(-1*INDEX($AN$9:$AN$150,MATCH($IK41,$M$9:$M$150,0))),"")</f>
        <v/>
      </c>
      <c r="IW41" s="9" t="str">
        <f t="shared" ref="IW41:IW72" si="434">IF(ISNUMBER($IK41),-$X41,"")</f>
        <v/>
      </c>
      <c r="IX41" s="5" t="str">
        <f t="shared" ref="IX41:IX72" si="435">IF(ISNUMBER($IK41),$Y41,"")</f>
        <v/>
      </c>
      <c r="IY41" s="5" t="str">
        <f t="shared" ref="IY41:IY72" si="436">IF(ISNUMBER($IK41),$H41,"")</f>
        <v/>
      </c>
      <c r="IZ41" s="5" t="str">
        <f t="shared" ref="IZ41:IZ72" si="437">IF(ISNUMBER($IK41),$IY41*COS(RADIANS($AO41)),"")</f>
        <v/>
      </c>
      <c r="JA41" s="705" t="str">
        <f t="shared" ref="JA41:JA72" si="438">IF(ISNUMBER($IK41),(-1*$AN41),"")</f>
        <v/>
      </c>
    </row>
    <row r="42" spans="1:269" ht="15" customHeight="1" x14ac:dyDescent="0.25">
      <c r="A42" s="75">
        <f t="shared" si="256"/>
        <v>0.02</v>
      </c>
      <c r="B42" s="578">
        <f t="shared" si="257"/>
        <v>1.8769098414896088</v>
      </c>
      <c r="C42" s="572">
        <f t="shared" si="258"/>
        <v>-1.337813341967188</v>
      </c>
      <c r="D42" s="576">
        <f t="shared" si="259"/>
        <v>-0.15269862895650282</v>
      </c>
      <c r="E42" s="580">
        <f t="shared" si="260"/>
        <v>0.51721777456955287</v>
      </c>
      <c r="F42" s="572">
        <f t="shared" si="261"/>
        <v>0.8170180082705093</v>
      </c>
      <c r="G42" s="579">
        <f t="shared" si="262"/>
        <v>0.25488693146375579</v>
      </c>
      <c r="H42" s="580">
        <f t="shared" si="263"/>
        <v>0.3125</v>
      </c>
      <c r="I42" s="572">
        <f t="shared" si="264"/>
        <v>0.52</v>
      </c>
      <c r="J42" s="483">
        <f t="shared" si="265"/>
        <v>3.109</v>
      </c>
      <c r="K42" s="806">
        <f t="shared" si="266"/>
        <v>1613</v>
      </c>
      <c r="L42" s="309"/>
      <c r="M42" s="164">
        <f t="shared" si="267"/>
        <v>3.109</v>
      </c>
      <c r="N42" s="575">
        <f t="shared" si="268"/>
        <v>1.8769098414896088</v>
      </c>
      <c r="O42" s="572">
        <f t="shared" si="269"/>
        <v>-1.337813341967188</v>
      </c>
      <c r="P42" s="576">
        <f t="shared" si="270"/>
        <v>-0.15269862895650282</v>
      </c>
      <c r="Q42" s="528">
        <f t="shared" si="140"/>
        <v>324.51969997311653</v>
      </c>
      <c r="R42" s="572">
        <f t="shared" ref="R42:R47" si="439">IF(M42="","",SQRT(N42^2+O42^2))</f>
        <v>2.3048937266229794</v>
      </c>
      <c r="S42" s="577">
        <f t="shared" ref="S42:S47" si="440">IF(M42="","",P42)</f>
        <v>-0.15269862895650282</v>
      </c>
      <c r="T42" s="578">
        <f t="shared" ref="T42:T47" si="441">IF(M42="","",X42*COS(RADIANS(W42)))</f>
        <v>-1.3235945440818044</v>
      </c>
      <c r="U42" s="572">
        <f t="shared" ref="U42:U47" si="442">IF(M42="","",X42*SIN(RADIANS(W42)))</f>
        <v>-1.8869638507143813</v>
      </c>
      <c r="V42" s="579">
        <f t="shared" ref="V42:V47" si="443">IF(M42="","",Y42)</f>
        <v>-0.15269862895650282</v>
      </c>
      <c r="W42" s="528">
        <f t="shared" si="253"/>
        <v>234.95259081898752</v>
      </c>
      <c r="X42" s="572">
        <f t="shared" ref="X42:X47" si="444">IF(M42="","",R42)</f>
        <v>2.3048937266229794</v>
      </c>
      <c r="Y42" s="573">
        <f t="shared" si="255"/>
        <v>-0.15269862895650282</v>
      </c>
      <c r="Z42" s="575">
        <f t="shared" si="271"/>
        <v>-0.51721777456955287</v>
      </c>
      <c r="AA42" s="572">
        <f t="shared" si="272"/>
        <v>-0.8170180082705093</v>
      </c>
      <c r="AB42" s="572">
        <f t="shared" si="273"/>
        <v>-0.25488693146375579</v>
      </c>
      <c r="AC42" s="579">
        <f t="shared" ref="AC42:AC47" si="445">IF(M42="","",SQRT(Z42^2+AA42^2+AB42^2))</f>
        <v>1</v>
      </c>
      <c r="AD42" s="580">
        <f t="shared" ref="AD42:AD47" si="446">IF(M42="","",Z42*(1/SQRT(Z42^2+AA42^2+AB42^2)))</f>
        <v>-0.51721777456955287</v>
      </c>
      <c r="AE42" s="572">
        <f t="shared" ref="AE42:AE47" si="447">IF(M42="","",AA42*(1/SQRT(Z42^2+AA42^2+AB42^2)))</f>
        <v>-0.8170180082705093</v>
      </c>
      <c r="AF42" s="576">
        <f t="shared" ref="AF42:AF47" si="448">IF(M42="","",AB42*(1/SQRT(Z42^2+AA42^2+AB42^2)))</f>
        <v>-0.25488693146375579</v>
      </c>
      <c r="AG42" s="545">
        <f t="shared" ref="AG42:AG47" si="449">IF(M42="","",DEGREES(ATAN2(-AF42,AE42)))</f>
        <v>-72.673528099031159</v>
      </c>
      <c r="AH42" s="546">
        <f t="shared" ref="AH42:AH47" si="450">IF(M42="","",DEGREES(ACOS(AD42)))</f>
        <v>121.14580967117627</v>
      </c>
      <c r="AI42" s="528">
        <f t="shared" ref="AI42:AI47" si="451">IF(M42="","",DEGREES(-ACOS(-AF42)))</f>
        <v>-75.233114585370629</v>
      </c>
      <c r="AJ42" s="529">
        <f t="shared" ref="AJ42:AJ47" si="452">IF(M42="","",DEGREES(ATAN2(-AE42,AD42)))</f>
        <v>-32.336082149458811</v>
      </c>
      <c r="AK42" s="578">
        <f t="shared" ref="AK42:AK47" si="453">IF(M42="","",(COS(RADIANS((90-$Q$8)-W42))*AD42)+(-SIN(RADIANS((90-$Q$8)-W42))*AE42))</f>
        <v>0.96551522276883783</v>
      </c>
      <c r="AL42" s="572">
        <f t="shared" ref="AL42:AL47" si="454">IF(M42="","",(SIN(RADIANS((90-$Q$8)-W42))*AD42)+(COS(RADIANS((90-$Q$8)-W42))*AE42))</f>
        <v>5.3037786253125607E-2</v>
      </c>
      <c r="AM42" s="577">
        <f t="shared" ref="AM42:AM47" si="455">IF(M42="","",AF42)</f>
        <v>-0.25488693146375579</v>
      </c>
      <c r="AN42" s="524">
        <f t="shared" ref="AN42:AN47" si="456">IF(M42="","",DEGREES(ATAN2(-AM42,AL42)))</f>
        <v>11.754573914654843</v>
      </c>
      <c r="AO42" s="525">
        <f t="shared" si="116"/>
        <v>15.090629431527974</v>
      </c>
      <c r="AP42" s="528">
        <f t="shared" ref="AP42:AP47" si="457">IF(M42="","",DEGREES(ATAN2(AK42,AL42)))</f>
        <v>3.1442178774246732</v>
      </c>
      <c r="AQ42" s="529">
        <f t="shared" si="274"/>
        <v>0.39562611915994783</v>
      </c>
      <c r="AS42" s="932">
        <f t="shared" si="143"/>
        <v>234.95259081898752</v>
      </c>
      <c r="AT42" s="928">
        <f t="shared" si="275"/>
        <v>-0.11870815368782085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3.109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26"/>
        <v>1613</v>
      </c>
      <c r="IM42" s="482" t="str">
        <f t="shared" si="237"/>
        <v/>
      </c>
      <c r="IN42" s="670" t="str">
        <f t="shared" si="427"/>
        <v/>
      </c>
      <c r="IO42" s="702"/>
      <c r="IP42" s="5" t="str">
        <f t="shared" si="428"/>
        <v/>
      </c>
      <c r="IQ42" s="714"/>
      <c r="IR42" s="9" t="str">
        <f t="shared" si="429"/>
        <v/>
      </c>
      <c r="IS42" s="5" t="str">
        <f t="shared" si="430"/>
        <v/>
      </c>
      <c r="IT42" s="5" t="str">
        <f t="shared" si="431"/>
        <v/>
      </c>
      <c r="IU42" s="5" t="str">
        <f t="shared" si="432"/>
        <v/>
      </c>
      <c r="IV42" s="670" t="str">
        <f t="shared" si="433"/>
        <v/>
      </c>
      <c r="IW42" s="9" t="str">
        <f t="shared" si="434"/>
        <v/>
      </c>
      <c r="IX42" s="5" t="str">
        <f t="shared" si="435"/>
        <v/>
      </c>
      <c r="IY42" s="5" t="str">
        <f t="shared" si="436"/>
        <v/>
      </c>
      <c r="IZ42" s="5" t="str">
        <f t="shared" si="437"/>
        <v/>
      </c>
      <c r="JA42" s="705" t="str">
        <f t="shared" si="438"/>
        <v/>
      </c>
    </row>
    <row r="43" spans="1:269" ht="15" customHeight="1" x14ac:dyDescent="0.25">
      <c r="A43" s="75">
        <f t="shared" si="256"/>
        <v>0.02</v>
      </c>
      <c r="B43" s="578">
        <f t="shared" si="257"/>
        <v>2.5005746495178118</v>
      </c>
      <c r="C43" s="572">
        <f t="shared" si="258"/>
        <v>-1.7754872511669539</v>
      </c>
      <c r="D43" s="576">
        <f t="shared" si="259"/>
        <v>-7.0521267839836921E-2</v>
      </c>
      <c r="E43" s="580">
        <f t="shared" si="260"/>
        <v>0.58479328609228853</v>
      </c>
      <c r="F43" s="572">
        <f t="shared" si="261"/>
        <v>0.76631426161541749</v>
      </c>
      <c r="G43" s="579">
        <f t="shared" si="262"/>
        <v>0.26604372758289291</v>
      </c>
      <c r="H43" s="580">
        <f t="shared" si="263"/>
        <v>0.3125</v>
      </c>
      <c r="I43" s="572">
        <f t="shared" si="264"/>
        <v>0.52</v>
      </c>
      <c r="J43" s="483">
        <f t="shared" si="265"/>
        <v>3.1150000000000002</v>
      </c>
      <c r="K43" s="806">
        <f t="shared" si="266"/>
        <v>1613</v>
      </c>
      <c r="L43" s="309"/>
      <c r="M43" s="164">
        <f t="shared" si="267"/>
        <v>3.1150000000000002</v>
      </c>
      <c r="N43" s="575">
        <f t="shared" si="268"/>
        <v>2.5005746495178118</v>
      </c>
      <c r="O43" s="572">
        <f t="shared" si="269"/>
        <v>-1.7754872511669539</v>
      </c>
      <c r="P43" s="576">
        <f t="shared" si="270"/>
        <v>-7.0521267839836921E-2</v>
      </c>
      <c r="Q43" s="528">
        <f t="shared" si="140"/>
        <v>324.62404090137682</v>
      </c>
      <c r="R43" s="572">
        <f t="shared" si="439"/>
        <v>3.0667945084187682</v>
      </c>
      <c r="S43" s="577">
        <f t="shared" si="440"/>
        <v>-7.0521267839836921E-2</v>
      </c>
      <c r="T43" s="578">
        <f t="shared" si="441"/>
        <v>-1.7565439874329587</v>
      </c>
      <c r="U43" s="572">
        <f t="shared" si="442"/>
        <v>-2.5139176154123741</v>
      </c>
      <c r="V43" s="579">
        <f t="shared" si="443"/>
        <v>-7.0521267839836921E-2</v>
      </c>
      <c r="W43" s="528">
        <f t="shared" si="253"/>
        <v>235.0569317472478</v>
      </c>
      <c r="X43" s="572">
        <f t="shared" si="444"/>
        <v>3.0667945084187682</v>
      </c>
      <c r="Y43" s="573">
        <f t="shared" si="255"/>
        <v>-7.0521267839836921E-2</v>
      </c>
      <c r="Z43" s="575">
        <f t="shared" si="271"/>
        <v>-0.58479328609228853</v>
      </c>
      <c r="AA43" s="572">
        <f t="shared" si="272"/>
        <v>-0.76631426161541749</v>
      </c>
      <c r="AB43" s="572">
        <f t="shared" si="273"/>
        <v>-0.26604372758289291</v>
      </c>
      <c r="AC43" s="579">
        <f t="shared" si="445"/>
        <v>1</v>
      </c>
      <c r="AD43" s="580">
        <f t="shared" si="446"/>
        <v>-0.58479328609228853</v>
      </c>
      <c r="AE43" s="572">
        <f t="shared" si="447"/>
        <v>-0.76631426161541749</v>
      </c>
      <c r="AF43" s="576">
        <f t="shared" si="448"/>
        <v>-0.26604372758289291</v>
      </c>
      <c r="AG43" s="545">
        <f t="shared" si="449"/>
        <v>-70.854372271315611</v>
      </c>
      <c r="AH43" s="546">
        <f t="shared" si="450"/>
        <v>125.78838796478762</v>
      </c>
      <c r="AI43" s="528">
        <f t="shared" si="451"/>
        <v>-74.571019519494769</v>
      </c>
      <c r="AJ43" s="529">
        <f t="shared" si="452"/>
        <v>-37.348144518412056</v>
      </c>
      <c r="AK43" s="578">
        <f t="shared" si="453"/>
        <v>0.96338996045343239</v>
      </c>
      <c r="AL43" s="572">
        <f t="shared" si="454"/>
        <v>-3.3174072878283667E-2</v>
      </c>
      <c r="AM43" s="577">
        <f t="shared" si="455"/>
        <v>-0.26604372758289291</v>
      </c>
      <c r="AN43" s="524">
        <f t="shared" si="456"/>
        <v>-7.1077563806310833</v>
      </c>
      <c r="AO43" s="525">
        <f t="shared" si="116"/>
        <v>15.551478149906009</v>
      </c>
      <c r="AP43" s="528">
        <f t="shared" si="457"/>
        <v>-1.9721854197888833</v>
      </c>
      <c r="AQ43" s="529">
        <f t="shared" si="274"/>
        <v>0.29734058282036996</v>
      </c>
      <c r="AS43" s="932">
        <f t="shared" ref="AS43:AS74" si="461">IF(G43="","",IF(AND(W43&lt;(AS42+180),W43&gt;(AS42-180)),W43,IF(W43&gt;(AS42+180),W43-360,IF(W43&lt;(AS42-180),W43+360,"Error"))))</f>
        <v>235.0569317472478</v>
      </c>
      <c r="AT43" s="928">
        <f t="shared" si="275"/>
        <v>-3.655977616233836E-2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6"/>
        <v>3.1150000000000002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26"/>
        <v>1613</v>
      </c>
      <c r="IM43" s="482" t="str">
        <f t="shared" si="237"/>
        <v/>
      </c>
      <c r="IN43" s="670" t="str">
        <f t="shared" si="427"/>
        <v/>
      </c>
      <c r="IO43" s="702"/>
      <c r="IP43" s="5" t="str">
        <f t="shared" si="428"/>
        <v/>
      </c>
      <c r="IQ43" s="714"/>
      <c r="IR43" s="9" t="str">
        <f t="shared" si="429"/>
        <v/>
      </c>
      <c r="IS43" s="5" t="str">
        <f t="shared" si="430"/>
        <v/>
      </c>
      <c r="IT43" s="5" t="str">
        <f t="shared" si="431"/>
        <v/>
      </c>
      <c r="IU43" s="5" t="str">
        <f t="shared" si="432"/>
        <v/>
      </c>
      <c r="IV43" s="670" t="str">
        <f t="shared" si="433"/>
        <v/>
      </c>
      <c r="IW43" s="9" t="str">
        <f t="shared" si="434"/>
        <v/>
      </c>
      <c r="IX43" s="5" t="str">
        <f t="shared" si="435"/>
        <v/>
      </c>
      <c r="IY43" s="5" t="str">
        <f t="shared" si="436"/>
        <v/>
      </c>
      <c r="IZ43" s="5" t="str">
        <f t="shared" si="437"/>
        <v/>
      </c>
      <c r="JA43" s="705" t="str">
        <f t="shared" si="438"/>
        <v/>
      </c>
    </row>
    <row r="44" spans="1:269" ht="15" customHeight="1" x14ac:dyDescent="0.25">
      <c r="A44" s="75">
        <f t="shared" si="256"/>
        <v>0.02</v>
      </c>
      <c r="B44" s="578">
        <f t="shared" si="257"/>
        <v>3.0898122842562721</v>
      </c>
      <c r="C44" s="572">
        <f t="shared" si="258"/>
        <v>-2.2267452281879905</v>
      </c>
      <c r="D44" s="576">
        <f t="shared" si="259"/>
        <v>-0.26442079518400258</v>
      </c>
      <c r="E44" s="580">
        <f t="shared" si="260"/>
        <v>0.66349206264603788</v>
      </c>
      <c r="F44" s="572">
        <f t="shared" si="261"/>
        <v>0.69931588179575666</v>
      </c>
      <c r="G44" s="579">
        <f t="shared" si="262"/>
        <v>0.26596161428659121</v>
      </c>
      <c r="H44" s="580">
        <f t="shared" si="263"/>
        <v>0.3125</v>
      </c>
      <c r="I44" s="572">
        <f t="shared" si="264"/>
        <v>0.52</v>
      </c>
      <c r="J44" s="483">
        <f t="shared" si="265"/>
        <v>3.121</v>
      </c>
      <c r="K44" s="806">
        <f t="shared" si="266"/>
        <v>1613</v>
      </c>
      <c r="L44" s="309"/>
      <c r="M44" s="164">
        <f t="shared" si="267"/>
        <v>3.121</v>
      </c>
      <c r="N44" s="575">
        <f t="shared" si="268"/>
        <v>3.0898122842562721</v>
      </c>
      <c r="O44" s="572">
        <f t="shared" si="269"/>
        <v>-2.2267452281879905</v>
      </c>
      <c r="P44" s="576">
        <f t="shared" si="270"/>
        <v>-0.26442079518400258</v>
      </c>
      <c r="Q44" s="528">
        <f t="shared" si="140"/>
        <v>324.22071418617651</v>
      </c>
      <c r="R44" s="572">
        <f t="shared" si="439"/>
        <v>3.8085869115984403</v>
      </c>
      <c r="S44" s="577">
        <f t="shared" si="440"/>
        <v>-0.26442079518400258</v>
      </c>
      <c r="T44" s="578">
        <f t="shared" si="441"/>
        <v>-2.2033372184702653</v>
      </c>
      <c r="U44" s="572">
        <f t="shared" si="442"/>
        <v>-3.1065478211195563</v>
      </c>
      <c r="V44" s="579">
        <f t="shared" si="443"/>
        <v>-0.26442079518400258</v>
      </c>
      <c r="W44" s="528">
        <f t="shared" si="253"/>
        <v>234.65360503204749</v>
      </c>
      <c r="X44" s="572">
        <f t="shared" si="444"/>
        <v>3.8085869115984403</v>
      </c>
      <c r="Y44" s="573">
        <f t="shared" si="255"/>
        <v>-0.26442079518400258</v>
      </c>
      <c r="Z44" s="575">
        <f t="shared" si="271"/>
        <v>-0.66349206264603788</v>
      </c>
      <c r="AA44" s="572">
        <f t="shared" si="272"/>
        <v>-0.69931588179575666</v>
      </c>
      <c r="AB44" s="572">
        <f t="shared" si="273"/>
        <v>-0.26596161428659121</v>
      </c>
      <c r="AC44" s="579">
        <f t="shared" si="445"/>
        <v>1</v>
      </c>
      <c r="AD44" s="580">
        <f t="shared" si="446"/>
        <v>-0.66349206264603788</v>
      </c>
      <c r="AE44" s="572">
        <f t="shared" si="447"/>
        <v>-0.69931588179575666</v>
      </c>
      <c r="AF44" s="576">
        <f t="shared" si="448"/>
        <v>-0.26596161428659121</v>
      </c>
      <c r="AG44" s="545">
        <f t="shared" si="449"/>
        <v>-69.177347106232645</v>
      </c>
      <c r="AH44" s="546">
        <f t="shared" si="450"/>
        <v>131.56674428956055</v>
      </c>
      <c r="AI44" s="528">
        <f t="shared" si="451"/>
        <v>-74.575900100982977</v>
      </c>
      <c r="AJ44" s="529">
        <f t="shared" si="452"/>
        <v>-43.494225778483177</v>
      </c>
      <c r="AK44" s="578">
        <f t="shared" si="453"/>
        <v>0.95525786099463983</v>
      </c>
      <c r="AL44" s="572">
        <f t="shared" si="454"/>
        <v>-0.12940957744315412</v>
      </c>
      <c r="AM44" s="577">
        <f t="shared" si="455"/>
        <v>-0.26596161428659121</v>
      </c>
      <c r="AN44" s="524">
        <f t="shared" si="456"/>
        <v>-25.946275176386688</v>
      </c>
      <c r="AO44" s="525">
        <f t="shared" si="116"/>
        <v>17.203971811334654</v>
      </c>
      <c r="AP44" s="528">
        <f t="shared" si="457"/>
        <v>-7.7149399646596661</v>
      </c>
      <c r="AQ44" s="529">
        <f t="shared" si="274"/>
        <v>0.23942878709727106</v>
      </c>
      <c r="AS44" s="932">
        <f t="shared" si="461"/>
        <v>234.65360503204749</v>
      </c>
      <c r="AT44" s="928">
        <f t="shared" si="275"/>
        <v>-0.23034726830783725</v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3.121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26"/>
        <v>1613</v>
      </c>
      <c r="IM44" s="482" t="str">
        <f t="shared" si="237"/>
        <v/>
      </c>
      <c r="IN44" s="670" t="str">
        <f t="shared" si="427"/>
        <v/>
      </c>
      <c r="IO44" s="702"/>
      <c r="IP44" s="5" t="str">
        <f t="shared" si="428"/>
        <v/>
      </c>
      <c r="IQ44" s="714"/>
      <c r="IR44" s="9" t="str">
        <f t="shared" si="429"/>
        <v/>
      </c>
      <c r="IS44" s="5" t="str">
        <f t="shared" si="430"/>
        <v/>
      </c>
      <c r="IT44" s="5" t="str">
        <f t="shared" si="431"/>
        <v/>
      </c>
      <c r="IU44" s="5" t="str">
        <f t="shared" si="432"/>
        <v/>
      </c>
      <c r="IV44" s="670" t="str">
        <f t="shared" si="433"/>
        <v/>
      </c>
      <c r="IW44" s="9" t="str">
        <f t="shared" si="434"/>
        <v/>
      </c>
      <c r="IX44" s="5" t="str">
        <f t="shared" si="435"/>
        <v/>
      </c>
      <c r="IY44" s="5" t="str">
        <f t="shared" si="436"/>
        <v/>
      </c>
      <c r="IZ44" s="5" t="str">
        <f t="shared" si="437"/>
        <v/>
      </c>
      <c r="JA44" s="705" t="str">
        <f t="shared" si="438"/>
        <v/>
      </c>
    </row>
    <row r="45" spans="1:269" ht="15" customHeight="1" x14ac:dyDescent="0.25">
      <c r="A45" s="75">
        <f t="shared" si="256"/>
        <v>0.02</v>
      </c>
      <c r="B45" s="578">
        <f t="shared" si="257"/>
        <v>3.5640959516175146</v>
      </c>
      <c r="C45" s="572">
        <f t="shared" si="258"/>
        <v>-2.6348770761623923</v>
      </c>
      <c r="D45" s="576">
        <f t="shared" si="259"/>
        <v>-0.70993288521304942</v>
      </c>
      <c r="E45" s="580">
        <f t="shared" si="260"/>
        <v>0.75861937676280589</v>
      </c>
      <c r="F45" s="572">
        <f t="shared" si="261"/>
        <v>0.59894860257996829</v>
      </c>
      <c r="G45" s="579">
        <f t="shared" si="262"/>
        <v>0.25643169201078753</v>
      </c>
      <c r="H45" s="580">
        <f t="shared" si="263"/>
        <v>0.3125</v>
      </c>
      <c r="I45" s="572">
        <f t="shared" si="264"/>
        <v>0.52</v>
      </c>
      <c r="J45" s="483">
        <f t="shared" si="265"/>
        <v>3.1269999999999998</v>
      </c>
      <c r="K45" s="806">
        <f t="shared" si="266"/>
        <v>1613</v>
      </c>
      <c r="L45" s="309"/>
      <c r="M45" s="164">
        <f t="shared" si="267"/>
        <v>3.1269999999999998</v>
      </c>
      <c r="N45" s="575">
        <f t="shared" si="268"/>
        <v>3.5640959516175146</v>
      </c>
      <c r="O45" s="572">
        <f t="shared" si="269"/>
        <v>-2.6348770761623923</v>
      </c>
      <c r="P45" s="576">
        <f t="shared" si="270"/>
        <v>-0.70993288521304942</v>
      </c>
      <c r="Q45" s="528">
        <f t="shared" si="140"/>
        <v>323.52509711100396</v>
      </c>
      <c r="R45" s="572">
        <f t="shared" si="439"/>
        <v>4.4323083330046469</v>
      </c>
      <c r="S45" s="577">
        <f t="shared" si="440"/>
        <v>-0.70993288521304942</v>
      </c>
      <c r="T45" s="578">
        <f t="shared" si="441"/>
        <v>-2.6078740629110668</v>
      </c>
      <c r="U45" s="572">
        <f t="shared" si="442"/>
        <v>-3.5839015096425513</v>
      </c>
      <c r="V45" s="579">
        <f t="shared" si="443"/>
        <v>-0.70993288521304942</v>
      </c>
      <c r="W45" s="528">
        <f t="shared" si="253"/>
        <v>233.95798795687494</v>
      </c>
      <c r="X45" s="572">
        <f t="shared" si="444"/>
        <v>4.4323083330046469</v>
      </c>
      <c r="Y45" s="573">
        <f t="shared" si="255"/>
        <v>-0.70993288521304942</v>
      </c>
      <c r="Z45" s="575">
        <f t="shared" si="271"/>
        <v>-0.75861937676280589</v>
      </c>
      <c r="AA45" s="572">
        <f t="shared" si="272"/>
        <v>-0.59894860257996829</v>
      </c>
      <c r="AB45" s="572">
        <f t="shared" si="273"/>
        <v>-0.25643169201078753</v>
      </c>
      <c r="AC45" s="579">
        <f t="shared" si="445"/>
        <v>1</v>
      </c>
      <c r="AD45" s="580">
        <f t="shared" si="446"/>
        <v>-0.75861937676280589</v>
      </c>
      <c r="AE45" s="572">
        <f t="shared" si="447"/>
        <v>-0.59894860257996829</v>
      </c>
      <c r="AF45" s="576">
        <f t="shared" si="448"/>
        <v>-0.25643169201078753</v>
      </c>
      <c r="AG45" s="545">
        <f t="shared" si="449"/>
        <v>-66.822470908771464</v>
      </c>
      <c r="AH45" s="546">
        <f t="shared" si="450"/>
        <v>139.3426359063667</v>
      </c>
      <c r="AI45" s="528">
        <f t="shared" si="451"/>
        <v>-75.141563801587964</v>
      </c>
      <c r="AJ45" s="529">
        <f t="shared" si="452"/>
        <v>-51.708042371760996</v>
      </c>
      <c r="AK45" s="578">
        <f t="shared" si="453"/>
        <v>0.93260188246989839</v>
      </c>
      <c r="AL45" s="572">
        <f t="shared" si="454"/>
        <v>-0.25396164306069269</v>
      </c>
      <c r="AM45" s="577">
        <f t="shared" si="455"/>
        <v>-0.25643169201078753</v>
      </c>
      <c r="AN45" s="524">
        <f t="shared" si="456"/>
        <v>-44.722719194276351</v>
      </c>
      <c r="AO45" s="525">
        <f t="shared" si="116"/>
        <v>21.155897053638178</v>
      </c>
      <c r="AP45" s="528">
        <f t="shared" si="457"/>
        <v>-15.233139482764946</v>
      </c>
      <c r="AQ45" s="529">
        <f t="shared" si="274"/>
        <v>0.2057363037632654</v>
      </c>
      <c r="AS45" s="932">
        <f t="shared" si="461"/>
        <v>233.95798795687494</v>
      </c>
      <c r="AT45" s="928">
        <f t="shared" si="275"/>
        <v>-0.6756661313715584</v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3.1269999999999998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26"/>
        <v>1613</v>
      </c>
      <c r="IM45" s="482" t="str">
        <f t="shared" si="237"/>
        <v/>
      </c>
      <c r="IN45" s="670" t="str">
        <f t="shared" si="427"/>
        <v/>
      </c>
      <c r="IO45" s="702"/>
      <c r="IP45" s="5" t="str">
        <f t="shared" si="428"/>
        <v/>
      </c>
      <c r="IQ45" s="714"/>
      <c r="IR45" s="9" t="str">
        <f t="shared" si="429"/>
        <v/>
      </c>
      <c r="IS45" s="5" t="str">
        <f t="shared" si="430"/>
        <v/>
      </c>
      <c r="IT45" s="5" t="str">
        <f t="shared" si="431"/>
        <v/>
      </c>
      <c r="IU45" s="5" t="str">
        <f t="shared" si="432"/>
        <v/>
      </c>
      <c r="IV45" s="670" t="str">
        <f t="shared" si="433"/>
        <v/>
      </c>
      <c r="IW45" s="9" t="str">
        <f t="shared" si="434"/>
        <v/>
      </c>
      <c r="IX45" s="5" t="str">
        <f t="shared" si="435"/>
        <v/>
      </c>
      <c r="IY45" s="5" t="str">
        <f t="shared" si="436"/>
        <v/>
      </c>
      <c r="IZ45" s="5" t="str">
        <f t="shared" si="437"/>
        <v/>
      </c>
      <c r="JA45" s="705" t="str">
        <f t="shared" si="438"/>
        <v/>
      </c>
    </row>
    <row r="46" spans="1:269" ht="15" customHeight="1" x14ac:dyDescent="0.25">
      <c r="A46" s="75">
        <f t="shared" si="256"/>
        <v>0.02</v>
      </c>
      <c r="B46" s="578">
        <f t="shared" si="257"/>
        <v>3.875109752083064</v>
      </c>
      <c r="C46" s="572">
        <f t="shared" si="258"/>
        <v>-2.9271474562895921</v>
      </c>
      <c r="D46" s="576">
        <f t="shared" si="259"/>
        <v>-1.3479182577182431</v>
      </c>
      <c r="E46" s="580">
        <f t="shared" si="260"/>
        <v>0.84853921380445774</v>
      </c>
      <c r="F46" s="572">
        <f t="shared" si="261"/>
        <v>0.49364774256483834</v>
      </c>
      <c r="G46" s="579">
        <f t="shared" si="262"/>
        <v>0.19050750351823986</v>
      </c>
      <c r="H46" s="580">
        <f t="shared" si="263"/>
        <v>0.3125</v>
      </c>
      <c r="I46" s="572">
        <f t="shared" si="264"/>
        <v>0.52</v>
      </c>
      <c r="J46" s="483">
        <f t="shared" si="265"/>
        <v>3.133</v>
      </c>
      <c r="K46" s="806">
        <f t="shared" si="266"/>
        <v>1613</v>
      </c>
      <c r="L46" s="309"/>
      <c r="M46" s="164">
        <f t="shared" si="267"/>
        <v>3.133</v>
      </c>
      <c r="N46" s="575">
        <f t="shared" si="268"/>
        <v>3.875109752083064</v>
      </c>
      <c r="O46" s="572">
        <f t="shared" si="269"/>
        <v>-2.9271474562895921</v>
      </c>
      <c r="P46" s="576">
        <f t="shared" si="270"/>
        <v>-1.3479182577182431</v>
      </c>
      <c r="Q46" s="528">
        <f t="shared" si="140"/>
        <v>322.93364062089421</v>
      </c>
      <c r="R46" s="572">
        <f t="shared" si="439"/>
        <v>4.8564048247187852</v>
      </c>
      <c r="S46" s="577">
        <f t="shared" si="440"/>
        <v>-1.3479182577182431</v>
      </c>
      <c r="T46" s="578">
        <f t="shared" si="441"/>
        <v>-2.8977862989952037</v>
      </c>
      <c r="U46" s="572">
        <f t="shared" si="442"/>
        <v>-3.8971146232703466</v>
      </c>
      <c r="V46" s="579">
        <f t="shared" si="443"/>
        <v>-1.3479182577182431</v>
      </c>
      <c r="W46" s="528">
        <f t="shared" si="253"/>
        <v>233.3665314667652</v>
      </c>
      <c r="X46" s="572">
        <f t="shared" si="444"/>
        <v>4.8564048247187852</v>
      </c>
      <c r="Y46" s="573">
        <f t="shared" si="255"/>
        <v>-1.3479182577182431</v>
      </c>
      <c r="Z46" s="575">
        <f t="shared" si="271"/>
        <v>-0.84853921380445774</v>
      </c>
      <c r="AA46" s="572">
        <f t="shared" si="272"/>
        <v>-0.49364774256483834</v>
      </c>
      <c r="AB46" s="572">
        <f t="shared" si="273"/>
        <v>-0.19050750351823986</v>
      </c>
      <c r="AC46" s="579">
        <f t="shared" si="445"/>
        <v>1</v>
      </c>
      <c r="AD46" s="580">
        <f t="shared" si="446"/>
        <v>-0.84853921380445774</v>
      </c>
      <c r="AE46" s="572">
        <f t="shared" si="447"/>
        <v>-0.49364774256483834</v>
      </c>
      <c r="AF46" s="576">
        <f t="shared" si="448"/>
        <v>-0.19050750351823986</v>
      </c>
      <c r="AG46" s="545">
        <f t="shared" si="449"/>
        <v>-68.897505479271757</v>
      </c>
      <c r="AH46" s="546">
        <f t="shared" si="450"/>
        <v>148.0531399265038</v>
      </c>
      <c r="AI46" s="528">
        <f t="shared" si="451"/>
        <v>-79.017597002190413</v>
      </c>
      <c r="AJ46" s="529">
        <f t="shared" si="452"/>
        <v>-59.810788426289598</v>
      </c>
      <c r="AK46" s="578">
        <f t="shared" si="453"/>
        <v>0.90534845039634471</v>
      </c>
      <c r="AL46" s="572">
        <f t="shared" si="454"/>
        <v>-0.37954060977474541</v>
      </c>
      <c r="AM46" s="577">
        <f t="shared" si="455"/>
        <v>-0.19050750351823986</v>
      </c>
      <c r="AN46" s="524">
        <f t="shared" si="456"/>
        <v>-63.345987496311885</v>
      </c>
      <c r="AO46" s="525">
        <f t="shared" si="116"/>
        <v>25.129745570941751</v>
      </c>
      <c r="AP46" s="528">
        <f t="shared" si="457"/>
        <v>-22.744429047183786</v>
      </c>
      <c r="AQ46" s="529">
        <f t="shared" si="274"/>
        <v>0.18777005235340993</v>
      </c>
      <c r="AS46" s="932">
        <f t="shared" si="461"/>
        <v>233.3665314667652</v>
      </c>
      <c r="AT46" s="928">
        <f t="shared" si="275"/>
        <v>-1.3134872104072772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3.133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26"/>
        <v>1613</v>
      </c>
      <c r="IM46" s="482" t="str">
        <f t="shared" si="237"/>
        <v/>
      </c>
      <c r="IN46" s="670" t="str">
        <f t="shared" si="427"/>
        <v/>
      </c>
      <c r="IO46" s="702"/>
      <c r="IP46" s="5" t="str">
        <f t="shared" si="428"/>
        <v/>
      </c>
      <c r="IQ46" s="714"/>
      <c r="IR46" s="9" t="str">
        <f t="shared" si="429"/>
        <v/>
      </c>
      <c r="IS46" s="5" t="str">
        <f t="shared" si="430"/>
        <v/>
      </c>
      <c r="IT46" s="5" t="str">
        <f t="shared" si="431"/>
        <v/>
      </c>
      <c r="IU46" s="5" t="str">
        <f t="shared" si="432"/>
        <v/>
      </c>
      <c r="IV46" s="670" t="str">
        <f t="shared" si="433"/>
        <v/>
      </c>
      <c r="IW46" s="9" t="str">
        <f t="shared" si="434"/>
        <v/>
      </c>
      <c r="IX46" s="5" t="str">
        <f t="shared" si="435"/>
        <v/>
      </c>
      <c r="IY46" s="5" t="str">
        <f t="shared" si="436"/>
        <v/>
      </c>
      <c r="IZ46" s="5" t="str">
        <f t="shared" si="437"/>
        <v/>
      </c>
      <c r="JA46" s="705" t="str">
        <f t="shared" si="438"/>
        <v/>
      </c>
    </row>
    <row r="47" spans="1:269" ht="15" customHeight="1" x14ac:dyDescent="0.25">
      <c r="A47" s="75">
        <f t="shared" si="256"/>
        <v>0.02</v>
      </c>
      <c r="B47" s="578">
        <f t="shared" si="257"/>
        <v>3.9967263755072056</v>
      </c>
      <c r="C47" s="572">
        <f t="shared" si="258"/>
        <v>-3.0468819033287979</v>
      </c>
      <c r="D47" s="576">
        <f t="shared" si="259"/>
        <v>-2.0947863628714609</v>
      </c>
      <c r="E47" s="580">
        <f t="shared" si="260"/>
        <v>0.91275421350097286</v>
      </c>
      <c r="F47" s="572">
        <f t="shared" si="261"/>
        <v>0.40269327432650104</v>
      </c>
      <c r="G47" s="579">
        <f t="shared" si="262"/>
        <v>6.868677127673023E-2</v>
      </c>
      <c r="H47" s="580">
        <f t="shared" si="263"/>
        <v>0.3125</v>
      </c>
      <c r="I47" s="572">
        <f t="shared" si="264"/>
        <v>0.52</v>
      </c>
      <c r="J47" s="483">
        <f t="shared" si="265"/>
        <v>3.1389999999999998</v>
      </c>
      <c r="K47" s="806">
        <f t="shared" si="266"/>
        <v>1613</v>
      </c>
      <c r="L47" s="309"/>
      <c r="M47" s="164">
        <f t="shared" si="267"/>
        <v>3.1389999999999998</v>
      </c>
      <c r="N47" s="575">
        <f t="shared" si="268"/>
        <v>3.9967263755072056</v>
      </c>
      <c r="O47" s="572">
        <f t="shared" si="269"/>
        <v>-3.0468819033287979</v>
      </c>
      <c r="P47" s="576">
        <f t="shared" si="270"/>
        <v>-2.0947863628714609</v>
      </c>
      <c r="Q47" s="528">
        <f t="shared" si="140"/>
        <v>322.68011807949483</v>
      </c>
      <c r="R47" s="572">
        <f t="shared" si="439"/>
        <v>5.0256652349223865</v>
      </c>
      <c r="S47" s="577">
        <f t="shared" si="440"/>
        <v>-2.0947863628714609</v>
      </c>
      <c r="T47" s="578">
        <f t="shared" si="441"/>
        <v>-3.0165984786980165</v>
      </c>
      <c r="U47" s="572">
        <f t="shared" si="442"/>
        <v>-4.0196324050619729</v>
      </c>
      <c r="V47" s="579">
        <f t="shared" si="443"/>
        <v>-2.0947863628714609</v>
      </c>
      <c r="W47" s="528">
        <f t="shared" si="253"/>
        <v>233.11300892536582</v>
      </c>
      <c r="X47" s="572">
        <f t="shared" si="444"/>
        <v>5.0256652349223865</v>
      </c>
      <c r="Y47" s="573">
        <f t="shared" si="255"/>
        <v>-2.0947863628714609</v>
      </c>
      <c r="Z47" s="575">
        <f t="shared" si="271"/>
        <v>-0.91275421350097286</v>
      </c>
      <c r="AA47" s="572">
        <f t="shared" si="272"/>
        <v>-0.40269327432650104</v>
      </c>
      <c r="AB47" s="572">
        <f t="shared" si="273"/>
        <v>-6.868677127673023E-2</v>
      </c>
      <c r="AC47" s="579">
        <f t="shared" si="445"/>
        <v>1</v>
      </c>
      <c r="AD47" s="580">
        <f t="shared" si="446"/>
        <v>-0.91275421350097286</v>
      </c>
      <c r="AE47" s="572">
        <f t="shared" si="447"/>
        <v>-0.40269327432650104</v>
      </c>
      <c r="AF47" s="576">
        <f t="shared" si="448"/>
        <v>-6.868677127673023E-2</v>
      </c>
      <c r="AG47" s="545">
        <f t="shared" si="449"/>
        <v>-80.320302197787214</v>
      </c>
      <c r="AH47" s="546">
        <f t="shared" si="450"/>
        <v>155.88878216934916</v>
      </c>
      <c r="AI47" s="528">
        <f t="shared" si="451"/>
        <v>-86.061436807758923</v>
      </c>
      <c r="AJ47" s="529">
        <f t="shared" si="452"/>
        <v>-66.193657564983837</v>
      </c>
      <c r="AK47" s="578">
        <f t="shared" si="453"/>
        <v>0.87361750550643569</v>
      </c>
      <c r="AL47" s="572">
        <f t="shared" si="454"/>
        <v>-0.48174119766145274</v>
      </c>
      <c r="AM47" s="577">
        <f t="shared" si="455"/>
        <v>-6.868677127673023E-2</v>
      </c>
      <c r="AN47" s="524">
        <f t="shared" si="456"/>
        <v>-81.885446807640747</v>
      </c>
      <c r="AO47" s="525">
        <f t="shared" si="116"/>
        <v>29.118222259814257</v>
      </c>
      <c r="AP47" s="528">
        <f t="shared" si="457"/>
        <v>-28.873775644478652</v>
      </c>
      <c r="AQ47" s="529">
        <f t="shared" si="274"/>
        <v>0.18144614926673799</v>
      </c>
      <c r="AS47" s="932">
        <f t="shared" si="461"/>
        <v>233.11300892536582</v>
      </c>
      <c r="AT47" s="928">
        <f t="shared" si="275"/>
        <v>-2.0602848926323283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7"/>
        <v/>
      </c>
      <c r="BA47" s="296" t="str">
        <f t="shared" si="278"/>
        <v/>
      </c>
      <c r="BB47" s="190" t="str">
        <f t="shared" si="145"/>
        <v/>
      </c>
      <c r="BC47" s="9"/>
      <c r="BD47" s="5" t="str">
        <f t="shared" si="279"/>
        <v/>
      </c>
      <c r="BE47" s="6" t="str">
        <f t="shared" si="280"/>
        <v/>
      </c>
      <c r="BF47" s="4" t="str">
        <f t="shared" si="281"/>
        <v/>
      </c>
      <c r="BG47" s="5" t="str">
        <f t="shared" si="282"/>
        <v/>
      </c>
      <c r="BH47" s="10" t="str">
        <f t="shared" si="283"/>
        <v/>
      </c>
      <c r="BI47" s="9" t="str">
        <f t="shared" si="284"/>
        <v/>
      </c>
      <c r="BJ47" s="5" t="str">
        <f t="shared" si="285"/>
        <v/>
      </c>
      <c r="BK47" s="8" t="str">
        <f t="shared" si="286"/>
        <v/>
      </c>
      <c r="BL47" s="173" t="str">
        <f t="shared" si="287"/>
        <v/>
      </c>
      <c r="BM47" s="5" t="str">
        <f t="shared" si="288"/>
        <v/>
      </c>
      <c r="BN47" s="6" t="str">
        <f t="shared" si="289"/>
        <v/>
      </c>
      <c r="BO47" s="4" t="str">
        <f t="shared" si="290"/>
        <v/>
      </c>
      <c r="BP47" s="5" t="str">
        <f t="shared" si="239"/>
        <v/>
      </c>
      <c r="BQ47" s="5" t="str">
        <f t="shared" si="291"/>
        <v/>
      </c>
      <c r="BR47" s="6" t="str">
        <f t="shared" si="292"/>
        <v/>
      </c>
      <c r="BS47" s="4" t="str">
        <f t="shared" si="458"/>
        <v/>
      </c>
      <c r="BT47" s="5" t="str">
        <f t="shared" si="458"/>
        <v/>
      </c>
      <c r="BU47" s="10" t="str">
        <f t="shared" si="119"/>
        <v/>
      </c>
      <c r="BV47" s="9" t="str">
        <f t="shared" si="120"/>
        <v/>
      </c>
      <c r="BW47" s="5" t="str">
        <f t="shared" si="121"/>
        <v/>
      </c>
      <c r="BX47" s="8" t="str">
        <f t="shared" si="122"/>
        <v/>
      </c>
      <c r="BY47" s="173" t="str">
        <f t="shared" si="123"/>
        <v/>
      </c>
      <c r="BZ47" s="5" t="str">
        <f t="shared" si="124"/>
        <v/>
      </c>
      <c r="CA47" s="6" t="str">
        <f t="shared" si="125"/>
        <v/>
      </c>
      <c r="CB47" s="4" t="str">
        <f t="shared" si="293"/>
        <v/>
      </c>
      <c r="CC47" s="5" t="str">
        <f t="shared" si="294"/>
        <v/>
      </c>
      <c r="CD47" s="5" t="str">
        <f t="shared" si="295"/>
        <v/>
      </c>
      <c r="CE47" s="6" t="str">
        <f t="shared" si="296"/>
        <v/>
      </c>
      <c r="CF47" s="4" t="str">
        <f t="shared" si="297"/>
        <v/>
      </c>
      <c r="CG47" s="5" t="str">
        <f t="shared" si="298"/>
        <v/>
      </c>
      <c r="CH47" s="5" t="str">
        <f t="shared" si="299"/>
        <v/>
      </c>
      <c r="CI47" s="4" t="str">
        <f t="shared" si="126"/>
        <v/>
      </c>
      <c r="CJ47" s="5" t="str">
        <f t="shared" si="300"/>
        <v/>
      </c>
      <c r="CK47" s="8" t="str">
        <f t="shared" si="301"/>
        <v/>
      </c>
      <c r="CL47" s="173" t="str">
        <f t="shared" si="302"/>
        <v/>
      </c>
      <c r="CM47" s="5" t="str">
        <f t="shared" si="303"/>
        <v/>
      </c>
      <c r="CN47" s="6" t="str">
        <f t="shared" si="304"/>
        <v/>
      </c>
      <c r="CO47" s="167" t="str">
        <f t="shared" si="305"/>
        <v/>
      </c>
      <c r="CP47" s="4" t="str">
        <f t="shared" si="306"/>
        <v/>
      </c>
      <c r="CQ47" s="5" t="str">
        <f t="shared" si="307"/>
        <v/>
      </c>
      <c r="CR47" s="5" t="str">
        <f t="shared" si="308"/>
        <v/>
      </c>
      <c r="CS47" s="8" t="str">
        <f t="shared" si="309"/>
        <v/>
      </c>
      <c r="CT47" s="9" t="str">
        <f t="shared" si="160"/>
        <v/>
      </c>
      <c r="CU47" s="6" t="str">
        <f t="shared" si="310"/>
        <v/>
      </c>
      <c r="CV47" s="4" t="str">
        <f t="shared" si="311"/>
        <v/>
      </c>
      <c r="CW47" s="5" t="str">
        <f t="shared" si="312"/>
        <v/>
      </c>
      <c r="CX47" s="8" t="str">
        <f t="shared" si="313"/>
        <v/>
      </c>
      <c r="CY47" s="9" t="str">
        <f t="shared" si="314"/>
        <v/>
      </c>
      <c r="CZ47" s="5" t="str">
        <f t="shared" si="315"/>
        <v/>
      </c>
      <c r="DA47" s="6" t="str">
        <f t="shared" si="316"/>
        <v/>
      </c>
      <c r="DB47" s="4" t="str">
        <f t="shared" si="462"/>
        <v/>
      </c>
      <c r="DC47" s="5" t="str">
        <f t="shared" si="462"/>
        <v/>
      </c>
      <c r="DD47" s="10" t="str">
        <f t="shared" si="168"/>
        <v/>
      </c>
      <c r="DE47" s="9" t="str">
        <f t="shared" si="463"/>
        <v/>
      </c>
      <c r="DF47" s="5" t="str">
        <f t="shared" si="463"/>
        <v/>
      </c>
      <c r="DG47" s="10" t="str">
        <f t="shared" si="170"/>
        <v/>
      </c>
      <c r="DH47" s="70" t="str">
        <f t="shared" si="317"/>
        <v/>
      </c>
      <c r="DI47" s="4" t="str">
        <f t="shared" si="318"/>
        <v/>
      </c>
      <c r="DJ47" s="5" t="str">
        <f t="shared" si="319"/>
        <v/>
      </c>
      <c r="DK47" s="10" t="str">
        <f t="shared" si="320"/>
        <v/>
      </c>
      <c r="DL47" s="9" t="str">
        <f t="shared" si="321"/>
        <v/>
      </c>
      <c r="DM47" s="173" t="str">
        <f t="shared" si="322"/>
        <v/>
      </c>
      <c r="DN47" s="178" t="str">
        <f t="shared" si="323"/>
        <v/>
      </c>
      <c r="DO47" s="9" t="str">
        <f t="shared" si="324"/>
        <v/>
      </c>
      <c r="DP47" s="173" t="str">
        <f t="shared" si="325"/>
        <v/>
      </c>
      <c r="DQ47" s="11" t="str">
        <f t="shared" si="326"/>
        <v/>
      </c>
      <c r="DR47" s="173" t="str">
        <f t="shared" si="327"/>
        <v/>
      </c>
      <c r="DS47" s="5" t="str">
        <f t="shared" si="328"/>
        <v/>
      </c>
      <c r="DT47" s="5" t="str">
        <f t="shared" si="329"/>
        <v/>
      </c>
      <c r="DU47" s="5" t="str">
        <f t="shared" si="330"/>
        <v/>
      </c>
      <c r="DV47" s="5" t="str">
        <f t="shared" si="331"/>
        <v/>
      </c>
      <c r="DW47" s="5" t="str">
        <f t="shared" si="332"/>
        <v/>
      </c>
      <c r="DX47" s="167" t="str">
        <f t="shared" si="333"/>
        <v/>
      </c>
      <c r="DY47" s="9" t="str">
        <f t="shared" si="334"/>
        <v/>
      </c>
      <c r="DZ47" s="5" t="str">
        <f t="shared" si="335"/>
        <v/>
      </c>
      <c r="EA47" s="10" t="str">
        <f t="shared" si="336"/>
        <v/>
      </c>
      <c r="EB47" s="6" t="str">
        <f t="shared" si="337"/>
        <v/>
      </c>
      <c r="EC47" s="173" t="str">
        <f t="shared" si="338"/>
        <v/>
      </c>
      <c r="ED47" s="5" t="str">
        <f t="shared" si="339"/>
        <v/>
      </c>
      <c r="EE47" s="4" t="str">
        <f t="shared" si="340"/>
        <v/>
      </c>
      <c r="EF47" s="5" t="str">
        <f t="shared" si="341"/>
        <v/>
      </c>
      <c r="EG47" s="10" t="str">
        <f t="shared" si="342"/>
        <v/>
      </c>
      <c r="EH47" s="9" t="str">
        <f t="shared" si="343"/>
        <v/>
      </c>
      <c r="EI47" s="5" t="str">
        <f t="shared" si="344"/>
        <v/>
      </c>
      <c r="EJ47" s="6" t="str">
        <f t="shared" si="345"/>
        <v/>
      </c>
      <c r="EK47" s="236" t="str">
        <f t="shared" si="200"/>
        <v/>
      </c>
      <c r="EL47" s="238" t="str">
        <f t="shared" si="201"/>
        <v/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str">
        <f t="shared" si="349"/>
        <v/>
      </c>
      <c r="EQ47" s="5" t="str">
        <f t="shared" si="350"/>
        <v/>
      </c>
      <c r="ER47" s="7" t="str">
        <f t="shared" si="351"/>
        <v/>
      </c>
      <c r="ES47" s="21" t="str">
        <f t="shared" si="352"/>
        <v/>
      </c>
      <c r="ET47" s="5" t="str">
        <f t="shared" si="353"/>
        <v/>
      </c>
      <c r="EU47" s="10" t="str">
        <f t="shared" si="354"/>
        <v/>
      </c>
      <c r="EV47" s="174" t="str">
        <f t="shared" si="355"/>
        <v/>
      </c>
      <c r="EW47" s="9" t="str">
        <f t="shared" si="356"/>
        <v/>
      </c>
      <c r="EX47" s="5" t="str">
        <f t="shared" si="357"/>
        <v/>
      </c>
      <c r="EY47" s="6" t="str">
        <f t="shared" si="358"/>
        <v/>
      </c>
      <c r="EZ47" s="51" t="str">
        <f t="shared" si="209"/>
        <v/>
      </c>
      <c r="FA47" s="266" t="str">
        <f t="shared" si="134"/>
        <v/>
      </c>
      <c r="FB47" s="267" t="str">
        <f t="shared" si="135"/>
        <v/>
      </c>
      <c r="FC47" s="269" t="str">
        <f t="shared" si="48"/>
        <v/>
      </c>
      <c r="FD47" s="4" t="str">
        <f t="shared" si="359"/>
        <v/>
      </c>
      <c r="FE47" s="5" t="str">
        <f t="shared" si="360"/>
        <v/>
      </c>
      <c r="FF47" s="7" t="str">
        <f t="shared" si="361"/>
        <v/>
      </c>
      <c r="FG47" s="173" t="str">
        <f t="shared" si="362"/>
        <v/>
      </c>
      <c r="FH47" s="5" t="str">
        <f t="shared" si="363"/>
        <v/>
      </c>
      <c r="FI47" s="10" t="str">
        <f t="shared" si="364"/>
        <v/>
      </c>
      <c r="FJ47" s="279" t="str">
        <f t="shared" si="365"/>
        <v/>
      </c>
      <c r="FK47" s="4" t="str">
        <f t="shared" si="366"/>
        <v/>
      </c>
      <c r="FL47" s="5" t="str">
        <f t="shared" si="367"/>
        <v/>
      </c>
      <c r="FM47" s="8" t="str">
        <f t="shared" si="368"/>
        <v/>
      </c>
      <c r="FN47" s="9" t="str">
        <f t="shared" si="369"/>
        <v/>
      </c>
      <c r="FO47" s="10" t="str">
        <f t="shared" si="370"/>
        <v/>
      </c>
      <c r="FP47" s="277" t="str">
        <f t="shared" si="371"/>
        <v/>
      </c>
      <c r="FQ47" s="173" t="str">
        <f t="shared" si="372"/>
        <v/>
      </c>
      <c r="FR47" s="10" t="str">
        <f t="shared" si="373"/>
        <v/>
      </c>
      <c r="FS47" s="9" t="str">
        <f t="shared" si="374"/>
        <v/>
      </c>
      <c r="FT47" s="6" t="str">
        <f t="shared" si="375"/>
        <v/>
      </c>
      <c r="FU47" s="4" t="str">
        <f t="shared" si="376"/>
        <v/>
      </c>
      <c r="FV47" s="5" t="str">
        <f t="shared" si="377"/>
        <v/>
      </c>
      <c r="FW47" s="8" t="str">
        <f t="shared" si="378"/>
        <v/>
      </c>
      <c r="FX47" s="9" t="str">
        <f t="shared" si="379"/>
        <v/>
      </c>
      <c r="FY47" s="10" t="str">
        <f t="shared" si="380"/>
        <v/>
      </c>
      <c r="FZ47" s="277" t="str">
        <f t="shared" si="381"/>
        <v/>
      </c>
      <c r="GA47" s="177" t="str">
        <f t="shared" si="382"/>
        <v/>
      </c>
      <c r="GB47" s="4" t="str">
        <f t="shared" si="383"/>
        <v/>
      </c>
      <c r="GC47" s="5" t="str">
        <f t="shared" si="384"/>
        <v/>
      </c>
      <c r="GD47" s="10" t="str">
        <f t="shared" si="385"/>
        <v/>
      </c>
      <c r="GE47" s="311" t="str">
        <f t="shared" si="386"/>
        <v/>
      </c>
      <c r="GF47" s="341" t="str">
        <f t="shared" si="387"/>
        <v/>
      </c>
      <c r="GG47" s="285" t="str">
        <f t="shared" si="388"/>
        <v/>
      </c>
      <c r="GH47" s="286" t="str">
        <f t="shared" si="389"/>
        <v/>
      </c>
      <c r="GI47" s="281" t="str">
        <f t="shared" si="390"/>
        <v/>
      </c>
      <c r="GJ47" s="167" t="str">
        <f t="shared" si="391"/>
        <v/>
      </c>
      <c r="GK47" s="174" t="str">
        <f t="shared" si="59"/>
        <v/>
      </c>
      <c r="GL47" s="174" t="str">
        <f t="shared" si="392"/>
        <v/>
      </c>
      <c r="GM47" s="177" t="str">
        <f t="shared" si="393"/>
        <v/>
      </c>
      <c r="GN47" s="280" t="str">
        <f t="shared" si="394"/>
        <v/>
      </c>
      <c r="GO47" s="4" t="str">
        <f t="shared" si="395"/>
        <v/>
      </c>
      <c r="GP47" s="8" t="str">
        <f t="shared" si="396"/>
        <v/>
      </c>
      <c r="GQ47" s="177" t="str">
        <f t="shared" si="397"/>
        <v/>
      </c>
      <c r="GR47" s="371" t="str">
        <f t="shared" si="398"/>
        <v/>
      </c>
      <c r="GS47" s="342" t="str">
        <f t="shared" si="399"/>
        <v/>
      </c>
      <c r="GT47" s="343" t="str">
        <f t="shared" si="400"/>
        <v/>
      </c>
      <c r="GU47" s="344" t="str">
        <f t="shared" si="63"/>
        <v/>
      </c>
      <c r="GV47" s="343" t="str">
        <f t="shared" si="401"/>
        <v/>
      </c>
      <c r="GW47" s="345" t="str">
        <f t="shared" si="64"/>
        <v/>
      </c>
      <c r="GX47" s="346" t="str">
        <f t="shared" si="65"/>
        <v/>
      </c>
      <c r="GY47" s="344" t="str">
        <f t="shared" si="402"/>
        <v/>
      </c>
      <c r="GZ47" s="345" t="str">
        <f t="shared" si="403"/>
        <v/>
      </c>
      <c r="HA47" s="342" t="str">
        <f t="shared" si="68"/>
        <v/>
      </c>
      <c r="HB47" s="5" t="str">
        <f t="shared" si="231"/>
        <v/>
      </c>
      <c r="HC47" s="343" t="str">
        <f t="shared" si="404"/>
        <v/>
      </c>
      <c r="HD47" s="345" t="str">
        <f t="shared" si="405"/>
        <v/>
      </c>
      <c r="HE47" s="344" t="str">
        <f t="shared" si="69"/>
        <v/>
      </c>
      <c r="HF47" s="5" t="str">
        <f t="shared" si="70"/>
        <v/>
      </c>
      <c r="HG47" s="343" t="str">
        <f t="shared" si="406"/>
        <v/>
      </c>
      <c r="HH47" s="349" t="str">
        <f t="shared" si="407"/>
        <v/>
      </c>
      <c r="HI47" s="317" t="str">
        <f t="shared" si="408"/>
        <v/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3.1389999999999998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26"/>
        <v>1613</v>
      </c>
      <c r="IM47" s="482" t="str">
        <f t="shared" si="237"/>
        <v/>
      </c>
      <c r="IN47" s="670" t="str">
        <f t="shared" si="427"/>
        <v/>
      </c>
      <c r="IO47" s="702"/>
      <c r="IP47" s="5" t="str">
        <f t="shared" si="428"/>
        <v/>
      </c>
      <c r="IQ47" s="714"/>
      <c r="IR47" s="9" t="str">
        <f t="shared" si="429"/>
        <v/>
      </c>
      <c r="IS47" s="5" t="str">
        <f t="shared" si="430"/>
        <v/>
      </c>
      <c r="IT47" s="5" t="str">
        <f t="shared" si="431"/>
        <v/>
      </c>
      <c r="IU47" s="5" t="str">
        <f t="shared" si="432"/>
        <v/>
      </c>
      <c r="IV47" s="670" t="str">
        <f t="shared" si="433"/>
        <v/>
      </c>
      <c r="IW47" s="9" t="str">
        <f t="shared" si="434"/>
        <v/>
      </c>
      <c r="IX47" s="5" t="str">
        <f t="shared" si="435"/>
        <v/>
      </c>
      <c r="IY47" s="5" t="str">
        <f t="shared" si="436"/>
        <v/>
      </c>
      <c r="IZ47" s="5" t="str">
        <f t="shared" si="437"/>
        <v/>
      </c>
      <c r="JA47" s="705" t="str">
        <f t="shared" si="438"/>
        <v/>
      </c>
    </row>
    <row r="48" spans="1:269" ht="15" customHeight="1" x14ac:dyDescent="0.25">
      <c r="A48" s="75">
        <f t="shared" si="256"/>
        <v>0.02</v>
      </c>
      <c r="B48" s="578">
        <f t="shared" si="257"/>
        <v>4.016135352304981</v>
      </c>
      <c r="C48" s="572">
        <f t="shared" si="258"/>
        <v>-3.069947807331213</v>
      </c>
      <c r="D48" s="576">
        <f t="shared" si="259"/>
        <v>-2.8490882343532911</v>
      </c>
      <c r="E48" s="580">
        <f t="shared" si="260"/>
        <v>0.92020555240507906</v>
      </c>
      <c r="F48" s="572">
        <f t="shared" si="261"/>
        <v>0.38900501788106984</v>
      </c>
      <c r="G48" s="579">
        <f t="shared" si="262"/>
        <v>4.3552696658323037E-2</v>
      </c>
      <c r="H48" s="580">
        <f t="shared" si="263"/>
        <v>0.3125</v>
      </c>
      <c r="I48" s="572">
        <f t="shared" si="264"/>
        <v>0.52</v>
      </c>
      <c r="J48" s="483">
        <f t="shared" si="265"/>
        <v>3.145</v>
      </c>
      <c r="K48" s="806">
        <f t="shared" si="266"/>
        <v>1613</v>
      </c>
      <c r="L48" s="309"/>
      <c r="M48" s="164">
        <f t="shared" si="267"/>
        <v>3.145</v>
      </c>
      <c r="N48" s="575">
        <f t="shared" si="268"/>
        <v>4.016135352304981</v>
      </c>
      <c r="O48" s="572">
        <f t="shared" si="269"/>
        <v>-3.069947807331213</v>
      </c>
      <c r="P48" s="576">
        <f t="shared" si="270"/>
        <v>-2.8490882343532911</v>
      </c>
      <c r="Q48" s="528">
        <f t="shared" si="140"/>
        <v>322.60557827379552</v>
      </c>
      <c r="R48" s="572">
        <f t="shared" si="101"/>
        <v>5.0550887932628417</v>
      </c>
      <c r="S48" s="577">
        <f t="shared" si="102"/>
        <v>-2.8490882343532911</v>
      </c>
      <c r="T48" s="578">
        <f t="shared" si="103"/>
        <v>-3.0395170837440633</v>
      </c>
      <c r="U48" s="572">
        <f t="shared" si="104"/>
        <v>-4.039215097689099</v>
      </c>
      <c r="V48" s="579">
        <f t="shared" si="141"/>
        <v>-2.8490882343532911</v>
      </c>
      <c r="W48" s="528">
        <f t="shared" si="253"/>
        <v>233.0384691196665</v>
      </c>
      <c r="X48" s="572">
        <f t="shared" si="105"/>
        <v>5.0550887932628417</v>
      </c>
      <c r="Y48" s="573">
        <f t="shared" si="255"/>
        <v>-2.8490882343532911</v>
      </c>
      <c r="Z48" s="575">
        <f t="shared" si="271"/>
        <v>-0.92020555240507906</v>
      </c>
      <c r="AA48" s="572">
        <f t="shared" si="272"/>
        <v>-0.38900501788106984</v>
      </c>
      <c r="AB48" s="572">
        <f t="shared" si="273"/>
        <v>-4.3552696658323037E-2</v>
      </c>
      <c r="AC48" s="579">
        <f t="shared" si="106"/>
        <v>1</v>
      </c>
      <c r="AD48" s="580">
        <f t="shared" si="142"/>
        <v>-0.92020555240507906</v>
      </c>
      <c r="AE48" s="572">
        <f t="shared" si="107"/>
        <v>-0.38900501788106984</v>
      </c>
      <c r="AF48" s="576">
        <f t="shared" si="108"/>
        <v>-4.3552696658323037E-2</v>
      </c>
      <c r="AG48" s="545">
        <f t="shared" si="109"/>
        <v>-83.611812521579807</v>
      </c>
      <c r="AH48" s="546">
        <f t="shared" si="110"/>
        <v>156.95615081079271</v>
      </c>
      <c r="AI48" s="528">
        <f t="shared" si="111"/>
        <v>-87.50382473077525</v>
      </c>
      <c r="AJ48" s="529">
        <f t="shared" si="112"/>
        <v>-67.084416478953017</v>
      </c>
      <c r="AK48" s="578">
        <f t="shared" si="238"/>
        <v>0.86789372093390571</v>
      </c>
      <c r="AL48" s="572">
        <f t="shared" si="113"/>
        <v>-0.4948369951582926</v>
      </c>
      <c r="AM48" s="577">
        <f t="shared" si="114"/>
        <v>-4.3552696658323037E-2</v>
      </c>
      <c r="AN48" s="524">
        <f t="shared" si="115"/>
        <v>-84.97011741683842</v>
      </c>
      <c r="AO48" s="525">
        <f t="shared" si="116"/>
        <v>29.785208788526909</v>
      </c>
      <c r="AP48" s="528">
        <f t="shared" si="117"/>
        <v>-29.68999475274855</v>
      </c>
      <c r="AQ48" s="529">
        <f t="shared" si="274"/>
        <v>0.1803900340937914</v>
      </c>
      <c r="AS48" s="932">
        <f t="shared" si="461"/>
        <v>233.0384691196665</v>
      </c>
      <c r="AT48" s="928">
        <f t="shared" si="275"/>
        <v>-2.8145660586125754</v>
      </c>
      <c r="AU48" s="418"/>
      <c r="AV48" s="164" t="str">
        <f t="shared" si="276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7"/>
        <v/>
      </c>
      <c r="BA48" s="296" t="str">
        <f t="shared" si="278"/>
        <v/>
      </c>
      <c r="BB48" s="190" t="str">
        <f t="shared" si="145"/>
        <v/>
      </c>
      <c r="BC48" s="9"/>
      <c r="BD48" s="5" t="str">
        <f t="shared" si="279"/>
        <v/>
      </c>
      <c r="BE48" s="6" t="str">
        <f t="shared" si="280"/>
        <v/>
      </c>
      <c r="BF48" s="4" t="str">
        <f t="shared" si="281"/>
        <v/>
      </c>
      <c r="BG48" s="5" t="str">
        <f t="shared" si="282"/>
        <v/>
      </c>
      <c r="BH48" s="10" t="str">
        <f t="shared" si="283"/>
        <v/>
      </c>
      <c r="BI48" s="9" t="str">
        <f t="shared" si="284"/>
        <v/>
      </c>
      <c r="BJ48" s="5" t="str">
        <f t="shared" si="285"/>
        <v/>
      </c>
      <c r="BK48" s="8" t="str">
        <f t="shared" si="286"/>
        <v/>
      </c>
      <c r="BL48" s="173" t="str">
        <f t="shared" si="287"/>
        <v/>
      </c>
      <c r="BM48" s="5" t="str">
        <f t="shared" si="288"/>
        <v/>
      </c>
      <c r="BN48" s="6" t="str">
        <f t="shared" si="289"/>
        <v/>
      </c>
      <c r="BO48" s="4" t="str">
        <f t="shared" si="290"/>
        <v/>
      </c>
      <c r="BP48" s="5" t="str">
        <f t="shared" si="239"/>
        <v/>
      </c>
      <c r="BQ48" s="5" t="str">
        <f t="shared" si="291"/>
        <v/>
      </c>
      <c r="BR48" s="6" t="str">
        <f t="shared" si="292"/>
        <v/>
      </c>
      <c r="BS48" s="4" t="str">
        <f t="shared" si="458"/>
        <v/>
      </c>
      <c r="BT48" s="5" t="str">
        <f t="shared" si="458"/>
        <v/>
      </c>
      <c r="BU48" s="10" t="str">
        <f t="shared" si="119"/>
        <v/>
      </c>
      <c r="BV48" s="9" t="str">
        <f t="shared" si="120"/>
        <v/>
      </c>
      <c r="BW48" s="5" t="str">
        <f t="shared" si="121"/>
        <v/>
      </c>
      <c r="BX48" s="8" t="str">
        <f t="shared" si="122"/>
        <v/>
      </c>
      <c r="BY48" s="173" t="str">
        <f t="shared" si="123"/>
        <v/>
      </c>
      <c r="BZ48" s="5" t="str">
        <f t="shared" si="124"/>
        <v/>
      </c>
      <c r="CA48" s="6" t="str">
        <f t="shared" si="125"/>
        <v/>
      </c>
      <c r="CB48" s="4" t="str">
        <f t="shared" si="293"/>
        <v/>
      </c>
      <c r="CC48" s="5" t="str">
        <f t="shared" si="294"/>
        <v/>
      </c>
      <c r="CD48" s="5" t="str">
        <f t="shared" si="295"/>
        <v/>
      </c>
      <c r="CE48" s="6" t="str">
        <f t="shared" si="296"/>
        <v/>
      </c>
      <c r="CF48" s="4" t="str">
        <f t="shared" si="297"/>
        <v/>
      </c>
      <c r="CG48" s="5" t="str">
        <f t="shared" si="298"/>
        <v/>
      </c>
      <c r="CH48" s="5" t="str">
        <f t="shared" si="299"/>
        <v/>
      </c>
      <c r="CI48" s="4" t="str">
        <f t="shared" si="126"/>
        <v/>
      </c>
      <c r="CJ48" s="5" t="str">
        <f t="shared" si="300"/>
        <v/>
      </c>
      <c r="CK48" s="8" t="str">
        <f t="shared" si="301"/>
        <v/>
      </c>
      <c r="CL48" s="173" t="str">
        <f t="shared" si="302"/>
        <v/>
      </c>
      <c r="CM48" s="5" t="str">
        <f t="shared" si="303"/>
        <v/>
      </c>
      <c r="CN48" s="6" t="str">
        <f t="shared" si="304"/>
        <v/>
      </c>
      <c r="CO48" s="167" t="str">
        <f t="shared" si="305"/>
        <v/>
      </c>
      <c r="CP48" s="4" t="str">
        <f t="shared" si="306"/>
        <v/>
      </c>
      <c r="CQ48" s="5" t="str">
        <f t="shared" si="307"/>
        <v/>
      </c>
      <c r="CR48" s="5" t="str">
        <f t="shared" si="308"/>
        <v/>
      </c>
      <c r="CS48" s="8" t="str">
        <f t="shared" si="309"/>
        <v/>
      </c>
      <c r="CT48" s="9" t="str">
        <f t="shared" si="160"/>
        <v/>
      </c>
      <c r="CU48" s="6" t="str">
        <f t="shared" si="310"/>
        <v/>
      </c>
      <c r="CV48" s="4" t="str">
        <f t="shared" si="311"/>
        <v/>
      </c>
      <c r="CW48" s="5" t="str">
        <f t="shared" si="312"/>
        <v/>
      </c>
      <c r="CX48" s="8" t="str">
        <f t="shared" si="313"/>
        <v/>
      </c>
      <c r="CY48" s="9" t="str">
        <f t="shared" si="314"/>
        <v/>
      </c>
      <c r="CZ48" s="5" t="str">
        <f t="shared" si="315"/>
        <v/>
      </c>
      <c r="DA48" s="6" t="str">
        <f t="shared" si="316"/>
        <v/>
      </c>
      <c r="DB48" s="4" t="str">
        <f t="shared" si="462"/>
        <v/>
      </c>
      <c r="DC48" s="5" t="str">
        <f t="shared" si="462"/>
        <v/>
      </c>
      <c r="DD48" s="10" t="str">
        <f t="shared" si="168"/>
        <v/>
      </c>
      <c r="DE48" s="9" t="str">
        <f t="shared" si="463"/>
        <v/>
      </c>
      <c r="DF48" s="5" t="str">
        <f t="shared" si="463"/>
        <v/>
      </c>
      <c r="DG48" s="10" t="str">
        <f t="shared" si="170"/>
        <v/>
      </c>
      <c r="DH48" s="70" t="str">
        <f t="shared" si="317"/>
        <v/>
      </c>
      <c r="DI48" s="4" t="str">
        <f t="shared" si="318"/>
        <v/>
      </c>
      <c r="DJ48" s="5" t="str">
        <f t="shared" si="319"/>
        <v/>
      </c>
      <c r="DK48" s="10" t="str">
        <f t="shared" si="320"/>
        <v/>
      </c>
      <c r="DL48" s="9" t="str">
        <f t="shared" si="321"/>
        <v/>
      </c>
      <c r="DM48" s="173" t="str">
        <f t="shared" si="322"/>
        <v/>
      </c>
      <c r="DN48" s="178" t="str">
        <f t="shared" si="323"/>
        <v/>
      </c>
      <c r="DO48" s="9" t="str">
        <f t="shared" si="324"/>
        <v/>
      </c>
      <c r="DP48" s="173" t="str">
        <f t="shared" si="325"/>
        <v/>
      </c>
      <c r="DQ48" s="11" t="str">
        <f t="shared" si="326"/>
        <v/>
      </c>
      <c r="DR48" s="173" t="str">
        <f t="shared" si="327"/>
        <v/>
      </c>
      <c r="DS48" s="5" t="str">
        <f t="shared" si="328"/>
        <v/>
      </c>
      <c r="DT48" s="5" t="str">
        <f t="shared" si="329"/>
        <v/>
      </c>
      <c r="DU48" s="5" t="str">
        <f t="shared" si="330"/>
        <v/>
      </c>
      <c r="DV48" s="5" t="str">
        <f t="shared" si="331"/>
        <v/>
      </c>
      <c r="DW48" s="5" t="str">
        <f t="shared" si="332"/>
        <v/>
      </c>
      <c r="DX48" s="167" t="str">
        <f t="shared" si="333"/>
        <v/>
      </c>
      <c r="DY48" s="9" t="str">
        <f t="shared" si="334"/>
        <v/>
      </c>
      <c r="DZ48" s="5" t="str">
        <f t="shared" si="335"/>
        <v/>
      </c>
      <c r="EA48" s="10" t="str">
        <f t="shared" si="336"/>
        <v/>
      </c>
      <c r="EB48" s="6" t="str">
        <f t="shared" si="337"/>
        <v/>
      </c>
      <c r="EC48" s="173" t="str">
        <f t="shared" si="338"/>
        <v/>
      </c>
      <c r="ED48" s="5" t="str">
        <f t="shared" si="339"/>
        <v/>
      </c>
      <c r="EE48" s="4" t="str">
        <f t="shared" si="340"/>
        <v/>
      </c>
      <c r="EF48" s="5" t="str">
        <f t="shared" si="341"/>
        <v/>
      </c>
      <c r="EG48" s="10" t="str">
        <f t="shared" si="342"/>
        <v/>
      </c>
      <c r="EH48" s="9" t="str">
        <f t="shared" si="343"/>
        <v/>
      </c>
      <c r="EI48" s="5" t="str">
        <f t="shared" si="344"/>
        <v/>
      </c>
      <c r="EJ48" s="6" t="str">
        <f t="shared" si="345"/>
        <v/>
      </c>
      <c r="EK48" s="236" t="str">
        <f t="shared" si="200"/>
        <v/>
      </c>
      <c r="EL48" s="238" t="str">
        <f t="shared" si="201"/>
        <v/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str">
        <f t="shared" si="349"/>
        <v/>
      </c>
      <c r="EQ48" s="5" t="str">
        <f t="shared" si="350"/>
        <v/>
      </c>
      <c r="ER48" s="7" t="str">
        <f t="shared" si="351"/>
        <v/>
      </c>
      <c r="ES48" s="21" t="str">
        <f t="shared" si="352"/>
        <v/>
      </c>
      <c r="ET48" s="5" t="str">
        <f t="shared" si="353"/>
        <v/>
      </c>
      <c r="EU48" s="10" t="str">
        <f t="shared" si="354"/>
        <v/>
      </c>
      <c r="EV48" s="174" t="str">
        <f t="shared" si="355"/>
        <v/>
      </c>
      <c r="EW48" s="9" t="str">
        <f t="shared" si="356"/>
        <v/>
      </c>
      <c r="EX48" s="5" t="str">
        <f t="shared" si="357"/>
        <v/>
      </c>
      <c r="EY48" s="6" t="str">
        <f t="shared" si="358"/>
        <v/>
      </c>
      <c r="EZ48" s="51" t="str">
        <f t="shared" si="209"/>
        <v/>
      </c>
      <c r="FA48" s="266" t="str">
        <f t="shared" si="134"/>
        <v/>
      </c>
      <c r="FB48" s="267" t="str">
        <f t="shared" si="135"/>
        <v/>
      </c>
      <c r="FC48" s="269" t="str">
        <f t="shared" si="48"/>
        <v/>
      </c>
      <c r="FD48" s="4" t="str">
        <f t="shared" si="359"/>
        <v/>
      </c>
      <c r="FE48" s="5" t="str">
        <f t="shared" si="360"/>
        <v/>
      </c>
      <c r="FF48" s="7" t="str">
        <f t="shared" si="361"/>
        <v/>
      </c>
      <c r="FG48" s="173" t="str">
        <f t="shared" si="362"/>
        <v/>
      </c>
      <c r="FH48" s="5" t="str">
        <f t="shared" si="363"/>
        <v/>
      </c>
      <c r="FI48" s="10" t="str">
        <f t="shared" si="364"/>
        <v/>
      </c>
      <c r="FJ48" s="279" t="str">
        <f t="shared" si="365"/>
        <v/>
      </c>
      <c r="FK48" s="4" t="str">
        <f t="shared" si="366"/>
        <v/>
      </c>
      <c r="FL48" s="5" t="str">
        <f t="shared" si="367"/>
        <v/>
      </c>
      <c r="FM48" s="8" t="str">
        <f t="shared" si="368"/>
        <v/>
      </c>
      <c r="FN48" s="9" t="str">
        <f t="shared" si="369"/>
        <v/>
      </c>
      <c r="FO48" s="10" t="str">
        <f t="shared" si="370"/>
        <v/>
      </c>
      <c r="FP48" s="277" t="str">
        <f t="shared" si="371"/>
        <v/>
      </c>
      <c r="FQ48" s="173" t="str">
        <f t="shared" si="372"/>
        <v/>
      </c>
      <c r="FR48" s="10" t="str">
        <f t="shared" si="373"/>
        <v/>
      </c>
      <c r="FS48" s="9" t="str">
        <f t="shared" si="374"/>
        <v/>
      </c>
      <c r="FT48" s="6" t="str">
        <f t="shared" si="375"/>
        <v/>
      </c>
      <c r="FU48" s="4" t="str">
        <f t="shared" si="376"/>
        <v/>
      </c>
      <c r="FV48" s="5" t="str">
        <f t="shared" si="377"/>
        <v/>
      </c>
      <c r="FW48" s="8" t="str">
        <f t="shared" si="378"/>
        <v/>
      </c>
      <c r="FX48" s="9" t="str">
        <f t="shared" si="379"/>
        <v/>
      </c>
      <c r="FY48" s="10" t="str">
        <f t="shared" si="380"/>
        <v/>
      </c>
      <c r="FZ48" s="277" t="str">
        <f t="shared" si="381"/>
        <v/>
      </c>
      <c r="GA48" s="177" t="str">
        <f t="shared" si="382"/>
        <v/>
      </c>
      <c r="GB48" s="4" t="str">
        <f t="shared" si="383"/>
        <v/>
      </c>
      <c r="GC48" s="5" t="str">
        <f t="shared" si="384"/>
        <v/>
      </c>
      <c r="GD48" s="10" t="str">
        <f t="shared" si="385"/>
        <v/>
      </c>
      <c r="GE48" s="311" t="str">
        <f t="shared" si="386"/>
        <v/>
      </c>
      <c r="GF48" s="341" t="str">
        <f t="shared" si="387"/>
        <v/>
      </c>
      <c r="GG48" s="285" t="str">
        <f t="shared" si="388"/>
        <v/>
      </c>
      <c r="GH48" s="286" t="str">
        <f t="shared" si="389"/>
        <v/>
      </c>
      <c r="GI48" s="281" t="str">
        <f t="shared" si="390"/>
        <v/>
      </c>
      <c r="GJ48" s="167" t="str">
        <f t="shared" si="391"/>
        <v/>
      </c>
      <c r="GK48" s="174" t="str">
        <f t="shared" si="59"/>
        <v/>
      </c>
      <c r="GL48" s="174" t="str">
        <f t="shared" si="392"/>
        <v/>
      </c>
      <c r="GM48" s="177" t="str">
        <f t="shared" si="393"/>
        <v/>
      </c>
      <c r="GN48" s="280" t="str">
        <f t="shared" si="394"/>
        <v/>
      </c>
      <c r="GO48" s="4" t="str">
        <f t="shared" si="395"/>
        <v/>
      </c>
      <c r="GP48" s="8" t="str">
        <f t="shared" si="396"/>
        <v/>
      </c>
      <c r="GQ48" s="177" t="str">
        <f t="shared" si="397"/>
        <v/>
      </c>
      <c r="GR48" s="371" t="str">
        <f t="shared" si="398"/>
        <v/>
      </c>
      <c r="GS48" s="342" t="str">
        <f t="shared" si="399"/>
        <v/>
      </c>
      <c r="GT48" s="343" t="str">
        <f t="shared" si="400"/>
        <v/>
      </c>
      <c r="GU48" s="344" t="str">
        <f t="shared" si="63"/>
        <v/>
      </c>
      <c r="GV48" s="343" t="str">
        <f t="shared" si="401"/>
        <v/>
      </c>
      <c r="GW48" s="345" t="str">
        <f t="shared" si="64"/>
        <v/>
      </c>
      <c r="GX48" s="346" t="str">
        <f t="shared" si="65"/>
        <v/>
      </c>
      <c r="GY48" s="344" t="str">
        <f t="shared" si="402"/>
        <v/>
      </c>
      <c r="GZ48" s="345" t="str">
        <f t="shared" si="403"/>
        <v/>
      </c>
      <c r="HA48" s="342" t="str">
        <f t="shared" si="68"/>
        <v/>
      </c>
      <c r="HB48" s="5" t="str">
        <f t="shared" si="231"/>
        <v/>
      </c>
      <c r="HC48" s="343" t="str">
        <f t="shared" si="404"/>
        <v/>
      </c>
      <c r="HD48" s="345" t="str">
        <f t="shared" si="405"/>
        <v/>
      </c>
      <c r="HE48" s="344" t="str">
        <f t="shared" si="69"/>
        <v/>
      </c>
      <c r="HF48" s="5" t="str">
        <f t="shared" si="70"/>
        <v/>
      </c>
      <c r="HG48" s="343" t="str">
        <f t="shared" si="406"/>
        <v/>
      </c>
      <c r="HH48" s="349" t="str">
        <f t="shared" si="407"/>
        <v/>
      </c>
      <c r="HI48" s="317" t="str">
        <f t="shared" si="408"/>
        <v/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3.145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26"/>
        <v>1613</v>
      </c>
      <c r="IM48" s="482" t="str">
        <f t="shared" si="237"/>
        <v/>
      </c>
      <c r="IN48" s="670" t="str">
        <f t="shared" si="427"/>
        <v/>
      </c>
      <c r="IO48" s="702"/>
      <c r="IP48" s="5" t="str">
        <f t="shared" si="428"/>
        <v/>
      </c>
      <c r="IQ48" s="714"/>
      <c r="IR48" s="9" t="str">
        <f t="shared" si="429"/>
        <v/>
      </c>
      <c r="IS48" s="5" t="str">
        <f t="shared" si="430"/>
        <v/>
      </c>
      <c r="IT48" s="5" t="str">
        <f t="shared" si="431"/>
        <v/>
      </c>
      <c r="IU48" s="5" t="str">
        <f t="shared" si="432"/>
        <v/>
      </c>
      <c r="IV48" s="670" t="str">
        <f t="shared" si="433"/>
        <v/>
      </c>
      <c r="IW48" s="9" t="str">
        <f t="shared" si="434"/>
        <v/>
      </c>
      <c r="IX48" s="5" t="str">
        <f t="shared" si="435"/>
        <v/>
      </c>
      <c r="IY48" s="5" t="str">
        <f t="shared" si="436"/>
        <v/>
      </c>
      <c r="IZ48" s="5" t="str">
        <f t="shared" si="437"/>
        <v/>
      </c>
      <c r="JA48" s="705" t="str">
        <f t="shared" si="438"/>
        <v/>
      </c>
    </row>
    <row r="49" spans="1:261" ht="15" customHeight="1" x14ac:dyDescent="0.25">
      <c r="A49" s="75">
        <f t="shared" si="256"/>
        <v>0</v>
      </c>
      <c r="B49" s="578">
        <f t="shared" si="257"/>
        <v>1.7789197706905002</v>
      </c>
      <c r="C49" s="572">
        <f t="shared" si="258"/>
        <v>-2.4973412401661488</v>
      </c>
      <c r="D49" s="576">
        <f t="shared" si="259"/>
        <v>-0.10702467933374853</v>
      </c>
      <c r="E49" s="580">
        <f t="shared" si="260"/>
        <v>-1.0125544391852953E-2</v>
      </c>
      <c r="F49" s="572">
        <f t="shared" si="261"/>
        <v>1.4214772361033511E-2</v>
      </c>
      <c r="G49" s="579">
        <f t="shared" si="262"/>
        <v>0.99984769520037031</v>
      </c>
      <c r="H49" s="580">
        <f t="shared" si="263"/>
        <v>0.255</v>
      </c>
      <c r="I49" s="572">
        <f t="shared" si="264"/>
        <v>0.41499999999999992</v>
      </c>
      <c r="J49" s="483">
        <f t="shared" si="265"/>
        <v>3.2149999999999999</v>
      </c>
      <c r="K49" s="806" t="str">
        <f t="shared" si="266"/>
        <v>CPS-32193r1</v>
      </c>
      <c r="L49" s="309"/>
      <c r="M49" s="164">
        <f t="shared" si="267"/>
        <v>3.2149999999999999</v>
      </c>
      <c r="N49" s="575">
        <f t="shared" si="268"/>
        <v>1.7789197706905002</v>
      </c>
      <c r="O49" s="572">
        <f t="shared" si="269"/>
        <v>-2.4973412401661488</v>
      </c>
      <c r="P49" s="576">
        <f t="shared" si="270"/>
        <v>-0.10702467933374853</v>
      </c>
      <c r="Q49" s="528">
        <f t="shared" si="140"/>
        <v>305.46323888994112</v>
      </c>
      <c r="R49" s="572">
        <f t="shared" si="101"/>
        <v>3.0661488581587393</v>
      </c>
      <c r="S49" s="577">
        <f t="shared" si="102"/>
        <v>-0.10702467933374853</v>
      </c>
      <c r="T49" s="578">
        <f t="shared" si="103"/>
        <v>-2.4838296916633915</v>
      </c>
      <c r="U49" s="572">
        <f t="shared" si="104"/>
        <v>-1.7977371563160958</v>
      </c>
      <c r="V49" s="579">
        <f t="shared" si="141"/>
        <v>-0.10702467933374853</v>
      </c>
      <c r="W49" s="528">
        <f t="shared" si="253"/>
        <v>215.89612973581211</v>
      </c>
      <c r="X49" s="572">
        <f t="shared" si="105"/>
        <v>3.0661488581587393</v>
      </c>
      <c r="Y49" s="573">
        <f t="shared" si="255"/>
        <v>-0.10702467933374853</v>
      </c>
      <c r="Z49" s="575">
        <f t="shared" si="271"/>
        <v>1.0125544391852953E-2</v>
      </c>
      <c r="AA49" s="572">
        <f t="shared" si="272"/>
        <v>-1.4214772361033511E-2</v>
      </c>
      <c r="AB49" s="572">
        <f t="shared" si="273"/>
        <v>-0.99984769520037031</v>
      </c>
      <c r="AC49" s="579">
        <f t="shared" si="106"/>
        <v>1</v>
      </c>
      <c r="AD49" s="580">
        <f t="shared" si="142"/>
        <v>1.0125544391852953E-2</v>
      </c>
      <c r="AE49" s="572">
        <f t="shared" si="107"/>
        <v>-1.4214772361033511E-2</v>
      </c>
      <c r="AF49" s="576">
        <f t="shared" si="108"/>
        <v>-0.99984769520037031</v>
      </c>
      <c r="AG49" s="545">
        <f t="shared" si="109"/>
        <v>-0.81451565199267384</v>
      </c>
      <c r="AH49" s="546">
        <f t="shared" si="110"/>
        <v>89.419839127128071</v>
      </c>
      <c r="AI49" s="528">
        <f t="shared" si="111"/>
        <v>-0.99999985561788196</v>
      </c>
      <c r="AJ49" s="529">
        <f t="shared" si="112"/>
        <v>35.463238889941167</v>
      </c>
      <c r="AK49" s="578">
        <f t="shared" si="238"/>
        <v>-1.7347234759768071E-17</v>
      </c>
      <c r="AL49" s="572">
        <f t="shared" si="113"/>
        <v>1.7452403917723971E-2</v>
      </c>
      <c r="AM49" s="577">
        <f t="shared" si="114"/>
        <v>-0.99984769520037031</v>
      </c>
      <c r="AN49" s="524">
        <f t="shared" si="115"/>
        <v>0.99999985561788196</v>
      </c>
      <c r="AO49" s="525">
        <f t="shared" si="116"/>
        <v>0</v>
      </c>
      <c r="AP49" s="528">
        <f t="shared" si="117"/>
        <v>90.000000000000057</v>
      </c>
      <c r="AQ49" s="529">
        <f t="shared" si="274"/>
        <v>0.29740319379771252</v>
      </c>
      <c r="AS49" s="932">
        <f t="shared" si="461"/>
        <v>215.89612973581211</v>
      </c>
      <c r="AT49" s="928">
        <f t="shared" si="275"/>
        <v>-6.7740742653073394E-2</v>
      </c>
      <c r="AU49" s="418"/>
      <c r="AV49" s="164" t="str">
        <f t="shared" si="276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7"/>
        <v/>
      </c>
      <c r="BA49" s="296" t="str">
        <f t="shared" si="278"/>
        <v/>
      </c>
      <c r="BB49" s="190" t="str">
        <f t="shared" si="145"/>
        <v/>
      </c>
      <c r="BC49" s="9"/>
      <c r="BD49" s="5" t="str">
        <f t="shared" si="279"/>
        <v/>
      </c>
      <c r="BE49" s="6" t="str">
        <f t="shared" si="280"/>
        <v/>
      </c>
      <c r="BF49" s="4" t="str">
        <f t="shared" si="281"/>
        <v/>
      </c>
      <c r="BG49" s="5" t="str">
        <f t="shared" si="282"/>
        <v/>
      </c>
      <c r="BH49" s="10" t="str">
        <f t="shared" si="283"/>
        <v/>
      </c>
      <c r="BI49" s="9" t="str">
        <f t="shared" si="284"/>
        <v/>
      </c>
      <c r="BJ49" s="5" t="str">
        <f t="shared" si="285"/>
        <v/>
      </c>
      <c r="BK49" s="8" t="str">
        <f t="shared" si="286"/>
        <v/>
      </c>
      <c r="BL49" s="173" t="str">
        <f t="shared" si="287"/>
        <v/>
      </c>
      <c r="BM49" s="5" t="str">
        <f t="shared" si="288"/>
        <v/>
      </c>
      <c r="BN49" s="6" t="str">
        <f t="shared" si="289"/>
        <v/>
      </c>
      <c r="BO49" s="4" t="str">
        <f t="shared" si="290"/>
        <v/>
      </c>
      <c r="BP49" s="5" t="str">
        <f t="shared" si="239"/>
        <v/>
      </c>
      <c r="BQ49" s="5" t="str">
        <f t="shared" si="291"/>
        <v/>
      </c>
      <c r="BR49" s="6" t="str">
        <f t="shared" si="292"/>
        <v/>
      </c>
      <c r="BS49" s="4" t="str">
        <f t="shared" si="458"/>
        <v/>
      </c>
      <c r="BT49" s="5" t="str">
        <f t="shared" si="458"/>
        <v/>
      </c>
      <c r="BU49" s="10" t="str">
        <f t="shared" si="119"/>
        <v/>
      </c>
      <c r="BV49" s="9" t="str">
        <f t="shared" si="120"/>
        <v/>
      </c>
      <c r="BW49" s="5" t="str">
        <f t="shared" si="121"/>
        <v/>
      </c>
      <c r="BX49" s="8" t="str">
        <f t="shared" si="122"/>
        <v/>
      </c>
      <c r="BY49" s="173" t="str">
        <f t="shared" si="123"/>
        <v/>
      </c>
      <c r="BZ49" s="5" t="str">
        <f t="shared" si="124"/>
        <v/>
      </c>
      <c r="CA49" s="6" t="str">
        <f t="shared" si="125"/>
        <v/>
      </c>
      <c r="CB49" s="4" t="str">
        <f t="shared" si="293"/>
        <v/>
      </c>
      <c r="CC49" s="5" t="str">
        <f t="shared" si="294"/>
        <v/>
      </c>
      <c r="CD49" s="5" t="str">
        <f t="shared" si="295"/>
        <v/>
      </c>
      <c r="CE49" s="6" t="str">
        <f t="shared" si="296"/>
        <v/>
      </c>
      <c r="CF49" s="4" t="str">
        <f t="shared" si="297"/>
        <v/>
      </c>
      <c r="CG49" s="5" t="str">
        <f t="shared" si="298"/>
        <v/>
      </c>
      <c r="CH49" s="5" t="str">
        <f t="shared" si="299"/>
        <v/>
      </c>
      <c r="CI49" s="4" t="str">
        <f t="shared" si="126"/>
        <v/>
      </c>
      <c r="CJ49" s="5" t="str">
        <f t="shared" si="300"/>
        <v/>
      </c>
      <c r="CK49" s="8" t="str">
        <f t="shared" si="301"/>
        <v/>
      </c>
      <c r="CL49" s="173" t="str">
        <f t="shared" si="302"/>
        <v/>
      </c>
      <c r="CM49" s="5" t="str">
        <f t="shared" si="303"/>
        <v/>
      </c>
      <c r="CN49" s="6" t="str">
        <f t="shared" si="304"/>
        <v/>
      </c>
      <c r="CO49" s="167" t="str">
        <f t="shared" si="305"/>
        <v/>
      </c>
      <c r="CP49" s="4" t="str">
        <f t="shared" si="306"/>
        <v/>
      </c>
      <c r="CQ49" s="5" t="str">
        <f t="shared" si="307"/>
        <v/>
      </c>
      <c r="CR49" s="5" t="str">
        <f t="shared" si="308"/>
        <v/>
      </c>
      <c r="CS49" s="8" t="str">
        <f t="shared" si="309"/>
        <v/>
      </c>
      <c r="CT49" s="9" t="str">
        <f t="shared" si="160"/>
        <v/>
      </c>
      <c r="CU49" s="6" t="str">
        <f t="shared" si="310"/>
        <v/>
      </c>
      <c r="CV49" s="4" t="str">
        <f t="shared" si="311"/>
        <v/>
      </c>
      <c r="CW49" s="5" t="str">
        <f t="shared" si="312"/>
        <v/>
      </c>
      <c r="CX49" s="8" t="str">
        <f t="shared" si="313"/>
        <v/>
      </c>
      <c r="CY49" s="9" t="str">
        <f t="shared" si="314"/>
        <v/>
      </c>
      <c r="CZ49" s="5" t="str">
        <f t="shared" si="315"/>
        <v/>
      </c>
      <c r="DA49" s="6" t="str">
        <f t="shared" si="316"/>
        <v/>
      </c>
      <c r="DB49" s="4" t="str">
        <f t="shared" si="462"/>
        <v/>
      </c>
      <c r="DC49" s="5" t="str">
        <f t="shared" si="462"/>
        <v/>
      </c>
      <c r="DD49" s="10" t="str">
        <f t="shared" si="168"/>
        <v/>
      </c>
      <c r="DE49" s="9" t="str">
        <f t="shared" si="463"/>
        <v/>
      </c>
      <c r="DF49" s="5" t="str">
        <f t="shared" si="463"/>
        <v/>
      </c>
      <c r="DG49" s="10" t="str">
        <f t="shared" si="170"/>
        <v/>
      </c>
      <c r="DH49" s="70" t="str">
        <f t="shared" si="317"/>
        <v/>
      </c>
      <c r="DI49" s="4" t="str">
        <f t="shared" si="318"/>
        <v/>
      </c>
      <c r="DJ49" s="5" t="str">
        <f t="shared" si="319"/>
        <v/>
      </c>
      <c r="DK49" s="10" t="str">
        <f t="shared" si="320"/>
        <v/>
      </c>
      <c r="DL49" s="9" t="str">
        <f t="shared" si="321"/>
        <v/>
      </c>
      <c r="DM49" s="173" t="str">
        <f t="shared" si="322"/>
        <v/>
      </c>
      <c r="DN49" s="178" t="str">
        <f t="shared" si="323"/>
        <v/>
      </c>
      <c r="DO49" s="9" t="str">
        <f t="shared" si="324"/>
        <v/>
      </c>
      <c r="DP49" s="173" t="str">
        <f t="shared" si="325"/>
        <v/>
      </c>
      <c r="DQ49" s="11" t="str">
        <f t="shared" si="326"/>
        <v/>
      </c>
      <c r="DR49" s="173" t="str">
        <f t="shared" si="327"/>
        <v/>
      </c>
      <c r="DS49" s="5" t="str">
        <f t="shared" si="328"/>
        <v/>
      </c>
      <c r="DT49" s="5" t="str">
        <f t="shared" si="329"/>
        <v/>
      </c>
      <c r="DU49" s="5" t="str">
        <f t="shared" si="330"/>
        <v/>
      </c>
      <c r="DV49" s="5" t="str">
        <f t="shared" si="331"/>
        <v/>
      </c>
      <c r="DW49" s="5" t="str">
        <f t="shared" si="332"/>
        <v/>
      </c>
      <c r="DX49" s="167" t="str">
        <f t="shared" si="333"/>
        <v/>
      </c>
      <c r="DY49" s="9" t="str">
        <f t="shared" si="334"/>
        <v/>
      </c>
      <c r="DZ49" s="5" t="str">
        <f t="shared" si="335"/>
        <v/>
      </c>
      <c r="EA49" s="10" t="str">
        <f t="shared" si="336"/>
        <v/>
      </c>
      <c r="EB49" s="6" t="str">
        <f t="shared" si="337"/>
        <v/>
      </c>
      <c r="EC49" s="173" t="str">
        <f t="shared" si="338"/>
        <v/>
      </c>
      <c r="ED49" s="5" t="str">
        <f t="shared" si="339"/>
        <v/>
      </c>
      <c r="EE49" s="4" t="str">
        <f t="shared" si="340"/>
        <v/>
      </c>
      <c r="EF49" s="5" t="str">
        <f t="shared" si="341"/>
        <v/>
      </c>
      <c r="EG49" s="10" t="str">
        <f t="shared" si="342"/>
        <v/>
      </c>
      <c r="EH49" s="9" t="str">
        <f t="shared" si="343"/>
        <v/>
      </c>
      <c r="EI49" s="5" t="str">
        <f t="shared" si="344"/>
        <v/>
      </c>
      <c r="EJ49" s="6" t="str">
        <f t="shared" si="345"/>
        <v/>
      </c>
      <c r="EK49" s="236" t="str">
        <f t="shared" si="200"/>
        <v/>
      </c>
      <c r="EL49" s="238" t="str">
        <f t="shared" si="201"/>
        <v/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str">
        <f t="shared" si="349"/>
        <v/>
      </c>
      <c r="EQ49" s="5" t="str">
        <f t="shared" si="350"/>
        <v/>
      </c>
      <c r="ER49" s="7" t="str">
        <f t="shared" si="351"/>
        <v/>
      </c>
      <c r="ES49" s="21" t="str">
        <f t="shared" si="352"/>
        <v/>
      </c>
      <c r="ET49" s="5" t="str">
        <f t="shared" si="353"/>
        <v/>
      </c>
      <c r="EU49" s="10" t="str">
        <f t="shared" si="354"/>
        <v/>
      </c>
      <c r="EV49" s="174" t="str">
        <f t="shared" si="355"/>
        <v/>
      </c>
      <c r="EW49" s="9" t="str">
        <f t="shared" si="356"/>
        <v/>
      </c>
      <c r="EX49" s="5" t="str">
        <f t="shared" si="357"/>
        <v/>
      </c>
      <c r="EY49" s="6" t="str">
        <f t="shared" si="358"/>
        <v/>
      </c>
      <c r="EZ49" s="51" t="str">
        <f t="shared" si="209"/>
        <v/>
      </c>
      <c r="FA49" s="266" t="str">
        <f t="shared" si="134"/>
        <v/>
      </c>
      <c r="FB49" s="267" t="str">
        <f t="shared" si="135"/>
        <v/>
      </c>
      <c r="FC49" s="269" t="str">
        <f t="shared" si="48"/>
        <v/>
      </c>
      <c r="FD49" s="4" t="str">
        <f t="shared" si="359"/>
        <v/>
      </c>
      <c r="FE49" s="5" t="str">
        <f t="shared" si="360"/>
        <v/>
      </c>
      <c r="FF49" s="7" t="str">
        <f t="shared" si="361"/>
        <v/>
      </c>
      <c r="FG49" s="173" t="str">
        <f t="shared" si="362"/>
        <v/>
      </c>
      <c r="FH49" s="5" t="str">
        <f t="shared" si="363"/>
        <v/>
      </c>
      <c r="FI49" s="10" t="str">
        <f t="shared" si="364"/>
        <v/>
      </c>
      <c r="FJ49" s="279" t="str">
        <f t="shared" si="365"/>
        <v/>
      </c>
      <c r="FK49" s="4" t="str">
        <f t="shared" si="366"/>
        <v/>
      </c>
      <c r="FL49" s="5" t="str">
        <f t="shared" si="367"/>
        <v/>
      </c>
      <c r="FM49" s="8" t="str">
        <f t="shared" si="368"/>
        <v/>
      </c>
      <c r="FN49" s="9" t="str">
        <f t="shared" si="369"/>
        <v/>
      </c>
      <c r="FO49" s="10" t="str">
        <f t="shared" si="370"/>
        <v/>
      </c>
      <c r="FP49" s="277" t="str">
        <f t="shared" si="371"/>
        <v/>
      </c>
      <c r="FQ49" s="173" t="str">
        <f t="shared" si="372"/>
        <v/>
      </c>
      <c r="FR49" s="10" t="str">
        <f t="shared" si="373"/>
        <v/>
      </c>
      <c r="FS49" s="9" t="str">
        <f t="shared" si="374"/>
        <v/>
      </c>
      <c r="FT49" s="6" t="str">
        <f t="shared" si="375"/>
        <v/>
      </c>
      <c r="FU49" s="4" t="str">
        <f t="shared" si="376"/>
        <v/>
      </c>
      <c r="FV49" s="5" t="str">
        <f t="shared" si="377"/>
        <v/>
      </c>
      <c r="FW49" s="8" t="str">
        <f t="shared" si="378"/>
        <v/>
      </c>
      <c r="FX49" s="9" t="str">
        <f t="shared" si="379"/>
        <v/>
      </c>
      <c r="FY49" s="10" t="str">
        <f t="shared" si="380"/>
        <v/>
      </c>
      <c r="FZ49" s="277" t="str">
        <f t="shared" si="381"/>
        <v/>
      </c>
      <c r="GA49" s="177" t="str">
        <f t="shared" si="382"/>
        <v/>
      </c>
      <c r="GB49" s="4" t="str">
        <f t="shared" si="383"/>
        <v/>
      </c>
      <c r="GC49" s="5" t="str">
        <f t="shared" si="384"/>
        <v/>
      </c>
      <c r="GD49" s="10" t="str">
        <f t="shared" si="385"/>
        <v/>
      </c>
      <c r="GE49" s="311" t="str">
        <f t="shared" si="386"/>
        <v/>
      </c>
      <c r="GF49" s="341" t="str">
        <f t="shared" si="387"/>
        <v/>
      </c>
      <c r="GG49" s="285" t="str">
        <f t="shared" si="388"/>
        <v/>
      </c>
      <c r="GH49" s="286" t="str">
        <f t="shared" si="389"/>
        <v/>
      </c>
      <c r="GI49" s="281" t="str">
        <f t="shared" si="390"/>
        <v/>
      </c>
      <c r="GJ49" s="167" t="str">
        <f t="shared" si="391"/>
        <v/>
      </c>
      <c r="GK49" s="174" t="str">
        <f t="shared" si="59"/>
        <v/>
      </c>
      <c r="GL49" s="174" t="str">
        <f t="shared" si="392"/>
        <v/>
      </c>
      <c r="GM49" s="177" t="str">
        <f t="shared" si="393"/>
        <v/>
      </c>
      <c r="GN49" s="280" t="str">
        <f t="shared" si="394"/>
        <v/>
      </c>
      <c r="GO49" s="4" t="str">
        <f t="shared" si="395"/>
        <v/>
      </c>
      <c r="GP49" s="8" t="str">
        <f t="shared" si="396"/>
        <v/>
      </c>
      <c r="GQ49" s="177" t="str">
        <f t="shared" si="397"/>
        <v/>
      </c>
      <c r="GR49" s="371" t="str">
        <f t="shared" si="398"/>
        <v/>
      </c>
      <c r="GS49" s="342" t="str">
        <f t="shared" si="399"/>
        <v/>
      </c>
      <c r="GT49" s="343" t="str">
        <f t="shared" si="400"/>
        <v/>
      </c>
      <c r="GU49" s="344" t="str">
        <f t="shared" si="63"/>
        <v/>
      </c>
      <c r="GV49" s="343" t="str">
        <f t="shared" si="401"/>
        <v/>
      </c>
      <c r="GW49" s="345" t="str">
        <f t="shared" si="64"/>
        <v/>
      </c>
      <c r="GX49" s="346" t="str">
        <f t="shared" si="65"/>
        <v/>
      </c>
      <c r="GY49" s="344" t="str">
        <f t="shared" si="402"/>
        <v/>
      </c>
      <c r="GZ49" s="345" t="str">
        <f t="shared" si="403"/>
        <v/>
      </c>
      <c r="HA49" s="342" t="str">
        <f t="shared" si="68"/>
        <v/>
      </c>
      <c r="HB49" s="5" t="str">
        <f t="shared" si="231"/>
        <v/>
      </c>
      <c r="HC49" s="343" t="str">
        <f t="shared" si="404"/>
        <v/>
      </c>
      <c r="HD49" s="345" t="str">
        <f t="shared" si="405"/>
        <v/>
      </c>
      <c r="HE49" s="344" t="str">
        <f t="shared" si="69"/>
        <v/>
      </c>
      <c r="HF49" s="5" t="str">
        <f t="shared" si="70"/>
        <v/>
      </c>
      <c r="HG49" s="343" t="str">
        <f t="shared" si="406"/>
        <v/>
      </c>
      <c r="HH49" s="349" t="str">
        <f t="shared" si="407"/>
        <v/>
      </c>
      <c r="HI49" s="317" t="str">
        <f t="shared" si="408"/>
        <v/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>Nose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3.2149999999999999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3.1150000000000002</v>
      </c>
      <c r="IK49" s="677" cm="1">
        <f t="array" ref="IK49">IFERROR(ROUND(VALUE(IF($IJ49&lt;1,$IJ49+LARGE((IF($M$9:$M$150="",0,$M$9:$M$150)-MOD(IF($M$9:$M$150="",0,$M$9:$M$150),1)),1),$IJ49)),4),"")</f>
        <v>3.1150000000000002</v>
      </c>
      <c r="IL49" s="482">
        <f t="shared" si="426"/>
        <v>1613</v>
      </c>
      <c r="IM49" s="482" t="str">
        <f t="shared" si="237"/>
        <v>CPS-32193r1</v>
      </c>
      <c r="IN49" s="670">
        <f t="shared" si="427"/>
        <v>19.160802011435692</v>
      </c>
      <c r="IO49" s="702">
        <v>7.1882120909841099E-2</v>
      </c>
      <c r="IP49" s="5">
        <f t="shared" si="428"/>
        <v>1.54</v>
      </c>
      <c r="IQ49" s="714">
        <v>770</v>
      </c>
      <c r="IR49" s="9">
        <f t="shared" si="429"/>
        <v>-3.0667945084187682</v>
      </c>
      <c r="IS49" s="5">
        <f t="shared" si="430"/>
        <v>-7.0521267839836921E-2</v>
      </c>
      <c r="IT49" s="5">
        <f t="shared" si="431"/>
        <v>0.3125</v>
      </c>
      <c r="IU49" s="5">
        <f t="shared" si="432"/>
        <v>0.30105936264169764</v>
      </c>
      <c r="IV49" s="670">
        <f t="shared" si="433"/>
        <v>7.1077563806310833</v>
      </c>
      <c r="IW49" s="9">
        <f t="shared" si="434"/>
        <v>-3.0661488581587393</v>
      </c>
      <c r="IX49" s="5">
        <f t="shared" si="435"/>
        <v>-0.10702467933374853</v>
      </c>
      <c r="IY49" s="5">
        <f t="shared" si="436"/>
        <v>0.255</v>
      </c>
      <c r="IZ49" s="5">
        <f t="shared" si="437"/>
        <v>0.255</v>
      </c>
      <c r="JA49" s="705">
        <f t="shared" si="438"/>
        <v>-0.99999985561788196</v>
      </c>
    </row>
    <row r="50" spans="1:261" ht="15" customHeight="1" x14ac:dyDescent="0.25">
      <c r="A50" s="75">
        <f t="shared" si="256"/>
        <v>0.02</v>
      </c>
      <c r="B50" s="578">
        <f t="shared" si="257"/>
        <v>2.5363544358462971</v>
      </c>
      <c r="C50" s="572">
        <f t="shared" si="258"/>
        <v>-2.8554296397106618</v>
      </c>
      <c r="D50" s="576">
        <f t="shared" si="259"/>
        <v>-0.2643358501746319</v>
      </c>
      <c r="E50" s="580">
        <f t="shared" si="260"/>
        <v>0.80287674027004152</v>
      </c>
      <c r="F50" s="572">
        <f t="shared" si="261"/>
        <v>0.49021737229884088</v>
      </c>
      <c r="G50" s="579">
        <f t="shared" si="262"/>
        <v>0.33922834172541061</v>
      </c>
      <c r="H50" s="580">
        <f t="shared" si="263"/>
        <v>0.26450000000000001</v>
      </c>
      <c r="I50" s="572">
        <f t="shared" si="264"/>
        <v>0.52</v>
      </c>
      <c r="J50" s="483">
        <f t="shared" si="265"/>
        <v>3.2210000000000001</v>
      </c>
      <c r="K50" s="806">
        <f t="shared" si="266"/>
        <v>1313</v>
      </c>
      <c r="L50" s="309"/>
      <c r="M50" s="164">
        <f t="shared" si="267"/>
        <v>3.2210000000000001</v>
      </c>
      <c r="N50" s="575">
        <f t="shared" si="268"/>
        <v>2.5363544358462971</v>
      </c>
      <c r="O50" s="572">
        <f t="shared" si="269"/>
        <v>-2.8554296397106618</v>
      </c>
      <c r="P50" s="576">
        <f t="shared" si="270"/>
        <v>-0.2643358501746319</v>
      </c>
      <c r="Q50" s="528">
        <f t="shared" si="140"/>
        <v>311.61329794290583</v>
      </c>
      <c r="R50" s="572">
        <f t="shared" si="101"/>
        <v>3.8192371295293186</v>
      </c>
      <c r="S50" s="577">
        <f t="shared" si="102"/>
        <v>-0.2643358501746319</v>
      </c>
      <c r="T50" s="578">
        <f t="shared" si="103"/>
        <v>-2.8361852256380335</v>
      </c>
      <c r="U50" s="572">
        <f t="shared" si="104"/>
        <v>-2.5578556678295761</v>
      </c>
      <c r="V50" s="579">
        <f t="shared" si="141"/>
        <v>-0.2643358501746319</v>
      </c>
      <c r="W50" s="528">
        <f t="shared" si="253"/>
        <v>222.04618878877682</v>
      </c>
      <c r="X50" s="572">
        <f t="shared" si="105"/>
        <v>3.8192371295293186</v>
      </c>
      <c r="Y50" s="573">
        <f t="shared" si="255"/>
        <v>-0.2643358501746319</v>
      </c>
      <c r="Z50" s="575">
        <f t="shared" si="271"/>
        <v>-0.80287674027004152</v>
      </c>
      <c r="AA50" s="572">
        <f t="shared" si="272"/>
        <v>-0.49021737229884088</v>
      </c>
      <c r="AB50" s="572">
        <f t="shared" si="273"/>
        <v>-0.33922834172541061</v>
      </c>
      <c r="AC50" s="579">
        <f t="shared" si="106"/>
        <v>1</v>
      </c>
      <c r="AD50" s="580">
        <f t="shared" si="142"/>
        <v>-0.80287674027004152</v>
      </c>
      <c r="AE50" s="572">
        <f t="shared" si="107"/>
        <v>-0.49021737229884088</v>
      </c>
      <c r="AF50" s="576">
        <f t="shared" si="108"/>
        <v>-0.33922834172541061</v>
      </c>
      <c r="AG50" s="545">
        <f t="shared" si="109"/>
        <v>-55.316930087543582</v>
      </c>
      <c r="AH50" s="546">
        <f t="shared" si="110"/>
        <v>143.40569561303931</v>
      </c>
      <c r="AI50" s="528">
        <f t="shared" si="111"/>
        <v>-70.170132539446996</v>
      </c>
      <c r="AJ50" s="529">
        <f t="shared" si="112"/>
        <v>-58.592757258645037</v>
      </c>
      <c r="AK50" s="578">
        <f t="shared" si="238"/>
        <v>0.92581919583406491</v>
      </c>
      <c r="AL50" s="572">
        <f t="shared" si="113"/>
        <v>-0.166682178997616</v>
      </c>
      <c r="AM50" s="577">
        <f t="shared" si="114"/>
        <v>-0.33922834172541061</v>
      </c>
      <c r="AN50" s="524">
        <f t="shared" si="115"/>
        <v>-26.167511622001179</v>
      </c>
      <c r="AO50" s="525">
        <f t="shared" si="116"/>
        <v>22.20779132657719</v>
      </c>
      <c r="AP50" s="528">
        <f t="shared" si="117"/>
        <v>-10.206055201550857</v>
      </c>
      <c r="AQ50" s="529">
        <f t="shared" si="274"/>
        <v>0.23876113041264238</v>
      </c>
      <c r="AS50" s="932">
        <f t="shared" si="461"/>
        <v>222.04618878877682</v>
      </c>
      <c r="AT50" s="928">
        <f t="shared" si="275"/>
        <v>-0.22676026323089141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>Nose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3.2210000000000001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3.121</v>
      </c>
      <c r="IK50" s="677" cm="1">
        <f t="array" ref="IK50">IFERROR(ROUND(VALUE(IF($IJ50&lt;1,$IJ50+LARGE((IF($M$9:$M$150="",0,$M$9:$M$150)-MOD(IF($M$9:$M$150="",0,$M$9:$M$150),1)),1),$IJ50)),4),"")</f>
        <v>3.121</v>
      </c>
      <c r="IL50" s="482">
        <f t="shared" si="426"/>
        <v>1613</v>
      </c>
      <c r="IM50" s="482">
        <f t="shared" si="237"/>
        <v>1313</v>
      </c>
      <c r="IN50" s="670">
        <f t="shared" si="427"/>
        <v>12.607416243270677</v>
      </c>
      <c r="IO50" s="702">
        <v>3.8994368538986503E-2</v>
      </c>
      <c r="IP50" s="5">
        <f t="shared" si="428"/>
        <v>1.44</v>
      </c>
      <c r="IQ50" s="714">
        <v>720</v>
      </c>
      <c r="IR50" s="9">
        <f t="shared" si="429"/>
        <v>-3.8085869115984403</v>
      </c>
      <c r="IS50" s="5">
        <f t="shared" si="430"/>
        <v>-0.26442079518400258</v>
      </c>
      <c r="IT50" s="5">
        <f t="shared" si="431"/>
        <v>0.3125</v>
      </c>
      <c r="IU50" s="5">
        <f t="shared" si="432"/>
        <v>0.29851808156082493</v>
      </c>
      <c r="IV50" s="670">
        <f t="shared" si="433"/>
        <v>25.946275176386688</v>
      </c>
      <c r="IW50" s="9">
        <f t="shared" si="434"/>
        <v>-3.8192371295293186</v>
      </c>
      <c r="IX50" s="5">
        <f t="shared" si="435"/>
        <v>-0.2643358501746319</v>
      </c>
      <c r="IY50" s="5">
        <f t="shared" si="436"/>
        <v>0.26450000000000001</v>
      </c>
      <c r="IZ50" s="5">
        <f t="shared" si="437"/>
        <v>0.24487917729811018</v>
      </c>
      <c r="JA50" s="705">
        <f t="shared" si="438"/>
        <v>26.167511622001179</v>
      </c>
    </row>
    <row r="51" spans="1:261" ht="15" customHeight="1" x14ac:dyDescent="0.25">
      <c r="A51" s="75">
        <f t="shared" si="256"/>
        <v>0.02</v>
      </c>
      <c r="B51" s="578">
        <f t="shared" si="257"/>
        <v>3.0186122902458665</v>
      </c>
      <c r="C51" s="572">
        <f t="shared" si="258"/>
        <v>-3.2687426007246962</v>
      </c>
      <c r="D51" s="576">
        <f t="shared" si="259"/>
        <v>-0.71100798909588769</v>
      </c>
      <c r="E51" s="580">
        <f t="shared" si="260"/>
        <v>0.87028298226539424</v>
      </c>
      <c r="F51" s="572">
        <f t="shared" si="261"/>
        <v>0.38055834455760201</v>
      </c>
      <c r="G51" s="579">
        <f t="shared" si="262"/>
        <v>0.31270253783240887</v>
      </c>
      <c r="H51" s="580">
        <f t="shared" si="263"/>
        <v>0.26450000000000001</v>
      </c>
      <c r="I51" s="572">
        <f t="shared" si="264"/>
        <v>0.52</v>
      </c>
      <c r="J51" s="483">
        <f t="shared" si="265"/>
        <v>3.2269999999999999</v>
      </c>
      <c r="K51" s="806">
        <f t="shared" si="266"/>
        <v>1313</v>
      </c>
      <c r="L51" s="309"/>
      <c r="M51" s="164">
        <f t="shared" si="267"/>
        <v>3.2269999999999999</v>
      </c>
      <c r="N51" s="575">
        <f t="shared" si="268"/>
        <v>3.0186122902458665</v>
      </c>
      <c r="O51" s="572">
        <f t="shared" si="269"/>
        <v>-3.2687426007246962</v>
      </c>
      <c r="P51" s="576">
        <f t="shared" si="270"/>
        <v>-0.71100798909588769</v>
      </c>
      <c r="Q51" s="528">
        <f t="shared" si="140"/>
        <v>312.72179910355976</v>
      </c>
      <c r="R51" s="572">
        <f t="shared" si="101"/>
        <v>4.4493480813053772</v>
      </c>
      <c r="S51" s="577">
        <f t="shared" si="102"/>
        <v>-0.71100798909588769</v>
      </c>
      <c r="T51" s="578">
        <f t="shared" si="103"/>
        <v>-3.2458427878760019</v>
      </c>
      <c r="U51" s="572">
        <f t="shared" si="104"/>
        <v>-3.0432224606507465</v>
      </c>
      <c r="V51" s="579">
        <f t="shared" si="141"/>
        <v>-0.71100798909588769</v>
      </c>
      <c r="W51" s="528">
        <f t="shared" si="253"/>
        <v>223.15468994943075</v>
      </c>
      <c r="X51" s="572">
        <f t="shared" si="105"/>
        <v>4.4493480813053772</v>
      </c>
      <c r="Y51" s="573">
        <f t="shared" si="255"/>
        <v>-0.71100798909588769</v>
      </c>
      <c r="Z51" s="575">
        <f t="shared" si="271"/>
        <v>-0.87028298226539424</v>
      </c>
      <c r="AA51" s="572">
        <f t="shared" si="272"/>
        <v>-0.38055834455760201</v>
      </c>
      <c r="AB51" s="572">
        <f t="shared" si="273"/>
        <v>-0.31270253783240887</v>
      </c>
      <c r="AC51" s="579">
        <f t="shared" si="106"/>
        <v>1</v>
      </c>
      <c r="AD51" s="580">
        <f t="shared" si="142"/>
        <v>-0.87028298226539424</v>
      </c>
      <c r="AE51" s="572">
        <f t="shared" si="107"/>
        <v>-0.38055834455760201</v>
      </c>
      <c r="AF51" s="576">
        <f t="shared" si="108"/>
        <v>-0.31270253783240887</v>
      </c>
      <c r="AG51" s="545">
        <f t="shared" si="109"/>
        <v>-50.590257122652936</v>
      </c>
      <c r="AH51" s="546">
        <f t="shared" si="110"/>
        <v>150.49154052836664</v>
      </c>
      <c r="AI51" s="528">
        <f t="shared" si="111"/>
        <v>-71.777826320127161</v>
      </c>
      <c r="AJ51" s="529">
        <f t="shared" si="112"/>
        <v>-66.381147736094348</v>
      </c>
      <c r="AK51" s="578">
        <f t="shared" si="238"/>
        <v>0.89754478226441514</v>
      </c>
      <c r="AL51" s="572">
        <f t="shared" si="113"/>
        <v>-0.31085444610475604</v>
      </c>
      <c r="AM51" s="577">
        <f t="shared" si="114"/>
        <v>-0.31270253783240887</v>
      </c>
      <c r="AN51" s="524">
        <f t="shared" si="115"/>
        <v>-44.830187859593472</v>
      </c>
      <c r="AO51" s="525">
        <f t="shared" si="116"/>
        <v>26.16280668690904</v>
      </c>
      <c r="AP51" s="528">
        <f t="shared" si="117"/>
        <v>-19.102946839654088</v>
      </c>
      <c r="AQ51" s="529">
        <f t="shared" si="274"/>
        <v>0.20494839847755494</v>
      </c>
      <c r="AS51" s="932">
        <f t="shared" si="461"/>
        <v>223.15468994943075</v>
      </c>
      <c r="AT51" s="928">
        <f t="shared" si="275"/>
        <v>-0.67374031914121768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6"/>
        <v>3.2269999999999999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3.1269999999999998</v>
      </c>
      <c r="IK51" s="677" cm="1">
        <f t="array" ref="IK51">IFERROR(ROUND(VALUE(IF($IJ51&lt;1,$IJ51+LARGE((IF($M$9:$M$150="",0,$M$9:$M$150)-MOD(IF($M$9:$M$150="",0,$M$9:$M$150),1)),1),$IJ51)),4),"")</f>
        <v>3.1269999999999998</v>
      </c>
      <c r="IL51" s="482">
        <f t="shared" si="426"/>
        <v>1613</v>
      </c>
      <c r="IM51" s="482">
        <f t="shared" si="237"/>
        <v>1313</v>
      </c>
      <c r="IN51" s="670">
        <f t="shared" si="427"/>
        <v>10.803298007444198</v>
      </c>
      <c r="IO51" s="702">
        <v>3.2796327264046403E-2</v>
      </c>
      <c r="IP51" s="5">
        <f t="shared" si="428"/>
        <v>1.64</v>
      </c>
      <c r="IQ51" s="714">
        <v>820</v>
      </c>
      <c r="IR51" s="9">
        <f t="shared" si="429"/>
        <v>-4.4323083330046469</v>
      </c>
      <c r="IS51" s="5">
        <f t="shared" si="430"/>
        <v>-0.70993288521304942</v>
      </c>
      <c r="IT51" s="5">
        <f t="shared" si="431"/>
        <v>0.3125</v>
      </c>
      <c r="IU51" s="5">
        <f t="shared" si="432"/>
        <v>0.29143808827184325</v>
      </c>
      <c r="IV51" s="670">
        <f t="shared" si="433"/>
        <v>44.722719194276351</v>
      </c>
      <c r="IW51" s="9">
        <f t="shared" si="434"/>
        <v>-4.4493480813053772</v>
      </c>
      <c r="IX51" s="5">
        <f t="shared" si="435"/>
        <v>-0.71100798909588769</v>
      </c>
      <c r="IY51" s="5">
        <f t="shared" si="436"/>
        <v>0.26450000000000001</v>
      </c>
      <c r="IZ51" s="5">
        <f t="shared" si="437"/>
        <v>0.23740059490893783</v>
      </c>
      <c r="JA51" s="705">
        <f t="shared" si="438"/>
        <v>44.830187859593472</v>
      </c>
    </row>
    <row r="52" spans="1:261" ht="15" customHeight="1" x14ac:dyDescent="0.25">
      <c r="A52" s="75">
        <f t="shared" si="256"/>
        <v>0.02</v>
      </c>
      <c r="B52" s="578">
        <f t="shared" si="257"/>
        <v>3.3323573830798838</v>
      </c>
      <c r="C52" s="572">
        <f t="shared" si="258"/>
        <v>-3.5623832908706627</v>
      </c>
      <c r="D52" s="576">
        <f t="shared" si="259"/>
        <v>-1.3535824057410517</v>
      </c>
      <c r="E52" s="580">
        <f t="shared" si="260"/>
        <v>0.93824137035055388</v>
      </c>
      <c r="F52" s="572">
        <f t="shared" si="261"/>
        <v>0.26293358812706369</v>
      </c>
      <c r="G52" s="579">
        <f t="shared" si="262"/>
        <v>0.22487565274467233</v>
      </c>
      <c r="H52" s="580">
        <f t="shared" si="263"/>
        <v>0.26450000000000001</v>
      </c>
      <c r="I52" s="572">
        <f t="shared" si="264"/>
        <v>0.52</v>
      </c>
      <c r="J52" s="483">
        <f t="shared" si="265"/>
        <v>3.2330000000000001</v>
      </c>
      <c r="K52" s="806">
        <f t="shared" si="266"/>
        <v>1313</v>
      </c>
      <c r="L52" s="309"/>
      <c r="M52" s="164">
        <f t="shared" si="267"/>
        <v>3.2330000000000001</v>
      </c>
      <c r="N52" s="575">
        <f t="shared" si="268"/>
        <v>3.3323573830798838</v>
      </c>
      <c r="O52" s="572">
        <f t="shared" si="269"/>
        <v>-3.5623832908706627</v>
      </c>
      <c r="P52" s="576">
        <f t="shared" si="270"/>
        <v>-1.3535824057410517</v>
      </c>
      <c r="Q52" s="528">
        <f t="shared" si="140"/>
        <v>313.08917728330249</v>
      </c>
      <c r="R52" s="572">
        <f t="shared" si="101"/>
        <v>4.8780303852724725</v>
      </c>
      <c r="S52" s="577">
        <f t="shared" si="102"/>
        <v>-1.3535824057410517</v>
      </c>
      <c r="T52" s="578">
        <f t="shared" si="103"/>
        <v>-3.5371046591383322</v>
      </c>
      <c r="U52" s="572">
        <f t="shared" si="104"/>
        <v>-3.3591771417928249</v>
      </c>
      <c r="V52" s="579">
        <f t="shared" si="141"/>
        <v>-1.3535824057410517</v>
      </c>
      <c r="W52" s="528">
        <f t="shared" si="253"/>
        <v>223.52206812917348</v>
      </c>
      <c r="X52" s="572">
        <f t="shared" si="105"/>
        <v>4.8780303852724725</v>
      </c>
      <c r="Y52" s="573">
        <f t="shared" si="255"/>
        <v>-1.3535824057410517</v>
      </c>
      <c r="Z52" s="575">
        <f t="shared" si="271"/>
        <v>-0.93824137035055388</v>
      </c>
      <c r="AA52" s="572">
        <f t="shared" si="272"/>
        <v>-0.26293358812706369</v>
      </c>
      <c r="AB52" s="572">
        <f t="shared" si="273"/>
        <v>-0.22487565274467233</v>
      </c>
      <c r="AC52" s="579">
        <f t="shared" si="106"/>
        <v>1</v>
      </c>
      <c r="AD52" s="580">
        <f t="shared" si="142"/>
        <v>-0.93824137035055388</v>
      </c>
      <c r="AE52" s="572">
        <f t="shared" si="107"/>
        <v>-0.26293358812706369</v>
      </c>
      <c r="AF52" s="576">
        <f t="shared" si="108"/>
        <v>-0.22487565274467233</v>
      </c>
      <c r="AG52" s="545">
        <f t="shared" si="109"/>
        <v>-49.46106952648033</v>
      </c>
      <c r="AH52" s="546">
        <f t="shared" si="110"/>
        <v>159.75828425930897</v>
      </c>
      <c r="AI52" s="528">
        <f t="shared" si="111"/>
        <v>-77.004433792633534</v>
      </c>
      <c r="AJ52" s="529">
        <f t="shared" si="112"/>
        <v>-74.344956254431636</v>
      </c>
      <c r="AK52" s="578">
        <f t="shared" si="238"/>
        <v>0.864808894370935</v>
      </c>
      <c r="AL52" s="572">
        <f t="shared" si="113"/>
        <v>-0.44892818692924441</v>
      </c>
      <c r="AM52" s="577">
        <f t="shared" si="114"/>
        <v>-0.22487565274467233</v>
      </c>
      <c r="AN52" s="524">
        <f t="shared" si="115"/>
        <v>-63.392943063786667</v>
      </c>
      <c r="AO52" s="525">
        <f t="shared" si="116"/>
        <v>30.139109350595657</v>
      </c>
      <c r="AP52" s="528">
        <f t="shared" si="117"/>
        <v>-27.434133537734105</v>
      </c>
      <c r="AQ52" s="529">
        <f t="shared" si="274"/>
        <v>0.18693762544430842</v>
      </c>
      <c r="AS52" s="932">
        <f t="shared" si="461"/>
        <v>223.52206812917348</v>
      </c>
      <c r="AT52" s="928">
        <f t="shared" si="275"/>
        <v>-1.3164167852807547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>Taper</v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3.2330000000000001</v>
      </c>
      <c r="IJ52" s="674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3.133</v>
      </c>
      <c r="IK52" s="677" cm="1">
        <f t="array" ref="IK52">IFERROR(ROUND(VALUE(IF($IJ52&lt;1,$IJ52+LARGE((IF($M$9:$M$150="",0,$M$9:$M$150)-MOD(IF($M$9:$M$150="",0,$M$9:$M$150),1)),1),$IJ52)),4),"")</f>
        <v>3.133</v>
      </c>
      <c r="IL52" s="482">
        <f t="shared" si="426"/>
        <v>1613</v>
      </c>
      <c r="IM52" s="482">
        <f t="shared" si="237"/>
        <v>1313</v>
      </c>
      <c r="IN52" s="670">
        <f t="shared" si="427"/>
        <v>9.8444633375917192</v>
      </c>
      <c r="IO52" s="702">
        <v>2.8102034550877099E-2</v>
      </c>
      <c r="IP52" s="5">
        <f t="shared" si="428"/>
        <v>1.84</v>
      </c>
      <c r="IQ52" s="714">
        <v>920</v>
      </c>
      <c r="IR52" s="9">
        <f t="shared" si="429"/>
        <v>-4.8564048247187852</v>
      </c>
      <c r="IS52" s="5">
        <f t="shared" si="430"/>
        <v>-1.3479182577182431</v>
      </c>
      <c r="IT52" s="5">
        <f t="shared" si="431"/>
        <v>0.3125</v>
      </c>
      <c r="IU52" s="5">
        <f t="shared" si="432"/>
        <v>0.28292139074885775</v>
      </c>
      <c r="IV52" s="670">
        <f t="shared" si="433"/>
        <v>63.345987496311885</v>
      </c>
      <c r="IW52" s="9">
        <f t="shared" si="434"/>
        <v>-4.8780303852724725</v>
      </c>
      <c r="IX52" s="5">
        <f t="shared" si="435"/>
        <v>-1.3535824057410517</v>
      </c>
      <c r="IY52" s="5">
        <f t="shared" si="436"/>
        <v>0.26450000000000001</v>
      </c>
      <c r="IZ52" s="5">
        <f t="shared" si="437"/>
        <v>0.22874195256111235</v>
      </c>
      <c r="JA52" s="705">
        <f t="shared" si="438"/>
        <v>63.392943063786667</v>
      </c>
    </row>
    <row r="53" spans="1:261" ht="15" customHeight="1" x14ac:dyDescent="0.25">
      <c r="A53" s="75">
        <f t="shared" si="256"/>
        <v>0</v>
      </c>
      <c r="B53" s="578">
        <f t="shared" si="257"/>
        <v>3.23675957429997</v>
      </c>
      <c r="C53" s="572">
        <f t="shared" si="258"/>
        <v>-3.8023425989005091</v>
      </c>
      <c r="D53" s="576">
        <f t="shared" si="259"/>
        <v>-2.1201362656089726</v>
      </c>
      <c r="E53" s="580">
        <f t="shared" si="260"/>
        <v>0.64337101194123913</v>
      </c>
      <c r="F53" s="572">
        <f t="shared" si="261"/>
        <v>-0.75579200414691927</v>
      </c>
      <c r="G53" s="579">
        <f t="shared" si="262"/>
        <v>0.12186955100142645</v>
      </c>
      <c r="H53" s="580">
        <f t="shared" si="263"/>
        <v>0.255</v>
      </c>
      <c r="I53" s="572">
        <f t="shared" si="264"/>
        <v>0.41499999999999992</v>
      </c>
      <c r="J53" s="483">
        <f t="shared" si="265"/>
        <v>3.2389999999999999</v>
      </c>
      <c r="K53" s="806" t="str">
        <f t="shared" si="266"/>
        <v>CPS-32193r1</v>
      </c>
      <c r="L53" s="309"/>
      <c r="M53" s="164">
        <f t="shared" si="267"/>
        <v>3.2389999999999999</v>
      </c>
      <c r="N53" s="575">
        <f t="shared" si="268"/>
        <v>3.23675957429997</v>
      </c>
      <c r="O53" s="572">
        <f t="shared" si="269"/>
        <v>-3.8023425989005091</v>
      </c>
      <c r="P53" s="576">
        <f t="shared" si="270"/>
        <v>-2.1201362656089726</v>
      </c>
      <c r="Q53" s="528">
        <f t="shared" si="140"/>
        <v>310.40622475139327</v>
      </c>
      <c r="R53" s="572">
        <f t="shared" ref="R53:R58" si="464">IF(M53="","",SQRT(N53^2+O53^2))</f>
        <v>4.9934378719711736</v>
      </c>
      <c r="S53" s="577">
        <f t="shared" ref="S53:S58" si="465">IF(M53="","",P53)</f>
        <v>-2.1201362656089726</v>
      </c>
      <c r="T53" s="578">
        <f t="shared" ref="T53:T58" si="466">IF(M53="","",X53*COS(RADIANS(W53)))</f>
        <v>-3.7777793883258481</v>
      </c>
      <c r="U53" s="572">
        <f t="shared" ref="U53:U58" si="467">IF(M53="","",X53*SIN(RADIANS(W53)))</f>
        <v>-3.2653950257781039</v>
      </c>
      <c r="V53" s="579">
        <f t="shared" ref="V53:V58" si="468">IF(M53="","",Y53)</f>
        <v>-2.1201362656089726</v>
      </c>
      <c r="W53" s="528">
        <f t="shared" si="253"/>
        <v>220.83911559726425</v>
      </c>
      <c r="X53" s="572">
        <f t="shared" ref="X53:X58" si="469">IF(M53="","",R53)</f>
        <v>4.9934378719711736</v>
      </c>
      <c r="Y53" s="573">
        <f t="shared" si="255"/>
        <v>-2.1201362656089726</v>
      </c>
      <c r="Z53" s="575">
        <f t="shared" si="271"/>
        <v>-0.64337101194123913</v>
      </c>
      <c r="AA53" s="572">
        <f t="shared" si="272"/>
        <v>0.75579200414691927</v>
      </c>
      <c r="AB53" s="572">
        <f t="shared" si="273"/>
        <v>-0.12186955100142645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-0.64337101194123913</v>
      </c>
      <c r="AE53" s="572">
        <f t="shared" ref="AE53:AE58" si="472">IF(M53="","",AA53*(1/SQRT(Z53^2+AA53^2+AB53^2)))</f>
        <v>0.75579200414691927</v>
      </c>
      <c r="AF53" s="576">
        <f t="shared" ref="AF53:AF58" si="473">IF(M53="","",AB53*(1/SQRT(Z53^2+AA53^2+AB53^2)))</f>
        <v>-0.12186955100142645</v>
      </c>
      <c r="AG53" s="545">
        <f t="shared" ref="AG53:AG58" si="474">IF(M53="","",DEGREES(ATAN2(-AF53,AE53)))</f>
        <v>80.840045805340097</v>
      </c>
      <c r="AH53" s="546">
        <f t="shared" ref="AH53:AH58" si="475">IF(M53="","",DEGREES(ACOS(AD53)))</f>
        <v>130.04364913516636</v>
      </c>
      <c r="AI53" s="528">
        <f t="shared" ref="AI53:AI58" si="476">IF(M53="","",DEGREES(-ACOS(-AF53)))</f>
        <v>-82.999988016284419</v>
      </c>
      <c r="AJ53" s="529">
        <f t="shared" ref="AJ53:AJ58" si="477">IF(M53="","",DEGREES(ATAN2(-AE53,AD53)))</f>
        <v>-139.59377524860676</v>
      </c>
      <c r="AK53" s="578">
        <f t="shared" ref="AK53:AK58" si="478">IF(M53="","",(COS(RADIANS((90-$Q$8)-W53))*AD53)+(-SIN(RADIANS((90-$Q$8)-W53))*AE53))</f>
        <v>-6.6613381477509392E-16</v>
      </c>
      <c r="AL53" s="572">
        <f t="shared" ref="AL53:AL58" si="479">IF(M53="","",(SIN(RADIANS((90-$Q$8)-W53))*AD53)+(COS(RADIANS((90-$Q$8)-W53))*AE53))</f>
        <v>-0.99254612615168214</v>
      </c>
      <c r="AM53" s="577">
        <f t="shared" ref="AM53:AM58" si="480">IF(M53="","",AF53)</f>
        <v>-0.12186955100142645</v>
      </c>
      <c r="AN53" s="524">
        <f t="shared" ref="AN53:AN58" si="481">IF(M53="","",DEGREES(ATAN2(-AM53,AL53)))</f>
        <v>-82.999988016284419</v>
      </c>
      <c r="AO53" s="525">
        <f t="shared" si="116"/>
        <v>0</v>
      </c>
      <c r="AP53" s="528">
        <f t="shared" ref="AP53:AP58" si="482">IF(M53="","",DEGREES(ATAN2(AK53,AL53)))</f>
        <v>-90.000000000000043</v>
      </c>
      <c r="AQ53" s="529">
        <f t="shared" si="274"/>
        <v>0.18261718444997288</v>
      </c>
      <c r="AS53" s="932">
        <f t="shared" si="461"/>
        <v>220.83911559726425</v>
      </c>
      <c r="AT53" s="928">
        <f t="shared" si="275"/>
        <v>-2.0822253805564785</v>
      </c>
      <c r="AU53" s="418"/>
      <c r="AV53" s="164" t="str">
        <f t="shared" si="276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7"/>
        <v/>
      </c>
      <c r="BA53" s="296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9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266" t="str">
        <f t="shared" si="134"/>
        <v/>
      </c>
      <c r="FB53" s="267" t="str">
        <f t="shared" si="135"/>
        <v/>
      </c>
      <c r="FC53" s="269" t="str">
        <f t="shared" si="48"/>
        <v/>
      </c>
      <c r="FD53" s="4" t="str">
        <f t="shared" si="359"/>
        <v/>
      </c>
      <c r="FE53" s="5" t="str">
        <f t="shared" si="360"/>
        <v/>
      </c>
      <c r="FF53" s="7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9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7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7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11" t="str">
        <f t="shared" si="386"/>
        <v/>
      </c>
      <c r="GF53" s="341" t="str">
        <f t="shared" si="387"/>
        <v/>
      </c>
      <c r="GG53" s="285" t="str">
        <f t="shared" si="388"/>
        <v/>
      </c>
      <c r="GH53" s="286" t="str">
        <f t="shared" si="389"/>
        <v/>
      </c>
      <c r="GI53" s="281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80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71" t="str">
        <f t="shared" si="398"/>
        <v/>
      </c>
      <c r="GS53" s="342" t="str">
        <f t="shared" si="399"/>
        <v/>
      </c>
      <c r="GT53" s="343" t="str">
        <f t="shared" si="400"/>
        <v/>
      </c>
      <c r="GU53" s="344" t="str">
        <f t="shared" si="63"/>
        <v/>
      </c>
      <c r="GV53" s="343" t="str">
        <f t="shared" si="401"/>
        <v/>
      </c>
      <c r="GW53" s="345" t="str">
        <f t="shared" si="64"/>
        <v/>
      </c>
      <c r="GX53" s="346" t="str">
        <f t="shared" si="65"/>
        <v/>
      </c>
      <c r="GY53" s="344" t="str">
        <f t="shared" si="402"/>
        <v/>
      </c>
      <c r="GZ53" s="345" t="str">
        <f t="shared" si="403"/>
        <v/>
      </c>
      <c r="HA53" s="342" t="str">
        <f t="shared" si="68"/>
        <v/>
      </c>
      <c r="HB53" s="5" t="str">
        <f t="shared" si="231"/>
        <v/>
      </c>
      <c r="HC53" s="343" t="str">
        <f t="shared" si="404"/>
        <v/>
      </c>
      <c r="HD53" s="345" t="str">
        <f t="shared" si="405"/>
        <v/>
      </c>
      <c r="HE53" s="344" t="str">
        <f t="shared" si="69"/>
        <v/>
      </c>
      <c r="HF53" s="5" t="str">
        <f t="shared" si="70"/>
        <v/>
      </c>
      <c r="HG53" s="343" t="str">
        <f t="shared" si="406"/>
        <v/>
      </c>
      <c r="HH53" s="349" t="str">
        <f t="shared" si="407"/>
        <v/>
      </c>
      <c r="HI53" s="317" t="str">
        <f t="shared" si="408"/>
        <v/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>Taper</v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3.2389999999999999</v>
      </c>
      <c r="IJ53" s="674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3.1389999999999998</v>
      </c>
      <c r="IK53" s="677" cm="1">
        <f t="array" ref="IK53">IFERROR(ROUND(VALUE(IF($IJ53&lt;1,$IJ53+LARGE((IF($M$9:$M$150="",0,$M$9:$M$150)-MOD(IF($M$9:$M$150="",0,$M$9:$M$150),1)),1),$IJ53)),4),"")</f>
        <v>3.1389999999999998</v>
      </c>
      <c r="IL53" s="482">
        <f t="shared" si="426"/>
        <v>1613</v>
      </c>
      <c r="IM53" s="482" t="str">
        <f t="shared" si="237"/>
        <v>CPS-32193r1</v>
      </c>
      <c r="IN53" s="670">
        <f t="shared" si="427"/>
        <v>12.273893328101565</v>
      </c>
      <c r="IO53" s="702">
        <v>4.8562627879211402E-2</v>
      </c>
      <c r="IP53" s="5">
        <f t="shared" si="428"/>
        <v>2.68</v>
      </c>
      <c r="IQ53" s="714">
        <v>1340</v>
      </c>
      <c r="IR53" s="9">
        <f t="shared" si="429"/>
        <v>-5.0256652349223865</v>
      </c>
      <c r="IS53" s="5">
        <f t="shared" si="430"/>
        <v>-2.0947863628714609</v>
      </c>
      <c r="IT53" s="5">
        <f t="shared" si="431"/>
        <v>0.3125</v>
      </c>
      <c r="IU53" s="5">
        <f t="shared" si="432"/>
        <v>0.27300547047076118</v>
      </c>
      <c r="IV53" s="670">
        <f t="shared" si="433"/>
        <v>81.885446807640747</v>
      </c>
      <c r="IW53" s="9">
        <f t="shared" si="434"/>
        <v>-4.9934378719711736</v>
      </c>
      <c r="IX53" s="5">
        <f t="shared" si="435"/>
        <v>-2.1201362656089726</v>
      </c>
      <c r="IY53" s="5">
        <f t="shared" si="436"/>
        <v>0.255</v>
      </c>
      <c r="IZ53" s="5">
        <f t="shared" si="437"/>
        <v>0.255</v>
      </c>
      <c r="JA53" s="705">
        <f t="shared" si="438"/>
        <v>82.999988016284419</v>
      </c>
    </row>
    <row r="54" spans="1:261" ht="15" customHeight="1" x14ac:dyDescent="0.25">
      <c r="A54" s="75">
        <f t="shared" si="256"/>
        <v>0</v>
      </c>
      <c r="B54" s="578">
        <f t="shared" si="257"/>
        <v>3.2543618295628098</v>
      </c>
      <c r="C54" s="572">
        <f t="shared" si="258"/>
        <v>-3.8233902215131925</v>
      </c>
      <c r="D54" s="576">
        <f t="shared" si="259"/>
        <v>-2.87274311561979</v>
      </c>
      <c r="E54" s="580">
        <f t="shared" si="260"/>
        <v>0.64816629823596772</v>
      </c>
      <c r="F54" s="572">
        <f t="shared" si="261"/>
        <v>-0.76149881801026531</v>
      </c>
      <c r="G54" s="579">
        <f t="shared" si="262"/>
        <v>2.2679489662669189E-7</v>
      </c>
      <c r="H54" s="580">
        <f t="shared" si="263"/>
        <v>0.255</v>
      </c>
      <c r="I54" s="572">
        <f t="shared" si="264"/>
        <v>0.41499999999999992</v>
      </c>
      <c r="J54" s="483">
        <f t="shared" si="265"/>
        <v>3.2450000000000001</v>
      </c>
      <c r="K54" s="806" t="str">
        <f t="shared" si="266"/>
        <v>CPS-32193r1</v>
      </c>
      <c r="L54" s="309"/>
      <c r="M54" s="164">
        <f t="shared" si="267"/>
        <v>3.2450000000000001</v>
      </c>
      <c r="N54" s="575">
        <f t="shared" si="268"/>
        <v>3.2543618295628098</v>
      </c>
      <c r="O54" s="572">
        <f t="shared" si="269"/>
        <v>-3.8233902215131925</v>
      </c>
      <c r="P54" s="576">
        <f t="shared" si="270"/>
        <v>-2.87274311561979</v>
      </c>
      <c r="Q54" s="528">
        <f t="shared" si="140"/>
        <v>310.40349086984213</v>
      </c>
      <c r="R54" s="572">
        <f t="shared" si="464"/>
        <v>5.0208747946625891</v>
      </c>
      <c r="S54" s="577">
        <f t="shared" si="465"/>
        <v>-2.87274311561979</v>
      </c>
      <c r="T54" s="578">
        <f t="shared" si="466"/>
        <v>-3.7986934199081297</v>
      </c>
      <c r="U54" s="572">
        <f t="shared" si="467"/>
        <v>-3.2831557997184317</v>
      </c>
      <c r="V54" s="579">
        <f t="shared" si="468"/>
        <v>-2.87274311561979</v>
      </c>
      <c r="W54" s="528">
        <f t="shared" si="253"/>
        <v>220.83638171571312</v>
      </c>
      <c r="X54" s="572">
        <f t="shared" si="469"/>
        <v>5.0208747946625891</v>
      </c>
      <c r="Y54" s="573">
        <f t="shared" si="255"/>
        <v>-2.87274311561979</v>
      </c>
      <c r="Z54" s="575">
        <f t="shared" si="271"/>
        <v>-0.64816629823596772</v>
      </c>
      <c r="AA54" s="572">
        <f t="shared" si="272"/>
        <v>0.76149881801026531</v>
      </c>
      <c r="AB54" s="572">
        <f t="shared" si="273"/>
        <v>-2.2679489662669189E-7</v>
      </c>
      <c r="AC54" s="579">
        <f t="shared" si="470"/>
        <v>1</v>
      </c>
      <c r="AD54" s="580">
        <f t="shared" si="471"/>
        <v>-0.64816629823596772</v>
      </c>
      <c r="AE54" s="572">
        <f t="shared" si="472"/>
        <v>0.76149881801026531</v>
      </c>
      <c r="AF54" s="576">
        <f t="shared" si="473"/>
        <v>-2.2679489662669189E-7</v>
      </c>
      <c r="AG54" s="545">
        <f t="shared" si="474"/>
        <v>89.999982935770774</v>
      </c>
      <c r="AH54" s="546">
        <f t="shared" si="475"/>
        <v>130.40349086984088</v>
      </c>
      <c r="AI54" s="528">
        <f t="shared" si="476"/>
        <v>-89.999987005609611</v>
      </c>
      <c r="AJ54" s="529">
        <f t="shared" si="477"/>
        <v>-139.59650913015784</v>
      </c>
      <c r="AK54" s="578">
        <f t="shared" si="478"/>
        <v>4.4408920985006262E-16</v>
      </c>
      <c r="AL54" s="572">
        <f t="shared" si="479"/>
        <v>-0.99999999999997424</v>
      </c>
      <c r="AM54" s="577">
        <f t="shared" si="480"/>
        <v>-2.2679489662669189E-7</v>
      </c>
      <c r="AN54" s="524">
        <f t="shared" si="481"/>
        <v>-89.999987005609611</v>
      </c>
      <c r="AO54" s="525">
        <f t="shared" si="116"/>
        <v>0</v>
      </c>
      <c r="AP54" s="528">
        <f t="shared" si="482"/>
        <v>-89.999999999999972</v>
      </c>
      <c r="AQ54" s="529">
        <f t="shared" si="274"/>
        <v>0.18161926673217046</v>
      </c>
      <c r="AS54" s="932">
        <f t="shared" si="461"/>
        <v>220.83638171571312</v>
      </c>
      <c r="AT54" s="928">
        <f t="shared" si="275"/>
        <v>-2.8348314711557538</v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>Taper</v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3.2450000000000001</v>
      </c>
      <c r="IJ54" s="674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3.145</v>
      </c>
      <c r="IK54" s="677" cm="1">
        <f t="array" ref="IK54">IFERROR(ROUND(VALUE(IF($IJ54&lt;1,$IJ54+LARGE((IF($M$9:$M$150="",0,$M$9:$M$150)-MOD(IF($M$9:$M$150="",0,$M$9:$M$150),1)),1),$IJ54)),4),"")</f>
        <v>3.145</v>
      </c>
      <c r="IL54" s="482">
        <f t="shared" si="426"/>
        <v>1613</v>
      </c>
      <c r="IM54" s="482" t="str">
        <f t="shared" si="237"/>
        <v>CPS-32193r1</v>
      </c>
      <c r="IN54" s="670">
        <f t="shared" si="427"/>
        <v>12.202087403953385</v>
      </c>
      <c r="IO54" s="702">
        <v>4.8104159123766699E-2</v>
      </c>
      <c r="IP54" s="5">
        <f t="shared" si="428"/>
        <v>2.78</v>
      </c>
      <c r="IQ54" s="714">
        <v>1390</v>
      </c>
      <c r="IR54" s="9">
        <f t="shared" si="429"/>
        <v>-5.0550887932628417</v>
      </c>
      <c r="IS54" s="5">
        <f t="shared" si="430"/>
        <v>-2.8490882343532911</v>
      </c>
      <c r="IT54" s="5">
        <f t="shared" si="431"/>
        <v>0.3125</v>
      </c>
      <c r="IU54" s="5">
        <f t="shared" si="432"/>
        <v>0.27121678779184555</v>
      </c>
      <c r="IV54" s="670">
        <f t="shared" si="433"/>
        <v>84.97011741683842</v>
      </c>
      <c r="IW54" s="9">
        <f t="shared" si="434"/>
        <v>-5.0208747946625891</v>
      </c>
      <c r="IX54" s="5">
        <f t="shared" si="435"/>
        <v>-2.87274311561979</v>
      </c>
      <c r="IY54" s="5">
        <f t="shared" si="436"/>
        <v>0.255</v>
      </c>
      <c r="IZ54" s="5">
        <f t="shared" si="437"/>
        <v>0.255</v>
      </c>
      <c r="JA54" s="705">
        <f t="shared" si="438"/>
        <v>89.999987005609611</v>
      </c>
    </row>
    <row r="55" spans="1:261" ht="15" customHeight="1" x14ac:dyDescent="0.25">
      <c r="A55" s="75">
        <f t="shared" si="256"/>
        <v>0.02</v>
      </c>
      <c r="B55" s="578">
        <f t="shared" ref="B55:B118" si="515">IFERROR(Q210+($A55*-E55),"")</f>
        <v>-4.848270292686319</v>
      </c>
      <c r="C55" s="572">
        <f t="shared" ref="C55:C118" si="516">IFERROR(R210+($A55*-F55),"")</f>
        <v>-1.6531881601305682</v>
      </c>
      <c r="D55" s="576">
        <f t="shared" ref="D55:D118" si="517">IFERROR(S210+($A55*-G55),"")</f>
        <v>-9.4977962776039639</v>
      </c>
      <c r="E55" s="580">
        <f t="shared" ref="E55:E118" si="518">T210</f>
        <v>-0.34913478283133281</v>
      </c>
      <c r="F55" s="572">
        <f t="shared" ref="F55:F118" si="519">U210</f>
        <v>-0.93040107687091467</v>
      </c>
      <c r="G55" s="579">
        <f t="shared" ref="G55:G118" si="520">V210</f>
        <v>-0.11161872412261586</v>
      </c>
      <c r="H55" s="580">
        <f t="shared" ref="H55:H118" si="521">W210</f>
        <v>0.26450000000000001</v>
      </c>
      <c r="I55" s="572">
        <f t="shared" ref="I55:I118" si="522">X210</f>
        <v>0.52</v>
      </c>
      <c r="J55" s="483">
        <f t="shared" ref="J55:J118" si="523">IF(Y210=0,"",Y210)</f>
        <v>3.2509999999999999</v>
      </c>
      <c r="K55" s="806">
        <f t="shared" ref="K55:K118" si="524">Z210</f>
        <v>1313</v>
      </c>
      <c r="L55" s="309"/>
      <c r="M55" s="164">
        <f t="shared" si="267"/>
        <v>3.2509999999999999</v>
      </c>
      <c r="N55" s="575">
        <f t="shared" si="268"/>
        <v>-4.848270292686319</v>
      </c>
      <c r="O55" s="572">
        <f t="shared" si="269"/>
        <v>-1.6531881601305682</v>
      </c>
      <c r="P55" s="576">
        <f t="shared" si="270"/>
        <v>-9.4977962776039639</v>
      </c>
      <c r="Q55" s="528">
        <f t="shared" si="140"/>
        <v>198.82861392208528</v>
      </c>
      <c r="R55" s="572">
        <f t="shared" si="464"/>
        <v>5.1223779559634783</v>
      </c>
      <c r="S55" s="577">
        <f t="shared" si="465"/>
        <v>-9.4977962776039639</v>
      </c>
      <c r="T55" s="578">
        <f t="shared" si="466"/>
        <v>-1.6897711055169093</v>
      </c>
      <c r="U55" s="572">
        <f t="shared" si="467"/>
        <v>4.8356415845987533</v>
      </c>
      <c r="V55" s="579">
        <f t="shared" si="468"/>
        <v>-9.4977962776039639</v>
      </c>
      <c r="W55" s="528">
        <f t="shared" si="253"/>
        <v>109.26150476795627</v>
      </c>
      <c r="X55" s="572">
        <f t="shared" si="469"/>
        <v>5.1223779559634783</v>
      </c>
      <c r="Y55" s="573">
        <f t="shared" si="255"/>
        <v>-9.4977962776039639</v>
      </c>
      <c r="Z55" s="575">
        <f t="shared" si="271"/>
        <v>0.34913478283133281</v>
      </c>
      <c r="AA55" s="572">
        <f t="shared" si="272"/>
        <v>0.93040107687091467</v>
      </c>
      <c r="AB55" s="572">
        <f t="shared" si="273"/>
        <v>0.11161872412261586</v>
      </c>
      <c r="AC55" s="579">
        <f t="shared" si="470"/>
        <v>1</v>
      </c>
      <c r="AD55" s="580">
        <f t="shared" si="471"/>
        <v>0.34913478283133281</v>
      </c>
      <c r="AE55" s="572">
        <f t="shared" si="472"/>
        <v>0.93040107687091467</v>
      </c>
      <c r="AF55" s="576">
        <f t="shared" si="473"/>
        <v>0.11161872412261586</v>
      </c>
      <c r="AG55" s="545">
        <f t="shared" si="474"/>
        <v>96.840988292285772</v>
      </c>
      <c r="AH55" s="546">
        <f t="shared" si="475"/>
        <v>69.565596296127396</v>
      </c>
      <c r="AI55" s="528">
        <f t="shared" si="476"/>
        <v>-96.408636339561298</v>
      </c>
      <c r="AJ55" s="529">
        <f t="shared" si="477"/>
        <v>159.43130181637963</v>
      </c>
      <c r="AK55" s="578">
        <f t="shared" si="478"/>
        <v>0.76793443315336374</v>
      </c>
      <c r="AL55" s="572">
        <f t="shared" si="479"/>
        <v>-0.63072812431558911</v>
      </c>
      <c r="AM55" s="577">
        <f t="shared" si="480"/>
        <v>0.11161872412261586</v>
      </c>
      <c r="AN55" s="524">
        <f t="shared" si="481"/>
        <v>-100.03561890671625</v>
      </c>
      <c r="AO55" s="525">
        <f>IF(ROUND(IF(M55="",0,DEGREES(ACOS(AK55))),4)=90,0,IF(M55="","",DEGREES(ACOS(AK55))))</f>
        <v>39.831236627249623</v>
      </c>
      <c r="AP55" s="528">
        <f t="shared" si="482"/>
        <v>-39.397312105705673</v>
      </c>
      <c r="AQ55" s="529">
        <f t="shared" si="274"/>
        <v>0.17802038940560669</v>
      </c>
      <c r="AS55" s="932">
        <f t="shared" si="461"/>
        <v>109.26150476795627</v>
      </c>
      <c r="AT55" s="928">
        <f t="shared" si="275"/>
        <v>-9.4288916117655504</v>
      </c>
      <c r="AU55" s="418"/>
      <c r="AV55" s="164" t="str">
        <f t="shared" si="276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4"/>
        <v/>
      </c>
      <c r="BA55" s="296" t="str">
        <f t="shared" si="278"/>
        <v/>
      </c>
      <c r="BB55" s="177" t="str">
        <f t="shared" si="145"/>
        <v/>
      </c>
      <c r="BC55" s="9"/>
      <c r="BD55" s="5" t="str">
        <f t="shared" si="146"/>
        <v/>
      </c>
      <c r="BE55" s="6" t="str">
        <f t="shared" si="280"/>
        <v/>
      </c>
      <c r="BF55" s="4" t="str">
        <f t="shared" si="281"/>
        <v/>
      </c>
      <c r="BG55" s="5" t="str">
        <f t="shared" si="282"/>
        <v/>
      </c>
      <c r="BH55" s="10" t="str">
        <f t="shared" si="283"/>
        <v/>
      </c>
      <c r="BI55" s="9" t="str">
        <f t="shared" si="147"/>
        <v/>
      </c>
      <c r="BJ55" s="5" t="str">
        <f t="shared" si="285"/>
        <v/>
      </c>
      <c r="BK55" s="8" t="str">
        <f t="shared" si="286"/>
        <v/>
      </c>
      <c r="BL55" s="173" t="str">
        <f t="shared" si="287"/>
        <v/>
      </c>
      <c r="BM55" s="5" t="str">
        <f t="shared" si="288"/>
        <v/>
      </c>
      <c r="BN55" s="6" t="str">
        <f t="shared" si="289"/>
        <v/>
      </c>
      <c r="BO55" s="4" t="str">
        <f t="shared" si="148"/>
        <v/>
      </c>
      <c r="BP55" s="5" t="str">
        <f t="shared" si="239"/>
        <v/>
      </c>
      <c r="BQ55" s="5" t="str">
        <f t="shared" si="149"/>
        <v/>
      </c>
      <c r="BR55" s="6" t="str">
        <f t="shared" si="150"/>
        <v/>
      </c>
      <c r="BS55" s="4" t="str">
        <f t="shared" si="483"/>
        <v/>
      </c>
      <c r="BT55" s="5" t="str">
        <f t="shared" si="483"/>
        <v/>
      </c>
      <c r="BU55" s="10" t="str">
        <f t="shared" si="119"/>
        <v/>
      </c>
      <c r="BV55" s="9" t="str">
        <f t="shared" si="120"/>
        <v/>
      </c>
      <c r="BW55" s="5" t="str">
        <f t="shared" si="121"/>
        <v/>
      </c>
      <c r="BX55" s="8" t="str">
        <f t="shared" si="122"/>
        <v/>
      </c>
      <c r="BY55" s="173" t="str">
        <f t="shared" si="123"/>
        <v/>
      </c>
      <c r="BZ55" s="5" t="str">
        <f t="shared" si="124"/>
        <v/>
      </c>
      <c r="CA55" s="6" t="str">
        <f t="shared" si="125"/>
        <v/>
      </c>
      <c r="CB55" s="4" t="str">
        <f t="shared" si="151"/>
        <v/>
      </c>
      <c r="CC55" s="5" t="str">
        <f t="shared" si="152"/>
        <v/>
      </c>
      <c r="CD55" s="5" t="str">
        <f t="shared" si="153"/>
        <v/>
      </c>
      <c r="CE55" s="6" t="str">
        <f t="shared" si="154"/>
        <v/>
      </c>
      <c r="CF55" s="4" t="str">
        <f t="shared" si="155"/>
        <v/>
      </c>
      <c r="CG55" s="5" t="str">
        <f t="shared" si="156"/>
        <v/>
      </c>
      <c r="CH55" s="5" t="str">
        <f t="shared" si="157"/>
        <v/>
      </c>
      <c r="CI55" s="4" t="str">
        <f t="shared" si="126"/>
        <v/>
      </c>
      <c r="CJ55" s="5" t="str">
        <f t="shared" si="127"/>
        <v/>
      </c>
      <c r="CK55" s="8" t="str">
        <f t="shared" si="128"/>
        <v/>
      </c>
      <c r="CL55" s="173" t="str">
        <f t="shared" si="129"/>
        <v/>
      </c>
      <c r="CM55" s="5" t="str">
        <f t="shared" si="130"/>
        <v/>
      </c>
      <c r="CN55" s="6" t="str">
        <f t="shared" si="131"/>
        <v/>
      </c>
      <c r="CO55" s="167" t="str">
        <f t="shared" si="305"/>
        <v/>
      </c>
      <c r="CP55" s="4" t="str">
        <f t="shared" si="240"/>
        <v/>
      </c>
      <c r="CQ55" s="5" t="str">
        <f t="shared" si="241"/>
        <v/>
      </c>
      <c r="CR55" s="5" t="str">
        <f t="shared" si="158"/>
        <v/>
      </c>
      <c r="CS55" s="8" t="str">
        <f t="shared" si="159"/>
        <v/>
      </c>
      <c r="CT55" s="9" t="str">
        <f t="shared" si="160"/>
        <v/>
      </c>
      <c r="CU55" s="6" t="str">
        <f t="shared" si="161"/>
        <v/>
      </c>
      <c r="CV55" s="4" t="str">
        <f t="shared" si="242"/>
        <v/>
      </c>
      <c r="CW55" s="5" t="str">
        <f t="shared" si="162"/>
        <v/>
      </c>
      <c r="CX55" s="8" t="str">
        <f t="shared" si="163"/>
        <v/>
      </c>
      <c r="CY55" s="9" t="str">
        <f t="shared" si="164"/>
        <v/>
      </c>
      <c r="CZ55" s="5" t="str">
        <f t="shared" si="165"/>
        <v/>
      </c>
      <c r="DA55" s="6" t="str">
        <f t="shared" si="166"/>
        <v/>
      </c>
      <c r="DB55" s="4" t="str">
        <f t="shared" si="484"/>
        <v/>
      </c>
      <c r="DC55" s="5" t="str">
        <f t="shared" si="484"/>
        <v/>
      </c>
      <c r="DD55" s="10" t="str">
        <f t="shared" si="168"/>
        <v/>
      </c>
      <c r="DE55" s="9" t="str">
        <f t="shared" si="485"/>
        <v/>
      </c>
      <c r="DF55" s="5" t="str">
        <f t="shared" si="485"/>
        <v/>
      </c>
      <c r="DG55" s="10" t="str">
        <f t="shared" si="170"/>
        <v/>
      </c>
      <c r="DH55" s="70" t="str">
        <f t="shared" si="171"/>
        <v/>
      </c>
      <c r="DI55" s="4" t="str">
        <f t="shared" si="172"/>
        <v/>
      </c>
      <c r="DJ55" s="5" t="str">
        <f t="shared" si="173"/>
        <v/>
      </c>
      <c r="DK55" s="10" t="str">
        <f t="shared" si="174"/>
        <v/>
      </c>
      <c r="DL55" s="9" t="str">
        <f t="shared" si="175"/>
        <v/>
      </c>
      <c r="DM55" s="173" t="str">
        <f t="shared" si="176"/>
        <v/>
      </c>
      <c r="DN55" s="178" t="str">
        <f t="shared" si="177"/>
        <v/>
      </c>
      <c r="DO55" s="9" t="str">
        <f t="shared" si="178"/>
        <v/>
      </c>
      <c r="DP55" s="173" t="str">
        <f t="shared" si="179"/>
        <v/>
      </c>
      <c r="DQ55" s="11" t="str">
        <f t="shared" si="180"/>
        <v/>
      </c>
      <c r="DR55" s="173" t="str">
        <f t="shared" si="181"/>
        <v/>
      </c>
      <c r="DS55" s="5" t="str">
        <f t="shared" si="182"/>
        <v/>
      </c>
      <c r="DT55" s="5" t="str">
        <f t="shared" si="183"/>
        <v/>
      </c>
      <c r="DU55" s="5" t="str">
        <f t="shared" si="184"/>
        <v/>
      </c>
      <c r="DV55" s="5" t="str">
        <f t="shared" si="185"/>
        <v/>
      </c>
      <c r="DW55" s="5" t="str">
        <f t="shared" si="186"/>
        <v/>
      </c>
      <c r="DX55" s="167" t="str">
        <f t="shared" si="187"/>
        <v/>
      </c>
      <c r="DY55" s="9" t="str">
        <f t="shared" si="188"/>
        <v/>
      </c>
      <c r="DZ55" s="5" t="str">
        <f t="shared" si="189"/>
        <v/>
      </c>
      <c r="EA55" s="10" t="str">
        <f t="shared" si="190"/>
        <v/>
      </c>
      <c r="EB55" s="6" t="str">
        <f t="shared" si="191"/>
        <v/>
      </c>
      <c r="EC55" s="173" t="str">
        <f t="shared" si="192"/>
        <v/>
      </c>
      <c r="ED55" s="5" t="str">
        <f t="shared" si="193"/>
        <v/>
      </c>
      <c r="EE55" s="4" t="str">
        <f t="shared" si="194"/>
        <v/>
      </c>
      <c r="EF55" s="5" t="str">
        <f t="shared" si="195"/>
        <v/>
      </c>
      <c r="EG55" s="10" t="str">
        <f t="shared" si="196"/>
        <v/>
      </c>
      <c r="EH55" s="9" t="str">
        <f t="shared" si="197"/>
        <v/>
      </c>
      <c r="EI55" s="5" t="str">
        <f t="shared" si="198"/>
        <v/>
      </c>
      <c r="EJ55" s="6" t="str">
        <f t="shared" si="199"/>
        <v/>
      </c>
      <c r="EK55" s="236" t="str">
        <f t="shared" si="200"/>
        <v/>
      </c>
      <c r="EL55" s="238" t="str">
        <f t="shared" si="201"/>
        <v/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str">
        <f t="shared" si="205"/>
        <v/>
      </c>
      <c r="EQ55" s="5" t="str">
        <f t="shared" si="206"/>
        <v/>
      </c>
      <c r="ER55" s="7" t="str">
        <f t="shared" si="207"/>
        <v/>
      </c>
      <c r="ES55" s="21" t="str">
        <f t="shared" si="352"/>
        <v/>
      </c>
      <c r="ET55" s="5" t="str">
        <f t="shared" si="353"/>
        <v/>
      </c>
      <c r="EU55" s="10" t="str">
        <f t="shared" si="354"/>
        <v/>
      </c>
      <c r="EV55" s="174" t="str">
        <f t="shared" si="486"/>
        <v/>
      </c>
      <c r="EW55" s="9" t="str">
        <f t="shared" si="487"/>
        <v/>
      </c>
      <c r="EX55" s="5" t="str">
        <f t="shared" si="488"/>
        <v/>
      </c>
      <c r="EY55" s="6" t="str">
        <f t="shared" si="208"/>
        <v/>
      </c>
      <c r="EZ55" s="51" t="str">
        <f t="shared" si="209"/>
        <v/>
      </c>
      <c r="FA55" s="173" t="str">
        <f t="shared" si="489"/>
        <v/>
      </c>
      <c r="FB55" s="5" t="str">
        <f t="shared" si="490"/>
        <v/>
      </c>
      <c r="FC55" s="6" t="str">
        <f t="shared" si="491"/>
        <v/>
      </c>
      <c r="FD55" s="4" t="str">
        <f t="shared" si="492"/>
        <v/>
      </c>
      <c r="FE55" s="5" t="str">
        <f t="shared" si="493"/>
        <v/>
      </c>
      <c r="FF55" s="7" t="str">
        <f t="shared" si="210"/>
        <v/>
      </c>
      <c r="FG55" s="173" t="str">
        <f t="shared" si="494"/>
        <v/>
      </c>
      <c r="FH55" s="5" t="str">
        <f t="shared" si="495"/>
        <v/>
      </c>
      <c r="FI55" s="10" t="str">
        <f t="shared" si="496"/>
        <v/>
      </c>
      <c r="FJ55" s="279" t="str">
        <f t="shared" si="212"/>
        <v/>
      </c>
      <c r="FK55" s="4" t="str">
        <f t="shared" si="497"/>
        <v/>
      </c>
      <c r="FL55" s="5" t="str">
        <f t="shared" si="213"/>
        <v/>
      </c>
      <c r="FM55" s="8" t="str">
        <f t="shared" si="214"/>
        <v/>
      </c>
      <c r="FN55" s="9" t="str">
        <f t="shared" si="215"/>
        <v/>
      </c>
      <c r="FO55" s="10" t="str">
        <f t="shared" si="498"/>
        <v/>
      </c>
      <c r="FP55" s="277" t="str">
        <f t="shared" si="499"/>
        <v/>
      </c>
      <c r="FQ55" s="173" t="str">
        <f t="shared" si="243"/>
        <v/>
      </c>
      <c r="FR55" s="10" t="str">
        <f t="shared" si="216"/>
        <v/>
      </c>
      <c r="FS55" s="9" t="str">
        <f t="shared" si="217"/>
        <v/>
      </c>
      <c r="FT55" s="6" t="str">
        <f t="shared" si="218"/>
        <v/>
      </c>
      <c r="FU55" s="4" t="str">
        <f t="shared" si="219"/>
        <v/>
      </c>
      <c r="FV55" s="5" t="str">
        <f t="shared" si="220"/>
        <v/>
      </c>
      <c r="FW55" s="8" t="str">
        <f t="shared" si="244"/>
        <v/>
      </c>
      <c r="FX55" s="9" t="str">
        <f t="shared" si="245"/>
        <v/>
      </c>
      <c r="FY55" s="10" t="str">
        <f t="shared" si="500"/>
        <v/>
      </c>
      <c r="FZ55" s="277" t="str">
        <f t="shared" si="246"/>
        <v/>
      </c>
      <c r="GA55" s="177" t="str">
        <f t="shared" si="221"/>
        <v/>
      </c>
      <c r="GB55" s="4" t="str">
        <f t="shared" si="222"/>
        <v/>
      </c>
      <c r="GC55" s="5" t="str">
        <f t="shared" si="223"/>
        <v/>
      </c>
      <c r="GD55" s="10" t="str">
        <f t="shared" si="224"/>
        <v/>
      </c>
      <c r="GE55" s="311" t="str">
        <f t="shared" si="225"/>
        <v/>
      </c>
      <c r="GF55" s="341" t="str">
        <f t="shared" si="247"/>
        <v/>
      </c>
      <c r="GG55" s="285" t="str">
        <f t="shared" si="501"/>
        <v/>
      </c>
      <c r="GH55" s="286" t="str">
        <f t="shared" si="502"/>
        <v/>
      </c>
      <c r="GI55" s="281" t="str">
        <f t="shared" si="503"/>
        <v/>
      </c>
      <c r="GJ55" s="167" t="str">
        <f t="shared" si="226"/>
        <v/>
      </c>
      <c r="GK55" s="174" t="str">
        <f t="shared" si="504"/>
        <v/>
      </c>
      <c r="GL55" s="174" t="str">
        <f t="shared" si="227"/>
        <v/>
      </c>
      <c r="GM55" s="177" t="str">
        <f t="shared" si="248"/>
        <v/>
      </c>
      <c r="GN55" s="280" t="str">
        <f t="shared" si="228"/>
        <v/>
      </c>
      <c r="GO55" s="4" t="str">
        <f t="shared" si="229"/>
        <v/>
      </c>
      <c r="GP55" s="8" t="str">
        <f t="shared" si="249"/>
        <v/>
      </c>
      <c r="GQ55" s="177" t="str">
        <f t="shared" si="230"/>
        <v/>
      </c>
      <c r="GR55" s="371" t="str">
        <f t="shared" si="250"/>
        <v/>
      </c>
      <c r="GS55" s="342" t="str">
        <f t="shared" si="505"/>
        <v/>
      </c>
      <c r="GT55" s="343" t="str">
        <f t="shared" si="506"/>
        <v/>
      </c>
      <c r="GU55" s="344" t="str">
        <f t="shared" si="507"/>
        <v/>
      </c>
      <c r="GV55" s="343" t="str">
        <f t="shared" si="252"/>
        <v/>
      </c>
      <c r="GW55" s="345" t="str">
        <f t="shared" si="508"/>
        <v/>
      </c>
      <c r="GX55" s="346" t="str">
        <f t="shared" si="509"/>
        <v/>
      </c>
      <c r="GY55" s="344" t="str">
        <f t="shared" si="510"/>
        <v/>
      </c>
      <c r="GZ55" s="345" t="str">
        <f t="shared" si="511"/>
        <v/>
      </c>
      <c r="HA55" s="342" t="str">
        <f t="shared" si="512"/>
        <v/>
      </c>
      <c r="HB55" s="5" t="str">
        <f t="shared" si="231"/>
        <v/>
      </c>
      <c r="HC55" s="343" t="str">
        <f t="shared" si="232"/>
        <v/>
      </c>
      <c r="HD55" s="363" t="str">
        <f t="shared" si="233"/>
        <v/>
      </c>
      <c r="HE55" s="344" t="str">
        <f t="shared" si="513"/>
        <v/>
      </c>
      <c r="HF55" s="5" t="str">
        <f t="shared" si="514"/>
        <v/>
      </c>
      <c r="HG55" s="343" t="str">
        <f t="shared" si="234"/>
        <v/>
      </c>
      <c r="HH55" s="349" t="str">
        <f t="shared" si="235"/>
        <v/>
      </c>
      <c r="HI55" s="317" t="str">
        <f t="shared" si="408"/>
        <v/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3.2509999999999999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6"/>
        <v>1313</v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>
        <f t="shared" si="256"/>
        <v>0.02</v>
      </c>
      <c r="B56" s="578">
        <f t="shared" si="515"/>
        <v>-0.27529261922885556</v>
      </c>
      <c r="C56" s="572">
        <f t="shared" si="516"/>
        <v>-2.9254608481465825</v>
      </c>
      <c r="D56" s="576">
        <f t="shared" si="517"/>
        <v>-0.10002227709116517</v>
      </c>
      <c r="E56" s="580">
        <f t="shared" si="518"/>
        <v>0.95780292439168624</v>
      </c>
      <c r="F56" s="572">
        <f t="shared" si="519"/>
        <v>-0.10868198408491406</v>
      </c>
      <c r="G56" s="579">
        <f t="shared" si="520"/>
        <v>0.26608604691358839</v>
      </c>
      <c r="H56" s="580">
        <f t="shared" si="521"/>
        <v>0.3125</v>
      </c>
      <c r="I56" s="572">
        <f t="shared" si="522"/>
        <v>0.52</v>
      </c>
      <c r="J56" s="483">
        <f t="shared" si="523"/>
        <v>4.1139999999999999</v>
      </c>
      <c r="K56" s="806">
        <f t="shared" si="524"/>
        <v>1613</v>
      </c>
      <c r="L56" s="309"/>
      <c r="M56" s="164">
        <f t="shared" si="267"/>
        <v>4.1139999999999999</v>
      </c>
      <c r="N56" s="575">
        <f t="shared" si="268"/>
        <v>-0.27529261922885556</v>
      </c>
      <c r="O56" s="572">
        <f t="shared" si="269"/>
        <v>-2.9254608481465825</v>
      </c>
      <c r="P56" s="576">
        <f t="shared" si="270"/>
        <v>-0.10002227709116517</v>
      </c>
      <c r="Q56" s="528">
        <f t="shared" si="140"/>
        <v>264.62416569155789</v>
      </c>
      <c r="R56" s="572">
        <f t="shared" si="464"/>
        <v>2.9383851347705265</v>
      </c>
      <c r="S56" s="577">
        <f t="shared" si="465"/>
        <v>-0.10002227709116517</v>
      </c>
      <c r="T56" s="578">
        <f t="shared" si="466"/>
        <v>-2.9274572685527214</v>
      </c>
      <c r="U56" s="572">
        <f t="shared" si="467"/>
        <v>0.25318203142846668</v>
      </c>
      <c r="V56" s="579">
        <f t="shared" si="468"/>
        <v>-0.10002227709116517</v>
      </c>
      <c r="W56" s="528">
        <f t="shared" si="253"/>
        <v>175.05705653742888</v>
      </c>
      <c r="X56" s="572">
        <f t="shared" si="469"/>
        <v>2.9383851347705265</v>
      </c>
      <c r="Y56" s="573">
        <f t="shared" si="255"/>
        <v>-0.10002227709116517</v>
      </c>
      <c r="Z56" s="575">
        <f t="shared" si="271"/>
        <v>-0.95780292439168624</v>
      </c>
      <c r="AA56" s="572">
        <f t="shared" si="272"/>
        <v>0.10868198408491406</v>
      </c>
      <c r="AB56" s="572">
        <f t="shared" si="273"/>
        <v>-0.26608604691358839</v>
      </c>
      <c r="AC56" s="579">
        <f t="shared" si="470"/>
        <v>1</v>
      </c>
      <c r="AD56" s="580">
        <f t="shared" si="471"/>
        <v>-0.95780292439168624</v>
      </c>
      <c r="AE56" s="572">
        <f t="shared" si="472"/>
        <v>0.10868198408491406</v>
      </c>
      <c r="AF56" s="576">
        <f t="shared" si="473"/>
        <v>-0.26608604691358839</v>
      </c>
      <c r="AG56" s="545">
        <f t="shared" si="474"/>
        <v>22.217400656237075</v>
      </c>
      <c r="AH56" s="546">
        <f t="shared" si="475"/>
        <v>163.2960983604963</v>
      </c>
      <c r="AI56" s="528">
        <f t="shared" si="476"/>
        <v>-74.568504133677038</v>
      </c>
      <c r="AJ56" s="529">
        <f t="shared" si="477"/>
        <v>-96.473668196046404</v>
      </c>
      <c r="AK56" s="578">
        <f t="shared" si="478"/>
        <v>0.96377233538892937</v>
      </c>
      <c r="AL56" s="572">
        <f t="shared" si="479"/>
        <v>-1.846892462675731E-2</v>
      </c>
      <c r="AM56" s="577">
        <f t="shared" si="480"/>
        <v>-0.26608604691358839</v>
      </c>
      <c r="AN56" s="524">
        <f t="shared" si="481"/>
        <v>-3.9705087662236287</v>
      </c>
      <c r="AO56" s="525">
        <f t="shared" ref="AO56:AO119" si="525">IF(ROUND(IF(M56="",0,DEGREES(ACOS(AK56))),4)=90,0,IF(M56="","",DEGREES(ACOS(AK56))))</f>
        <v>15.469551353298518</v>
      </c>
      <c r="AP56" s="528">
        <f t="shared" si="482"/>
        <v>-1.0978338876042926</v>
      </c>
      <c r="AQ56" s="529">
        <f t="shared" si="274"/>
        <v>0.31033431411781537</v>
      </c>
      <c r="AS56" s="932">
        <f t="shared" si="461"/>
        <v>175.05705653742888</v>
      </c>
      <c r="AT56" s="928">
        <f t="shared" si="275"/>
        <v>-4.9394153410939126E-2</v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4.1139999999999999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6"/>
        <v>1613</v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>
        <f t="shared" si="256"/>
        <v>0.02</v>
      </c>
      <c r="B57" s="578">
        <f t="shared" si="515"/>
        <v>-0.36524089055875675</v>
      </c>
      <c r="C57" s="572">
        <f t="shared" si="516"/>
        <v>-3.6725484360071206</v>
      </c>
      <c r="D57" s="576">
        <f t="shared" si="517"/>
        <v>-0.24835308133578413</v>
      </c>
      <c r="E57" s="580">
        <f t="shared" si="518"/>
        <v>0.94295431762086424</v>
      </c>
      <c r="F57" s="572">
        <f t="shared" si="519"/>
        <v>-0.20466584949397226</v>
      </c>
      <c r="G57" s="579">
        <f t="shared" si="520"/>
        <v>0.26258150150206921</v>
      </c>
      <c r="H57" s="580">
        <f t="shared" si="521"/>
        <v>0.3125</v>
      </c>
      <c r="I57" s="572">
        <f t="shared" si="522"/>
        <v>0.52</v>
      </c>
      <c r="J57" s="483">
        <f t="shared" si="523"/>
        <v>4.12</v>
      </c>
      <c r="K57" s="806">
        <f t="shared" si="524"/>
        <v>1613</v>
      </c>
      <c r="L57" s="309"/>
      <c r="M57" s="164">
        <f t="shared" si="267"/>
        <v>4.12</v>
      </c>
      <c r="N57" s="575">
        <f t="shared" si="268"/>
        <v>-0.36524089055875675</v>
      </c>
      <c r="O57" s="572">
        <f t="shared" si="269"/>
        <v>-3.6725484360071206</v>
      </c>
      <c r="P57" s="576">
        <f t="shared" si="270"/>
        <v>-0.24835308133578413</v>
      </c>
      <c r="Q57" s="528">
        <f t="shared" si="140"/>
        <v>264.32051733481433</v>
      </c>
      <c r="R57" s="572">
        <f t="shared" si="464"/>
        <v>3.690665647678546</v>
      </c>
      <c r="S57" s="577">
        <f t="shared" si="465"/>
        <v>-0.24835308133578413</v>
      </c>
      <c r="T57" s="578">
        <f t="shared" si="466"/>
        <v>-3.6752031193368326</v>
      </c>
      <c r="U57" s="572">
        <f t="shared" si="467"/>
        <v>0.33748326561670472</v>
      </c>
      <c r="V57" s="579">
        <f t="shared" si="468"/>
        <v>-0.24835308133578413</v>
      </c>
      <c r="W57" s="528">
        <f t="shared" si="253"/>
        <v>174.75340818068531</v>
      </c>
      <c r="X57" s="572">
        <f t="shared" si="469"/>
        <v>3.690665647678546</v>
      </c>
      <c r="Y57" s="573">
        <f t="shared" si="255"/>
        <v>-0.24835308133578413</v>
      </c>
      <c r="Z57" s="575">
        <f t="shared" si="271"/>
        <v>-0.94295431762086424</v>
      </c>
      <c r="AA57" s="572">
        <f t="shared" si="272"/>
        <v>0.20466584949397226</v>
      </c>
      <c r="AB57" s="572">
        <f t="shared" si="273"/>
        <v>-0.26258150150206921</v>
      </c>
      <c r="AC57" s="579">
        <f t="shared" si="470"/>
        <v>1</v>
      </c>
      <c r="AD57" s="580">
        <f t="shared" si="471"/>
        <v>-0.94295431762086424</v>
      </c>
      <c r="AE57" s="572">
        <f t="shared" si="472"/>
        <v>0.20466584949397226</v>
      </c>
      <c r="AF57" s="576">
        <f t="shared" si="473"/>
        <v>-0.26258150150206921</v>
      </c>
      <c r="AG57" s="545">
        <f t="shared" si="474"/>
        <v>37.934184901459446</v>
      </c>
      <c r="AH57" s="546">
        <f t="shared" si="475"/>
        <v>160.55376588801235</v>
      </c>
      <c r="AI57" s="528">
        <f t="shared" si="476"/>
        <v>-74.776705386408281</v>
      </c>
      <c r="AJ57" s="529">
        <f t="shared" si="477"/>
        <v>-102.24596116031526</v>
      </c>
      <c r="AK57" s="578">
        <f t="shared" si="478"/>
        <v>0.95857985503674892</v>
      </c>
      <c r="AL57" s="572">
        <f t="shared" si="479"/>
        <v>-0.11034317643898311</v>
      </c>
      <c r="AM57" s="577">
        <f t="shared" si="480"/>
        <v>-0.26258150150206921</v>
      </c>
      <c r="AN57" s="524">
        <f t="shared" si="481"/>
        <v>-22.793338283804125</v>
      </c>
      <c r="AO57" s="525">
        <f t="shared" si="525"/>
        <v>16.548323321314136</v>
      </c>
      <c r="AP57" s="528">
        <f t="shared" si="482"/>
        <v>-6.5664784951295854</v>
      </c>
      <c r="AQ57" s="529">
        <f t="shared" si="274"/>
        <v>0.24707873517725817</v>
      </c>
      <c r="AS57" s="932">
        <f t="shared" si="461"/>
        <v>174.75340818068531</v>
      </c>
      <c r="AT57" s="928">
        <f t="shared" si="275"/>
        <v>-0.19764061088979598</v>
      </c>
      <c r="AU57" s="418"/>
      <c r="AV57" s="164" t="str">
        <f t="shared" si="276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4"/>
        <v/>
      </c>
      <c r="BA57" s="296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9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40"/>
        <v/>
      </c>
      <c r="CQ57" s="5" t="str">
        <f t="shared" si="241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2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73" t="str">
        <f t="shared" si="489"/>
        <v/>
      </c>
      <c r="FB57" s="5" t="str">
        <f t="shared" si="490"/>
        <v/>
      </c>
      <c r="FC57" s="6" t="str">
        <f t="shared" si="491"/>
        <v/>
      </c>
      <c r="FD57" s="4" t="str">
        <f t="shared" si="492"/>
        <v/>
      </c>
      <c r="FE57" s="5" t="str">
        <f t="shared" si="493"/>
        <v/>
      </c>
      <c r="FF57" s="7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9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7" t="str">
        <f t="shared" si="499"/>
        <v/>
      </c>
      <c r="FQ57" s="173" t="str">
        <f t="shared" si="243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4"/>
        <v/>
      </c>
      <c r="FX57" s="9" t="str">
        <f t="shared" si="245"/>
        <v/>
      </c>
      <c r="FY57" s="10" t="str">
        <f t="shared" si="500"/>
        <v/>
      </c>
      <c r="FZ57" s="277" t="str">
        <f t="shared" si="246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11" t="str">
        <f t="shared" si="225"/>
        <v/>
      </c>
      <c r="GF57" s="341" t="str">
        <f t="shared" si="247"/>
        <v/>
      </c>
      <c r="GG57" s="285" t="str">
        <f t="shared" si="501"/>
        <v/>
      </c>
      <c r="GH57" s="286" t="str">
        <f t="shared" si="502"/>
        <v/>
      </c>
      <c r="GI57" s="281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8"/>
        <v/>
      </c>
      <c r="GN57" s="280" t="str">
        <f t="shared" si="228"/>
        <v/>
      </c>
      <c r="GO57" s="4" t="str">
        <f t="shared" si="229"/>
        <v/>
      </c>
      <c r="GP57" s="8" t="str">
        <f t="shared" si="249"/>
        <v/>
      </c>
      <c r="GQ57" s="177" t="str">
        <f t="shared" si="230"/>
        <v/>
      </c>
      <c r="GR57" s="371" t="str">
        <f t="shared" si="250"/>
        <v/>
      </c>
      <c r="GS57" s="342" t="str">
        <f t="shared" si="505"/>
        <v/>
      </c>
      <c r="GT57" s="343" t="str">
        <f t="shared" si="506"/>
        <v/>
      </c>
      <c r="GU57" s="344" t="str">
        <f t="shared" si="507"/>
        <v/>
      </c>
      <c r="GV57" s="343" t="str">
        <f t="shared" si="252"/>
        <v/>
      </c>
      <c r="GW57" s="345" t="str">
        <f t="shared" si="508"/>
        <v/>
      </c>
      <c r="GX57" s="346" t="str">
        <f t="shared" si="509"/>
        <v/>
      </c>
      <c r="GY57" s="344" t="str">
        <f t="shared" si="510"/>
        <v/>
      </c>
      <c r="GZ57" s="345" t="str">
        <f t="shared" si="511"/>
        <v/>
      </c>
      <c r="HA57" s="342" t="str">
        <f t="shared" si="512"/>
        <v/>
      </c>
      <c r="HB57" s="5" t="str">
        <f t="shared" si="231"/>
        <v/>
      </c>
      <c r="HC57" s="343" t="str">
        <f t="shared" si="232"/>
        <v/>
      </c>
      <c r="HD57" s="363" t="str">
        <f t="shared" si="233"/>
        <v/>
      </c>
      <c r="HE57" s="344" t="str">
        <f t="shared" si="513"/>
        <v/>
      </c>
      <c r="HF57" s="5" t="str">
        <f t="shared" si="514"/>
        <v/>
      </c>
      <c r="HG57" s="343" t="str">
        <f t="shared" si="234"/>
        <v/>
      </c>
      <c r="HH57" s="349" t="str">
        <f t="shared" si="235"/>
        <v/>
      </c>
      <c r="HI57" s="317" t="str">
        <f t="shared" si="408"/>
        <v/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6"/>
        <v>4.12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6"/>
        <v>1613</v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>
        <f t="shared" si="256"/>
        <v>0.02</v>
      </c>
      <c r="B58" s="578">
        <f t="shared" si="515"/>
        <v>-0.48057004948911514</v>
      </c>
      <c r="C58" s="572">
        <f t="shared" si="516"/>
        <v>-4.3135485029157996</v>
      </c>
      <c r="D58" s="576">
        <f t="shared" si="517"/>
        <v>-0.65533994179153465</v>
      </c>
      <c r="E58" s="580">
        <f t="shared" si="518"/>
        <v>0.90519782704199592</v>
      </c>
      <c r="F58" s="572">
        <f t="shared" si="519"/>
        <v>-0.33477862210177334</v>
      </c>
      <c r="G58" s="579">
        <f t="shared" si="520"/>
        <v>0.2618017725342725</v>
      </c>
      <c r="H58" s="580">
        <f t="shared" si="521"/>
        <v>0.3125</v>
      </c>
      <c r="I58" s="572">
        <f t="shared" si="522"/>
        <v>0.52</v>
      </c>
      <c r="J58" s="483">
        <f t="shared" si="523"/>
        <v>4.1260000000000003</v>
      </c>
      <c r="K58" s="806">
        <f t="shared" si="524"/>
        <v>1613</v>
      </c>
      <c r="L58" s="309"/>
      <c r="M58" s="164">
        <f t="shared" si="267"/>
        <v>4.1260000000000003</v>
      </c>
      <c r="N58" s="575">
        <f t="shared" si="268"/>
        <v>-0.48057004948911514</v>
      </c>
      <c r="O58" s="572">
        <f t="shared" si="269"/>
        <v>-4.3135485029157996</v>
      </c>
      <c r="P58" s="576">
        <f t="shared" si="270"/>
        <v>-0.65533994179153465</v>
      </c>
      <c r="Q58" s="528">
        <f t="shared" si="140"/>
        <v>263.6429239263046</v>
      </c>
      <c r="R58" s="572">
        <f t="shared" si="464"/>
        <v>4.340235968178817</v>
      </c>
      <c r="S58" s="577">
        <f t="shared" si="465"/>
        <v>-0.65533994179153465</v>
      </c>
      <c r="T58" s="578">
        <f t="shared" si="466"/>
        <v>-4.3170562372713901</v>
      </c>
      <c r="U58" s="572">
        <f t="shared" si="467"/>
        <v>0.44796618589944709</v>
      </c>
      <c r="V58" s="579">
        <f t="shared" si="468"/>
        <v>-0.65533994179153465</v>
      </c>
      <c r="W58" s="528">
        <f t="shared" si="253"/>
        <v>174.07581477217559</v>
      </c>
      <c r="X58" s="572">
        <f t="shared" si="469"/>
        <v>4.340235968178817</v>
      </c>
      <c r="Y58" s="573">
        <f t="shared" si="255"/>
        <v>-0.65533994179153465</v>
      </c>
      <c r="Z58" s="575">
        <f t="shared" si="271"/>
        <v>-0.90519782704199592</v>
      </c>
      <c r="AA58" s="572">
        <f t="shared" si="272"/>
        <v>0.33477862210177334</v>
      </c>
      <c r="AB58" s="572">
        <f t="shared" si="273"/>
        <v>-0.2618017725342725</v>
      </c>
      <c r="AC58" s="579">
        <f t="shared" si="470"/>
        <v>1</v>
      </c>
      <c r="AD58" s="580">
        <f t="shared" si="471"/>
        <v>-0.90519782704199592</v>
      </c>
      <c r="AE58" s="572">
        <f t="shared" si="472"/>
        <v>0.33477862210177334</v>
      </c>
      <c r="AF58" s="576">
        <f t="shared" si="473"/>
        <v>-0.2618017725342725</v>
      </c>
      <c r="AG58" s="545">
        <f t="shared" si="474"/>
        <v>51.974073187703624</v>
      </c>
      <c r="AH58" s="546">
        <f t="shared" si="475"/>
        <v>154.84994022621774</v>
      </c>
      <c r="AI58" s="528">
        <f t="shared" si="476"/>
        <v>-74.823000150985678</v>
      </c>
      <c r="AJ58" s="529">
        <f t="shared" si="477"/>
        <v>-110.29642420183819</v>
      </c>
      <c r="AK58" s="578">
        <f t="shared" si="478"/>
        <v>0.93670006434624487</v>
      </c>
      <c r="AL58" s="572">
        <f t="shared" si="479"/>
        <v>-0.23249262644577334</v>
      </c>
      <c r="AM58" s="577">
        <f t="shared" si="480"/>
        <v>-0.2618017725342725</v>
      </c>
      <c r="AN58" s="524">
        <f t="shared" si="481"/>
        <v>-41.606624611766414</v>
      </c>
      <c r="AO58" s="525">
        <f t="shared" si="525"/>
        <v>20.495439001035297</v>
      </c>
      <c r="AP58" s="528">
        <f t="shared" si="482"/>
        <v>-13.939348128142811</v>
      </c>
      <c r="AQ58" s="529">
        <f t="shared" si="274"/>
        <v>0.21010068858308384</v>
      </c>
      <c r="AS58" s="932">
        <f t="shared" si="461"/>
        <v>174.07581477217559</v>
      </c>
      <c r="AT58" s="928">
        <f t="shared" si="275"/>
        <v>-0.60443925095429385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4.1260000000000003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26"/>
        <v>1613</v>
      </c>
      <c r="IM58" s="482" t="str">
        <f t="shared" si="237"/>
        <v/>
      </c>
      <c r="IN58" s="670" t="str">
        <f t="shared" si="427"/>
        <v/>
      </c>
      <c r="IO58" s="702"/>
      <c r="IP58" s="5" t="str">
        <f t="shared" si="428"/>
        <v/>
      </c>
      <c r="IQ58" s="714"/>
      <c r="IR58" s="9" t="str">
        <f t="shared" si="429"/>
        <v/>
      </c>
      <c r="IS58" s="5" t="str">
        <f t="shared" si="430"/>
        <v/>
      </c>
      <c r="IT58" s="5" t="str">
        <f t="shared" si="431"/>
        <v/>
      </c>
      <c r="IU58" s="5" t="str">
        <f t="shared" si="432"/>
        <v/>
      </c>
      <c r="IV58" s="670" t="str">
        <f t="shared" si="433"/>
        <v/>
      </c>
      <c r="IW58" s="9" t="str">
        <f t="shared" si="434"/>
        <v/>
      </c>
      <c r="IX58" s="5" t="str">
        <f t="shared" si="435"/>
        <v/>
      </c>
      <c r="IY58" s="5" t="str">
        <f t="shared" si="436"/>
        <v/>
      </c>
      <c r="IZ58" s="5" t="str">
        <f t="shared" si="437"/>
        <v/>
      </c>
      <c r="JA58" s="705" t="str">
        <f t="shared" si="438"/>
        <v/>
      </c>
    </row>
    <row r="59" spans="1:261" ht="15" customHeight="1" x14ac:dyDescent="0.25">
      <c r="A59" s="75">
        <f t="shared" si="256"/>
        <v>0.02</v>
      </c>
      <c r="B59" s="578">
        <f t="shared" si="515"/>
        <v>-0.58416359895994197</v>
      </c>
      <c r="C59" s="572">
        <f t="shared" si="516"/>
        <v>-4.7666412514490153</v>
      </c>
      <c r="D59" s="576">
        <f t="shared" si="517"/>
        <v>-1.266517934795804</v>
      </c>
      <c r="E59" s="580">
        <f t="shared" si="518"/>
        <v>0.85970717539172348</v>
      </c>
      <c r="F59" s="572">
        <f t="shared" si="519"/>
        <v>-0.46761783235017629</v>
      </c>
      <c r="G59" s="579">
        <f t="shared" si="520"/>
        <v>0.20551675223228635</v>
      </c>
      <c r="H59" s="580">
        <f t="shared" si="521"/>
        <v>0.3125</v>
      </c>
      <c r="I59" s="572">
        <f t="shared" si="522"/>
        <v>0.52</v>
      </c>
      <c r="J59" s="483">
        <f t="shared" si="523"/>
        <v>4.1319999999999997</v>
      </c>
      <c r="K59" s="806">
        <f t="shared" si="524"/>
        <v>1613</v>
      </c>
      <c r="L59" s="309"/>
      <c r="M59" s="164">
        <f t="shared" si="267"/>
        <v>4.1319999999999997</v>
      </c>
      <c r="N59" s="575">
        <f t="shared" si="268"/>
        <v>-0.58416359895994197</v>
      </c>
      <c r="O59" s="572">
        <f t="shared" si="269"/>
        <v>-4.7666412514490153</v>
      </c>
      <c r="P59" s="576">
        <f t="shared" si="270"/>
        <v>-1.266517934795804</v>
      </c>
      <c r="Q59" s="528">
        <f t="shared" si="140"/>
        <v>263.01310140622508</v>
      </c>
      <c r="R59" s="572">
        <f t="shared" si="101"/>
        <v>4.8023031901750297</v>
      </c>
      <c r="S59" s="577">
        <f t="shared" si="102"/>
        <v>-1.266517934795804</v>
      </c>
      <c r="T59" s="578">
        <f t="shared" si="103"/>
        <v>-4.7709187339856847</v>
      </c>
      <c r="U59" s="572">
        <f t="shared" si="104"/>
        <v>0.54813352759130995</v>
      </c>
      <c r="V59" s="579">
        <f t="shared" si="141"/>
        <v>-1.266517934795804</v>
      </c>
      <c r="W59" s="528">
        <f t="shared" si="253"/>
        <v>173.44599225209606</v>
      </c>
      <c r="X59" s="572">
        <f t="shared" si="105"/>
        <v>4.8023031901750297</v>
      </c>
      <c r="Y59" s="573">
        <f t="shared" si="255"/>
        <v>-1.266517934795804</v>
      </c>
      <c r="Z59" s="575">
        <f t="shared" si="271"/>
        <v>-0.85970717539172348</v>
      </c>
      <c r="AA59" s="572">
        <f t="shared" si="272"/>
        <v>0.46761783235017629</v>
      </c>
      <c r="AB59" s="572">
        <f t="shared" si="273"/>
        <v>-0.20551675223228635</v>
      </c>
      <c r="AC59" s="579">
        <f t="shared" si="106"/>
        <v>1</v>
      </c>
      <c r="AD59" s="580">
        <f t="shared" si="142"/>
        <v>-0.85970717539172348</v>
      </c>
      <c r="AE59" s="572">
        <f t="shared" si="107"/>
        <v>0.46761783235017629</v>
      </c>
      <c r="AF59" s="576">
        <f t="shared" si="108"/>
        <v>-0.20551675223228635</v>
      </c>
      <c r="AG59" s="545">
        <f t="shared" si="109"/>
        <v>66.274643145471799</v>
      </c>
      <c r="AH59" s="546">
        <f t="shared" si="110"/>
        <v>149.28372044473016</v>
      </c>
      <c r="AI59" s="528">
        <f t="shared" si="111"/>
        <v>-78.140249101160947</v>
      </c>
      <c r="AJ59" s="529">
        <f t="shared" si="112"/>
        <v>-118.54295738146776</v>
      </c>
      <c r="AK59" s="578">
        <f t="shared" si="238"/>
        <v>0.91020513057467234</v>
      </c>
      <c r="AL59" s="572">
        <f t="shared" si="113"/>
        <v>-0.35956847029103756</v>
      </c>
      <c r="AM59" s="577">
        <f t="shared" si="114"/>
        <v>-0.20551675223228635</v>
      </c>
      <c r="AN59" s="524">
        <f t="shared" si="115"/>
        <v>-60.249226457616452</v>
      </c>
      <c r="AO59" s="525">
        <f t="shared" si="525"/>
        <v>24.466285540690528</v>
      </c>
      <c r="AP59" s="528">
        <f t="shared" si="117"/>
        <v>-21.556058787692816</v>
      </c>
      <c r="AQ59" s="529">
        <f t="shared" si="274"/>
        <v>0.18988541083416946</v>
      </c>
      <c r="AS59" s="932">
        <f t="shared" si="461"/>
        <v>173.44599225209606</v>
      </c>
      <c r="AT59" s="928">
        <f t="shared" si="275"/>
        <v>-1.2154422932585411</v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4.1319999999999997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26"/>
        <v>1613</v>
      </c>
      <c r="IM59" s="482" t="str">
        <f t="shared" si="237"/>
        <v/>
      </c>
      <c r="IN59" s="670" t="str">
        <f t="shared" si="427"/>
        <v/>
      </c>
      <c r="IO59" s="702"/>
      <c r="IP59" s="5" t="str">
        <f t="shared" si="428"/>
        <v/>
      </c>
      <c r="IQ59" s="714"/>
      <c r="IR59" s="9" t="str">
        <f t="shared" si="429"/>
        <v/>
      </c>
      <c r="IS59" s="5" t="str">
        <f t="shared" si="430"/>
        <v/>
      </c>
      <c r="IT59" s="5" t="str">
        <f t="shared" si="431"/>
        <v/>
      </c>
      <c r="IU59" s="5" t="str">
        <f t="shared" si="432"/>
        <v/>
      </c>
      <c r="IV59" s="670" t="str">
        <f t="shared" si="433"/>
        <v/>
      </c>
      <c r="IW59" s="9" t="str">
        <f t="shared" si="434"/>
        <v/>
      </c>
      <c r="IX59" s="5" t="str">
        <f t="shared" si="435"/>
        <v/>
      </c>
      <c r="IY59" s="5" t="str">
        <f t="shared" si="436"/>
        <v/>
      </c>
      <c r="IZ59" s="5" t="str">
        <f t="shared" si="437"/>
        <v/>
      </c>
      <c r="JA59" s="705" t="str">
        <f t="shared" si="438"/>
        <v/>
      </c>
    </row>
    <row r="60" spans="1:261" ht="15" customHeight="1" x14ac:dyDescent="0.25">
      <c r="A60" s="75">
        <f t="shared" si="256"/>
        <v>0.02</v>
      </c>
      <c r="B60" s="578">
        <f t="shared" si="515"/>
        <v>-0.63797788643531916</v>
      </c>
      <c r="C60" s="572">
        <f t="shared" si="516"/>
        <v>-4.9757189291050254</v>
      </c>
      <c r="D60" s="576">
        <f t="shared" si="517"/>
        <v>-2.0017629003171078</v>
      </c>
      <c r="E60" s="580">
        <f t="shared" si="518"/>
        <v>0.81263488385279681</v>
      </c>
      <c r="F60" s="572">
        <f t="shared" si="519"/>
        <v>-0.57537849562887078</v>
      </c>
      <c r="G60" s="579">
        <f t="shared" si="520"/>
        <v>9.2542597291242992E-2</v>
      </c>
      <c r="H60" s="580">
        <f t="shared" si="521"/>
        <v>0.3125</v>
      </c>
      <c r="I60" s="572">
        <f t="shared" si="522"/>
        <v>0.52</v>
      </c>
      <c r="J60" s="483">
        <f t="shared" si="523"/>
        <v>4.1379999999999999</v>
      </c>
      <c r="K60" s="806">
        <f t="shared" si="524"/>
        <v>1613</v>
      </c>
      <c r="L60" s="309"/>
      <c r="M60" s="164">
        <f t="shared" si="267"/>
        <v>4.1379999999999999</v>
      </c>
      <c r="N60" s="575">
        <f t="shared" si="268"/>
        <v>-0.63797788643531916</v>
      </c>
      <c r="O60" s="572">
        <f t="shared" si="269"/>
        <v>-4.9757189291050254</v>
      </c>
      <c r="P60" s="576">
        <f t="shared" si="270"/>
        <v>-2.0017629003171078</v>
      </c>
      <c r="Q60" s="528">
        <f t="shared" si="140"/>
        <v>262.69350178927374</v>
      </c>
      <c r="R60" s="572">
        <f t="shared" si="101"/>
        <v>5.0164523963688259</v>
      </c>
      <c r="S60" s="577">
        <f t="shared" si="102"/>
        <v>-2.0017629003171078</v>
      </c>
      <c r="T60" s="578">
        <f t="shared" si="103"/>
        <v>-4.980397027229464</v>
      </c>
      <c r="U60" s="572">
        <f t="shared" si="104"/>
        <v>0.60036663481447017</v>
      </c>
      <c r="V60" s="579">
        <f t="shared" si="141"/>
        <v>-2.0017629003171078</v>
      </c>
      <c r="W60" s="528">
        <f t="shared" si="253"/>
        <v>173.12639263514473</v>
      </c>
      <c r="X60" s="572">
        <f t="shared" si="105"/>
        <v>5.0164523963688259</v>
      </c>
      <c r="Y60" s="573">
        <f t="shared" si="255"/>
        <v>-2.0017629003171078</v>
      </c>
      <c r="Z60" s="575">
        <f t="shared" si="271"/>
        <v>-0.81263488385279681</v>
      </c>
      <c r="AA60" s="572">
        <f t="shared" si="272"/>
        <v>0.57537849562887078</v>
      </c>
      <c r="AB60" s="572">
        <f t="shared" si="273"/>
        <v>-9.2542597291242992E-2</v>
      </c>
      <c r="AC60" s="579">
        <f t="shared" si="106"/>
        <v>1</v>
      </c>
      <c r="AD60" s="580">
        <f t="shared" si="142"/>
        <v>-0.81263488385279681</v>
      </c>
      <c r="AE60" s="572">
        <f t="shared" si="107"/>
        <v>0.57537849562887078</v>
      </c>
      <c r="AF60" s="576">
        <f t="shared" si="108"/>
        <v>-9.2542597291242992E-2</v>
      </c>
      <c r="AG60" s="545">
        <f t="shared" si="109"/>
        <v>80.86292635997377</v>
      </c>
      <c r="AH60" s="546">
        <f t="shared" si="110"/>
        <v>144.35417137186309</v>
      </c>
      <c r="AI60" s="528">
        <f t="shared" si="111"/>
        <v>-84.690102166621159</v>
      </c>
      <c r="AJ60" s="529">
        <f t="shared" si="112"/>
        <v>-125.30004346385974</v>
      </c>
      <c r="AK60" s="578">
        <f t="shared" si="238"/>
        <v>0.87921127962295287</v>
      </c>
      <c r="AL60" s="572">
        <f t="shared" si="113"/>
        <v>-0.46735788585447097</v>
      </c>
      <c r="AM60" s="577">
        <f t="shared" si="114"/>
        <v>-9.2542597291242992E-2</v>
      </c>
      <c r="AN60" s="524">
        <f t="shared" si="115"/>
        <v>-78.799617313561896</v>
      </c>
      <c r="AO60" s="525">
        <f t="shared" si="525"/>
        <v>28.452633559226971</v>
      </c>
      <c r="AP60" s="528">
        <f t="shared" si="117"/>
        <v>-27.99354525313349</v>
      </c>
      <c r="AQ60" s="529">
        <f t="shared" si="274"/>
        <v>0.18177937736104416</v>
      </c>
      <c r="AS60" s="932">
        <f t="shared" si="461"/>
        <v>173.12639263514473</v>
      </c>
      <c r="AT60" s="928">
        <f t="shared" si="275"/>
        <v>-1.9505984811084696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4.1379999999999999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26"/>
        <v>1613</v>
      </c>
      <c r="IM60" s="482" t="str">
        <f t="shared" si="237"/>
        <v/>
      </c>
      <c r="IN60" s="670" t="str">
        <f t="shared" si="427"/>
        <v/>
      </c>
      <c r="IO60" s="702"/>
      <c r="IP60" s="5" t="str">
        <f t="shared" si="428"/>
        <v/>
      </c>
      <c r="IQ60" s="714"/>
      <c r="IR60" s="9" t="str">
        <f t="shared" si="429"/>
        <v/>
      </c>
      <c r="IS60" s="5" t="str">
        <f t="shared" si="430"/>
        <v/>
      </c>
      <c r="IT60" s="5" t="str">
        <f t="shared" si="431"/>
        <v/>
      </c>
      <c r="IU60" s="5" t="str">
        <f t="shared" si="432"/>
        <v/>
      </c>
      <c r="IV60" s="670" t="str">
        <f t="shared" si="433"/>
        <v/>
      </c>
      <c r="IW60" s="9" t="str">
        <f t="shared" si="434"/>
        <v/>
      </c>
      <c r="IX60" s="5" t="str">
        <f t="shared" si="435"/>
        <v/>
      </c>
      <c r="IY60" s="5" t="str">
        <f t="shared" si="436"/>
        <v/>
      </c>
      <c r="IZ60" s="5" t="str">
        <f t="shared" si="437"/>
        <v/>
      </c>
      <c r="JA60" s="705" t="str">
        <f t="shared" si="438"/>
        <v/>
      </c>
    </row>
    <row r="61" spans="1:261" ht="15" customHeight="1" x14ac:dyDescent="0.25">
      <c r="A61" s="75">
        <f t="shared" si="256"/>
        <v>0.02</v>
      </c>
      <c r="B61" s="578">
        <f t="shared" si="515"/>
        <v>-0.65058205619978804</v>
      </c>
      <c r="C61" s="572">
        <f t="shared" si="516"/>
        <v>-5.0130495405414068</v>
      </c>
      <c r="D61" s="576">
        <f t="shared" si="517"/>
        <v>-2.7585876733747279</v>
      </c>
      <c r="E61" s="580">
        <f t="shared" si="518"/>
        <v>0.79699137125783814</v>
      </c>
      <c r="F61" s="572">
        <f t="shared" si="519"/>
        <v>-0.60241839011964027</v>
      </c>
      <c r="G61" s="579">
        <f t="shared" si="520"/>
        <v>4.3552696658323085E-2</v>
      </c>
      <c r="H61" s="580">
        <f t="shared" si="521"/>
        <v>0.3125</v>
      </c>
      <c r="I61" s="572">
        <f t="shared" si="522"/>
        <v>0.52</v>
      </c>
      <c r="J61" s="483">
        <f t="shared" si="523"/>
        <v>4.1440000000000001</v>
      </c>
      <c r="K61" s="806">
        <f t="shared" si="524"/>
        <v>1613</v>
      </c>
      <c r="L61" s="82"/>
      <c r="M61" s="164">
        <f t="shared" si="267"/>
        <v>4.1440000000000001</v>
      </c>
      <c r="N61" s="575">
        <f t="shared" si="268"/>
        <v>-0.65058205619978804</v>
      </c>
      <c r="O61" s="572">
        <f t="shared" si="269"/>
        <v>-5.0130495405414068</v>
      </c>
      <c r="P61" s="576">
        <f t="shared" si="270"/>
        <v>-2.7585876733747279</v>
      </c>
      <c r="Q61" s="528">
        <f t="shared" si="140"/>
        <v>262.60561321426366</v>
      </c>
      <c r="R61" s="572">
        <f t="shared" si="101"/>
        <v>5.0550887932628399</v>
      </c>
      <c r="S61" s="577">
        <f t="shared" si="102"/>
        <v>-2.7585876733747279</v>
      </c>
      <c r="T61" s="578">
        <f t="shared" si="103"/>
        <v>-5.0178218014548115</v>
      </c>
      <c r="U61" s="572">
        <f t="shared" si="104"/>
        <v>0.6126884009154584</v>
      </c>
      <c r="V61" s="579">
        <f t="shared" si="141"/>
        <v>-2.7585876733747279</v>
      </c>
      <c r="W61" s="528">
        <f t="shared" si="253"/>
        <v>173.03850406013464</v>
      </c>
      <c r="X61" s="572">
        <f t="shared" si="105"/>
        <v>5.0550887932628399</v>
      </c>
      <c r="Y61" s="573">
        <f t="shared" si="255"/>
        <v>-2.7585876733747279</v>
      </c>
      <c r="Z61" s="575">
        <f t="shared" si="271"/>
        <v>-0.79699137125783814</v>
      </c>
      <c r="AA61" s="572">
        <f t="shared" si="272"/>
        <v>0.60241839011964027</v>
      </c>
      <c r="AB61" s="572">
        <f t="shared" si="273"/>
        <v>-4.3552696658323085E-2</v>
      </c>
      <c r="AC61" s="579">
        <f t="shared" si="106"/>
        <v>1</v>
      </c>
      <c r="AD61" s="580">
        <f t="shared" si="142"/>
        <v>-0.79699137125783814</v>
      </c>
      <c r="AE61" s="572">
        <f t="shared" si="107"/>
        <v>0.60241839011964027</v>
      </c>
      <c r="AF61" s="576">
        <f t="shared" si="108"/>
        <v>-4.3552696658323085E-2</v>
      </c>
      <c r="AG61" s="545">
        <f t="shared" si="109"/>
        <v>85.86491427819783</v>
      </c>
      <c r="AH61" s="546">
        <f t="shared" si="110"/>
        <v>142.84375234894344</v>
      </c>
      <c r="AI61" s="528">
        <f t="shared" si="111"/>
        <v>-87.50382473077525</v>
      </c>
      <c r="AJ61" s="529">
        <f t="shared" si="112"/>
        <v>-127.08438153848491</v>
      </c>
      <c r="AK61" s="578">
        <f t="shared" si="238"/>
        <v>0.86789372093390571</v>
      </c>
      <c r="AL61" s="572">
        <f t="shared" si="113"/>
        <v>-0.4948369951582926</v>
      </c>
      <c r="AM61" s="577">
        <f t="shared" si="114"/>
        <v>-4.3552696658323085E-2</v>
      </c>
      <c r="AN61" s="524">
        <f t="shared" si="115"/>
        <v>-84.970117416838406</v>
      </c>
      <c r="AO61" s="525">
        <f t="shared" si="525"/>
        <v>29.785208788526909</v>
      </c>
      <c r="AP61" s="528">
        <f t="shared" si="117"/>
        <v>-29.68999475274855</v>
      </c>
      <c r="AQ61" s="529">
        <f t="shared" si="274"/>
        <v>0.18039003409379145</v>
      </c>
      <c r="AS61" s="932">
        <f t="shared" si="461"/>
        <v>173.03850406013464</v>
      </c>
      <c r="AT61" s="928">
        <f t="shared" si="275"/>
        <v>-2.7073988406730312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4.1440000000000001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26"/>
        <v>1613</v>
      </c>
      <c r="IM61" s="482" t="str">
        <f t="shared" si="237"/>
        <v/>
      </c>
      <c r="IN61" s="670" t="str">
        <f t="shared" si="427"/>
        <v/>
      </c>
      <c r="IO61" s="702"/>
      <c r="IP61" s="5" t="str">
        <f t="shared" si="428"/>
        <v/>
      </c>
      <c r="IQ61" s="714"/>
      <c r="IR61" s="9" t="str">
        <f t="shared" si="429"/>
        <v/>
      </c>
      <c r="IS61" s="5" t="str">
        <f t="shared" si="430"/>
        <v/>
      </c>
      <c r="IT61" s="5" t="str">
        <f t="shared" si="431"/>
        <v/>
      </c>
      <c r="IU61" s="5" t="str">
        <f t="shared" si="432"/>
        <v/>
      </c>
      <c r="IV61" s="670" t="str">
        <f t="shared" si="433"/>
        <v/>
      </c>
      <c r="IW61" s="9" t="str">
        <f t="shared" si="434"/>
        <v/>
      </c>
      <c r="IX61" s="5" t="str">
        <f t="shared" si="435"/>
        <v/>
      </c>
      <c r="IY61" s="5" t="str">
        <f t="shared" si="436"/>
        <v/>
      </c>
      <c r="IZ61" s="5" t="str">
        <f t="shared" si="437"/>
        <v/>
      </c>
      <c r="JA61" s="705" t="str">
        <f t="shared" si="438"/>
        <v/>
      </c>
    </row>
    <row r="62" spans="1:261" ht="15" customHeight="1" x14ac:dyDescent="0.25">
      <c r="A62" s="75">
        <f t="shared" si="256"/>
        <v>0</v>
      </c>
      <c r="B62" s="578">
        <f t="shared" si="515"/>
        <v>-1.3817959091770449</v>
      </c>
      <c r="C62" s="572">
        <f t="shared" si="516"/>
        <v>-3.4197354218450564</v>
      </c>
      <c r="D62" s="576">
        <f t="shared" si="517"/>
        <v>-0.28120491982203843</v>
      </c>
      <c r="E62" s="580">
        <f t="shared" si="518"/>
        <v>-0.12813359435070973</v>
      </c>
      <c r="F62" s="572">
        <f t="shared" si="519"/>
        <v>-0.31711122345876397</v>
      </c>
      <c r="G62" s="579">
        <f t="shared" si="520"/>
        <v>0.93969263802333458</v>
      </c>
      <c r="H62" s="580">
        <f t="shared" si="521"/>
        <v>0.255</v>
      </c>
      <c r="I62" s="572">
        <f t="shared" si="522"/>
        <v>0.41499999999999992</v>
      </c>
      <c r="J62" s="483">
        <f t="shared" si="523"/>
        <v>4.22</v>
      </c>
      <c r="K62" s="806" t="str">
        <f t="shared" si="524"/>
        <v>CPS-32193r1</v>
      </c>
      <c r="L62" s="309"/>
      <c r="M62" s="164">
        <f t="shared" si="267"/>
        <v>4.22</v>
      </c>
      <c r="N62" s="575">
        <f t="shared" si="268"/>
        <v>-1.3817959091770449</v>
      </c>
      <c r="O62" s="572">
        <f t="shared" si="269"/>
        <v>-3.4197354218450564</v>
      </c>
      <c r="P62" s="576">
        <f t="shared" si="270"/>
        <v>-0.28120491982203843</v>
      </c>
      <c r="Q62" s="528">
        <f t="shared" si="140"/>
        <v>247.99808275534156</v>
      </c>
      <c r="R62" s="572">
        <f t="shared" si="101"/>
        <v>3.6883533304226974</v>
      </c>
      <c r="S62" s="577">
        <f t="shared" si="102"/>
        <v>-0.28120491982203843</v>
      </c>
      <c r="T62" s="578">
        <f t="shared" si="103"/>
        <v>-3.4300776976734135</v>
      </c>
      <c r="U62" s="572">
        <f t="shared" si="104"/>
        <v>1.3559193478830727</v>
      </c>
      <c r="V62" s="579">
        <f t="shared" si="141"/>
        <v>-0.28120491982203843</v>
      </c>
      <c r="W62" s="528">
        <f t="shared" si="253"/>
        <v>158.43097360121254</v>
      </c>
      <c r="X62" s="572">
        <f t="shared" si="105"/>
        <v>3.6883533304226974</v>
      </c>
      <c r="Y62" s="573">
        <f t="shared" si="255"/>
        <v>-0.28120491982203843</v>
      </c>
      <c r="Z62" s="575">
        <f t="shared" si="271"/>
        <v>0.12813359435070973</v>
      </c>
      <c r="AA62" s="572">
        <f t="shared" si="272"/>
        <v>0.31711122345876397</v>
      </c>
      <c r="AB62" s="572">
        <f t="shared" si="273"/>
        <v>-0.93969263802333458</v>
      </c>
      <c r="AC62" s="579">
        <f t="shared" si="106"/>
        <v>1</v>
      </c>
      <c r="AD62" s="580">
        <f t="shared" si="142"/>
        <v>0.12813359435070973</v>
      </c>
      <c r="AE62" s="572">
        <f t="shared" si="107"/>
        <v>0.31711122345876397</v>
      </c>
      <c r="AF62" s="576">
        <f t="shared" si="108"/>
        <v>-0.93969263802333458</v>
      </c>
      <c r="AG62" s="545">
        <f t="shared" si="109"/>
        <v>18.647620613622315</v>
      </c>
      <c r="AH62" s="546">
        <f t="shared" si="110"/>
        <v>82.638246844054265</v>
      </c>
      <c r="AI62" s="528">
        <f t="shared" si="111"/>
        <v>-19.999997112357679</v>
      </c>
      <c r="AJ62" s="529">
        <f t="shared" si="112"/>
        <v>157.99808275534156</v>
      </c>
      <c r="AK62" s="578">
        <f t="shared" si="238"/>
        <v>4.163336342344337E-17</v>
      </c>
      <c r="AL62" s="572">
        <f t="shared" si="113"/>
        <v>-0.3420200959662259</v>
      </c>
      <c r="AM62" s="577">
        <f t="shared" si="114"/>
        <v>-0.93969263802333458</v>
      </c>
      <c r="AN62" s="524">
        <f t="shared" si="115"/>
        <v>-19.99999711235769</v>
      </c>
      <c r="AO62" s="525">
        <f t="shared" si="525"/>
        <v>0</v>
      </c>
      <c r="AP62" s="528">
        <f t="shared" si="117"/>
        <v>-90</v>
      </c>
      <c r="AQ62" s="529">
        <f t="shared" si="274"/>
        <v>0.24723363284624217</v>
      </c>
      <c r="AS62" s="932">
        <f t="shared" si="461"/>
        <v>158.43097360121254</v>
      </c>
      <c r="AT62" s="928">
        <f t="shared" si="275"/>
        <v>-0.2259584397706412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>Nose</v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6"/>
        <v>4.22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4.12</v>
      </c>
      <c r="IK62" s="677" cm="1">
        <f t="array" ref="IK62">IFERROR(ROUND(VALUE(IF($IJ62&lt;1,$IJ62+LARGE((IF($M$9:$M$150="",0,$M$9:$M$150)-MOD(IF($M$9:$M$150="",0,$M$9:$M$150),1)),1),$IJ62)),4),"")</f>
        <v>4.12</v>
      </c>
      <c r="IL62" s="482">
        <f t="shared" si="426"/>
        <v>1613</v>
      </c>
      <c r="IM62" s="482" t="str">
        <f t="shared" si="237"/>
        <v>CPS-32193r1</v>
      </c>
      <c r="IN62" s="670">
        <f t="shared" si="427"/>
        <v>16.32243457947277</v>
      </c>
      <c r="IO62" s="702">
        <v>6.1979482292752998E-2</v>
      </c>
      <c r="IP62" s="5">
        <f t="shared" si="428"/>
        <v>1.72</v>
      </c>
      <c r="IQ62" s="714">
        <v>860</v>
      </c>
      <c r="IR62" s="9">
        <f t="shared" si="429"/>
        <v>-3.690665647678546</v>
      </c>
      <c r="IS62" s="5">
        <f t="shared" si="430"/>
        <v>-0.24835308133578413</v>
      </c>
      <c r="IT62" s="5">
        <f t="shared" si="431"/>
        <v>0.3125</v>
      </c>
      <c r="IU62" s="5">
        <f t="shared" si="432"/>
        <v>0.29955620469898403</v>
      </c>
      <c r="IV62" s="670">
        <f t="shared" si="433"/>
        <v>22.793338283804125</v>
      </c>
      <c r="IW62" s="9">
        <f t="shared" si="434"/>
        <v>-3.6883533304226974</v>
      </c>
      <c r="IX62" s="5">
        <f t="shared" si="435"/>
        <v>-0.28120491982203843</v>
      </c>
      <c r="IY62" s="5">
        <f t="shared" si="436"/>
        <v>0.255</v>
      </c>
      <c r="IZ62" s="5">
        <f t="shared" si="437"/>
        <v>0.255</v>
      </c>
      <c r="JA62" s="705">
        <f t="shared" si="438"/>
        <v>19.99999711235769</v>
      </c>
    </row>
    <row r="63" spans="1:261" ht="15" customHeight="1" x14ac:dyDescent="0.25">
      <c r="A63" s="75">
        <f t="shared" si="256"/>
        <v>0</v>
      </c>
      <c r="B63" s="578">
        <f t="shared" si="515"/>
        <v>-1.5184291916044943</v>
      </c>
      <c r="C63" s="572">
        <f t="shared" si="516"/>
        <v>-4.0386743166618224</v>
      </c>
      <c r="D63" s="576">
        <f t="shared" si="517"/>
        <v>-0.6740116129023761</v>
      </c>
      <c r="E63" s="580">
        <f t="shared" si="518"/>
        <v>-0.2308809968203244</v>
      </c>
      <c r="F63" s="572">
        <f t="shared" si="519"/>
        <v>-0.61409063868050251</v>
      </c>
      <c r="G63" s="579">
        <f t="shared" si="520"/>
        <v>0.75470964800526175</v>
      </c>
      <c r="H63" s="580">
        <f t="shared" si="521"/>
        <v>0.255</v>
      </c>
      <c r="I63" s="572">
        <f t="shared" si="522"/>
        <v>0.41499999999999992</v>
      </c>
      <c r="J63" s="483">
        <f t="shared" si="523"/>
        <v>4.226</v>
      </c>
      <c r="K63" s="806" t="str">
        <f t="shared" si="524"/>
        <v>CPS-32193r1</v>
      </c>
      <c r="L63" s="309"/>
      <c r="M63" s="164">
        <f t="shared" si="267"/>
        <v>4.226</v>
      </c>
      <c r="N63" s="575">
        <f t="shared" si="268"/>
        <v>-1.5184291916044943</v>
      </c>
      <c r="O63" s="572">
        <f t="shared" si="269"/>
        <v>-4.0386743166618224</v>
      </c>
      <c r="P63" s="576">
        <f t="shared" si="270"/>
        <v>-0.6740116129023761</v>
      </c>
      <c r="Q63" s="528">
        <f t="shared" si="140"/>
        <v>249.39513587595451</v>
      </c>
      <c r="R63" s="572">
        <f t="shared" si="101"/>
        <v>4.3146862511636366</v>
      </c>
      <c r="S63" s="577">
        <f t="shared" si="102"/>
        <v>-0.6740116129023761</v>
      </c>
      <c r="T63" s="578">
        <f t="shared" si="103"/>
        <v>-4.0500312321950513</v>
      </c>
      <c r="U63" s="572">
        <f t="shared" si="104"/>
        <v>1.4878724623519153</v>
      </c>
      <c r="V63" s="579">
        <f t="shared" si="141"/>
        <v>-0.6740116129023761</v>
      </c>
      <c r="W63" s="528">
        <f t="shared" si="253"/>
        <v>159.82802672182549</v>
      </c>
      <c r="X63" s="572">
        <f t="shared" si="105"/>
        <v>4.3146862511636366</v>
      </c>
      <c r="Y63" s="573">
        <f t="shared" si="255"/>
        <v>-0.6740116129023761</v>
      </c>
      <c r="Z63" s="575">
        <f t="shared" si="271"/>
        <v>0.2308809968203244</v>
      </c>
      <c r="AA63" s="572">
        <f t="shared" si="272"/>
        <v>0.61409063868050251</v>
      </c>
      <c r="AB63" s="572">
        <f t="shared" si="273"/>
        <v>-0.75470964800526175</v>
      </c>
      <c r="AC63" s="579">
        <f t="shared" si="106"/>
        <v>1</v>
      </c>
      <c r="AD63" s="580">
        <f t="shared" si="142"/>
        <v>0.2308809968203244</v>
      </c>
      <c r="AE63" s="572">
        <f t="shared" si="107"/>
        <v>0.61409063868050251</v>
      </c>
      <c r="AF63" s="576">
        <f t="shared" si="108"/>
        <v>-0.75470964800526175</v>
      </c>
      <c r="AG63" s="545">
        <f t="shared" si="109"/>
        <v>39.134490999472639</v>
      </c>
      <c r="AH63" s="546">
        <f t="shared" si="110"/>
        <v>76.651054749415735</v>
      </c>
      <c r="AI63" s="528">
        <f t="shared" si="111"/>
        <v>-40.999994080333252</v>
      </c>
      <c r="AJ63" s="529">
        <f t="shared" si="112"/>
        <v>159.39513587595448</v>
      </c>
      <c r="AK63" s="578">
        <f t="shared" si="238"/>
        <v>-2.4980018054066022E-16</v>
      </c>
      <c r="AL63" s="572">
        <f t="shared" si="113"/>
        <v>-0.65605895101566447</v>
      </c>
      <c r="AM63" s="577">
        <f t="shared" si="114"/>
        <v>-0.75470964800526175</v>
      </c>
      <c r="AN63" s="524">
        <f t="shared" si="115"/>
        <v>-40.999994080333266</v>
      </c>
      <c r="AO63" s="525">
        <f t="shared" si="525"/>
        <v>0</v>
      </c>
      <c r="AP63" s="528">
        <f t="shared" si="117"/>
        <v>-90.000000000000014</v>
      </c>
      <c r="AQ63" s="529">
        <f t="shared" si="274"/>
        <v>0.21134480328266464</v>
      </c>
      <c r="AS63" s="932">
        <f t="shared" si="461"/>
        <v>159.82802672182549</v>
      </c>
      <c r="AT63" s="928">
        <f t="shared" si="275"/>
        <v>-0.61915320316226019</v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>Taper</v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4.226</v>
      </c>
      <c r="IJ63" s="674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4.1260000000000003</v>
      </c>
      <c r="IK63" s="677" cm="1">
        <f t="array" ref="IK63">IFERROR(ROUND(VALUE(IF($IJ63&lt;1,$IJ63+LARGE((IF($M$9:$M$150="",0,$M$9:$M$150)-MOD(IF($M$9:$M$150="",0,$M$9:$M$150),1)),1),$IJ63)),4),"")</f>
        <v>4.1260000000000003</v>
      </c>
      <c r="IL63" s="482">
        <f t="shared" si="426"/>
        <v>1613</v>
      </c>
      <c r="IM63" s="482" t="str">
        <f t="shared" si="237"/>
        <v>CPS-32193r1</v>
      </c>
      <c r="IN63" s="670">
        <f t="shared" si="427"/>
        <v>14.247788050350096</v>
      </c>
      <c r="IO63" s="702">
        <v>6.2943098240733394E-2</v>
      </c>
      <c r="IP63" s="5">
        <f t="shared" si="428"/>
        <v>1.6</v>
      </c>
      <c r="IQ63" s="714">
        <v>800</v>
      </c>
      <c r="IR63" s="9">
        <f t="shared" si="429"/>
        <v>-4.340235968178817</v>
      </c>
      <c r="IS63" s="5">
        <f t="shared" si="430"/>
        <v>-0.65533994179153465</v>
      </c>
      <c r="IT63" s="5">
        <f t="shared" si="431"/>
        <v>0.3125</v>
      </c>
      <c r="IU63" s="5">
        <f t="shared" si="432"/>
        <v>0.29271877010820152</v>
      </c>
      <c r="IV63" s="670">
        <f t="shared" si="433"/>
        <v>41.606624611766414</v>
      </c>
      <c r="IW63" s="9">
        <f t="shared" si="434"/>
        <v>-4.3146862511636366</v>
      </c>
      <c r="IX63" s="5">
        <f t="shared" si="435"/>
        <v>-0.6740116129023761</v>
      </c>
      <c r="IY63" s="5">
        <f t="shared" si="436"/>
        <v>0.255</v>
      </c>
      <c r="IZ63" s="5">
        <f t="shared" si="437"/>
        <v>0.255</v>
      </c>
      <c r="JA63" s="705">
        <f t="shared" si="438"/>
        <v>40.999994080333266</v>
      </c>
    </row>
    <row r="64" spans="1:261" ht="15" customHeight="1" x14ac:dyDescent="0.25">
      <c r="A64" s="75">
        <f t="shared" si="256"/>
        <v>0</v>
      </c>
      <c r="B64" s="578">
        <f t="shared" si="515"/>
        <v>-1.6235434139114382</v>
      </c>
      <c r="C64" s="572">
        <f t="shared" si="516"/>
        <v>-4.5000894150190582</v>
      </c>
      <c r="D64" s="576">
        <f t="shared" si="517"/>
        <v>-1.2986389817050208</v>
      </c>
      <c r="E64" s="580">
        <f t="shared" si="518"/>
        <v>-0.29964513295383793</v>
      </c>
      <c r="F64" s="572">
        <f t="shared" si="519"/>
        <v>-0.83054747998324641</v>
      </c>
      <c r="G64" s="579">
        <f t="shared" si="520"/>
        <v>0.46947170073451266</v>
      </c>
      <c r="H64" s="580">
        <f t="shared" si="521"/>
        <v>0.255</v>
      </c>
      <c r="I64" s="572">
        <f t="shared" si="522"/>
        <v>0.41499999999999992</v>
      </c>
      <c r="J64" s="483">
        <f t="shared" si="523"/>
        <v>4.2320000000000002</v>
      </c>
      <c r="K64" s="806" t="str">
        <f t="shared" si="524"/>
        <v>CPS-32193r1</v>
      </c>
      <c r="L64" s="309"/>
      <c r="M64" s="164">
        <f t="shared" si="267"/>
        <v>4.2320000000000002</v>
      </c>
      <c r="N64" s="575">
        <f t="shared" si="268"/>
        <v>-1.6235434139114382</v>
      </c>
      <c r="O64" s="572">
        <f t="shared" si="269"/>
        <v>-4.5000894150190582</v>
      </c>
      <c r="P64" s="576">
        <f t="shared" si="270"/>
        <v>-1.2986389817050208</v>
      </c>
      <c r="Q64" s="528">
        <f t="shared" si="140"/>
        <v>250.1615571709952</v>
      </c>
      <c r="R64" s="572">
        <f t="shared" si="101"/>
        <v>4.7840043854517713</v>
      </c>
      <c r="S64" s="577">
        <f t="shared" si="102"/>
        <v>-1.2986389817050208</v>
      </c>
      <c r="T64" s="578">
        <f t="shared" si="103"/>
        <v>-4.5122273303370255</v>
      </c>
      <c r="U64" s="572">
        <f t="shared" si="104"/>
        <v>1.5894975556386939</v>
      </c>
      <c r="V64" s="579">
        <f t="shared" si="141"/>
        <v>-1.2986389817050208</v>
      </c>
      <c r="W64" s="528">
        <f t="shared" si="253"/>
        <v>160.59444801686618</v>
      </c>
      <c r="X64" s="572">
        <f t="shared" si="105"/>
        <v>4.7840043854517713</v>
      </c>
      <c r="Y64" s="573">
        <f t="shared" si="255"/>
        <v>-1.2986389817050208</v>
      </c>
      <c r="Z64" s="575">
        <f t="shared" si="271"/>
        <v>0.29964513295383793</v>
      </c>
      <c r="AA64" s="572">
        <f t="shared" si="272"/>
        <v>0.83054747998324641</v>
      </c>
      <c r="AB64" s="572">
        <f t="shared" si="273"/>
        <v>-0.46947170073451266</v>
      </c>
      <c r="AC64" s="579">
        <f t="shared" si="106"/>
        <v>1</v>
      </c>
      <c r="AD64" s="580">
        <f t="shared" si="142"/>
        <v>0.29964513295383793</v>
      </c>
      <c r="AE64" s="572">
        <f t="shared" si="107"/>
        <v>0.83054747998324641</v>
      </c>
      <c r="AF64" s="576">
        <f t="shared" si="108"/>
        <v>-0.46947170073451266</v>
      </c>
      <c r="AG64" s="545">
        <f t="shared" si="109"/>
        <v>60.522447348078408</v>
      </c>
      <c r="AH64" s="546">
        <f t="shared" si="110"/>
        <v>72.563709760030974</v>
      </c>
      <c r="AI64" s="528">
        <f t="shared" si="111"/>
        <v>-61.99999104830885</v>
      </c>
      <c r="AJ64" s="529">
        <f t="shared" si="112"/>
        <v>160.16155717099517</v>
      </c>
      <c r="AK64" s="578">
        <f t="shared" si="238"/>
        <v>-8.8817841970012523E-16</v>
      </c>
      <c r="AL64" s="572">
        <f t="shared" si="113"/>
        <v>-0.88294751951032979</v>
      </c>
      <c r="AM64" s="577">
        <f t="shared" si="114"/>
        <v>-0.46947170073451266</v>
      </c>
      <c r="AN64" s="524">
        <f t="shared" si="115"/>
        <v>-61.99999104830885</v>
      </c>
      <c r="AO64" s="525">
        <f t="shared" si="525"/>
        <v>0</v>
      </c>
      <c r="AP64" s="528">
        <f t="shared" si="117"/>
        <v>-90.000000000000057</v>
      </c>
      <c r="AQ64" s="529">
        <f t="shared" si="274"/>
        <v>0.19061171670348268</v>
      </c>
      <c r="AS64" s="932">
        <f t="shared" si="461"/>
        <v>160.59444801686618</v>
      </c>
      <c r="AT64" s="928">
        <f t="shared" si="275"/>
        <v>-1.2439934667690828</v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>Taper</v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6"/>
        <v>4.2320000000000002</v>
      </c>
      <c r="IJ64" s="674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4.1319999999999997</v>
      </c>
      <c r="IK64" s="677" cm="1">
        <f t="array" ref="IK64">IFERROR(ROUND(VALUE(IF($IJ64&lt;1,$IJ64+LARGE((IF($M$9:$M$150="",0,$M$9:$M$150)-MOD(IF($M$9:$M$150="",0,$M$9:$M$150),1)),1),$IJ64)),4),"")</f>
        <v>4.1319999999999997</v>
      </c>
      <c r="IL64" s="482">
        <f t="shared" si="426"/>
        <v>1613</v>
      </c>
      <c r="IM64" s="482" t="str">
        <f t="shared" si="237"/>
        <v>CPS-32193r1</v>
      </c>
      <c r="IN64" s="670">
        <f t="shared" si="427"/>
        <v>12.851544235229881</v>
      </c>
      <c r="IO64" s="702">
        <v>5.1221184201396402E-2</v>
      </c>
      <c r="IP64" s="5">
        <f t="shared" si="428"/>
        <v>2.2799999999999998</v>
      </c>
      <c r="IQ64" s="714">
        <v>1140</v>
      </c>
      <c r="IR64" s="9">
        <f t="shared" si="429"/>
        <v>-4.8023031901750297</v>
      </c>
      <c r="IS64" s="5">
        <f t="shared" si="430"/>
        <v>-1.266517934795804</v>
      </c>
      <c r="IT64" s="5">
        <f t="shared" si="431"/>
        <v>0.3125</v>
      </c>
      <c r="IU64" s="5">
        <f t="shared" si="432"/>
        <v>0.28443910330458511</v>
      </c>
      <c r="IV64" s="670">
        <f t="shared" si="433"/>
        <v>60.249226457616452</v>
      </c>
      <c r="IW64" s="9">
        <f t="shared" si="434"/>
        <v>-4.7840043854517713</v>
      </c>
      <c r="IX64" s="5">
        <f t="shared" si="435"/>
        <v>-1.2986389817050208</v>
      </c>
      <c r="IY64" s="5">
        <f t="shared" si="436"/>
        <v>0.255</v>
      </c>
      <c r="IZ64" s="5">
        <f t="shared" si="437"/>
        <v>0.255</v>
      </c>
      <c r="JA64" s="705">
        <f t="shared" si="438"/>
        <v>61.99999104830885</v>
      </c>
    </row>
    <row r="65" spans="1:261" ht="15" customHeight="1" x14ac:dyDescent="0.25">
      <c r="A65" s="75">
        <f t="shared" si="256"/>
        <v>0</v>
      </c>
      <c r="B65" s="578">
        <f t="shared" si="515"/>
        <v>-1.6728634681730195</v>
      </c>
      <c r="C65" s="572">
        <f t="shared" si="516"/>
        <v>-4.6972465887168084</v>
      </c>
      <c r="D65" s="576">
        <f t="shared" si="517"/>
        <v>-2.0285278777360891</v>
      </c>
      <c r="E65" s="580">
        <f t="shared" si="518"/>
        <v>-0.33299517787717076</v>
      </c>
      <c r="F65" s="572">
        <f t="shared" si="519"/>
        <v>-0.9350197987472042</v>
      </c>
      <c r="G65" s="579">
        <f t="shared" si="520"/>
        <v>0.12186955100142652</v>
      </c>
      <c r="H65" s="580">
        <f t="shared" si="521"/>
        <v>0.255</v>
      </c>
      <c r="I65" s="572">
        <f t="shared" si="522"/>
        <v>0.41499999999999992</v>
      </c>
      <c r="J65" s="483">
        <f t="shared" si="523"/>
        <v>4.2380000000000004</v>
      </c>
      <c r="K65" s="806" t="str">
        <f t="shared" si="524"/>
        <v>CPS-32193r1</v>
      </c>
      <c r="L65" s="309"/>
      <c r="M65" s="164">
        <f t="shared" si="267"/>
        <v>4.2380000000000004</v>
      </c>
      <c r="N65" s="575">
        <f t="shared" si="268"/>
        <v>-1.6728634681730195</v>
      </c>
      <c r="O65" s="572">
        <f t="shared" si="269"/>
        <v>-4.6972465887168084</v>
      </c>
      <c r="P65" s="576">
        <f t="shared" si="270"/>
        <v>-2.0285278777360891</v>
      </c>
      <c r="Q65" s="528">
        <f t="shared" si="140"/>
        <v>250.39730247126161</v>
      </c>
      <c r="R65" s="572">
        <f t="shared" si="101"/>
        <v>4.9862408383831154</v>
      </c>
      <c r="S65" s="577">
        <f t="shared" si="102"/>
        <v>-2.0285278777360891</v>
      </c>
      <c r="T65" s="578">
        <f t="shared" si="103"/>
        <v>-4.7097515045794367</v>
      </c>
      <c r="U65" s="572">
        <f t="shared" si="104"/>
        <v>1.6373266208888451</v>
      </c>
      <c r="V65" s="579">
        <f t="shared" si="141"/>
        <v>-2.0285278777360891</v>
      </c>
      <c r="W65" s="528">
        <f t="shared" si="253"/>
        <v>160.8301933171326</v>
      </c>
      <c r="X65" s="572">
        <f t="shared" si="105"/>
        <v>4.9862408383831154</v>
      </c>
      <c r="Y65" s="573">
        <f t="shared" si="255"/>
        <v>-2.0285278777360891</v>
      </c>
      <c r="Z65" s="575">
        <f t="shared" si="271"/>
        <v>0.33299517787717076</v>
      </c>
      <c r="AA65" s="572">
        <f t="shared" si="272"/>
        <v>0.9350197987472042</v>
      </c>
      <c r="AB65" s="572">
        <f t="shared" si="273"/>
        <v>-0.12186955100142652</v>
      </c>
      <c r="AC65" s="579">
        <f t="shared" si="106"/>
        <v>1</v>
      </c>
      <c r="AD65" s="580">
        <f t="shared" si="142"/>
        <v>0.33299517787717076</v>
      </c>
      <c r="AE65" s="572">
        <f t="shared" si="107"/>
        <v>0.9350197987472042</v>
      </c>
      <c r="AF65" s="576">
        <f t="shared" si="108"/>
        <v>-0.12186955100142652</v>
      </c>
      <c r="AG65" s="545">
        <f t="shared" si="109"/>
        <v>82.573987900118894</v>
      </c>
      <c r="AH65" s="546">
        <f t="shared" si="110"/>
        <v>70.549328227183551</v>
      </c>
      <c r="AI65" s="528">
        <f t="shared" si="111"/>
        <v>-82.999988016284419</v>
      </c>
      <c r="AJ65" s="529">
        <f t="shared" si="112"/>
        <v>160.39730247126158</v>
      </c>
      <c r="AK65" s="578">
        <f t="shared" si="238"/>
        <v>-1.1102230246251565E-16</v>
      </c>
      <c r="AL65" s="572">
        <f t="shared" si="113"/>
        <v>-0.99254612615168214</v>
      </c>
      <c r="AM65" s="577">
        <f t="shared" si="114"/>
        <v>-0.12186955100142652</v>
      </c>
      <c r="AN65" s="524">
        <f t="shared" si="115"/>
        <v>-82.999988016284419</v>
      </c>
      <c r="AO65" s="525">
        <f t="shared" si="525"/>
        <v>0</v>
      </c>
      <c r="AP65" s="528">
        <f t="shared" si="117"/>
        <v>-90</v>
      </c>
      <c r="AQ65" s="529">
        <f t="shared" si="274"/>
        <v>0.1828807684068085</v>
      </c>
      <c r="AS65" s="932">
        <f t="shared" si="461"/>
        <v>160.8301933171326</v>
      </c>
      <c r="AT65" s="928">
        <f t="shared" si="275"/>
        <v>-1.9739478476057808</v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>Taper</v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6"/>
        <v>4.2380000000000004</v>
      </c>
      <c r="IJ65" s="674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4.1379999999999999</v>
      </c>
      <c r="IK65" s="677" cm="1">
        <f t="array" ref="IK65">IFERROR(ROUND(VALUE(IF($IJ65&lt;1,$IJ65+LARGE((IF($M$9:$M$150="",0,$M$9:$M$150)-MOD(IF($M$9:$M$150="",0,$M$9:$M$150),1)),1),$IJ65)),4),"")</f>
        <v>4.1379999999999999</v>
      </c>
      <c r="IL65" s="482">
        <f t="shared" si="426"/>
        <v>1613</v>
      </c>
      <c r="IM65" s="482" t="str">
        <f t="shared" si="237"/>
        <v>CPS-32193r1</v>
      </c>
      <c r="IN65" s="670">
        <f t="shared" si="427"/>
        <v>12.296199318012128</v>
      </c>
      <c r="IO65" s="702">
        <v>4.88388012791292E-2</v>
      </c>
      <c r="IP65" s="5">
        <f t="shared" si="428"/>
        <v>2.6</v>
      </c>
      <c r="IQ65" s="714">
        <v>1300</v>
      </c>
      <c r="IR65" s="9">
        <f t="shared" si="429"/>
        <v>-5.0164523963688259</v>
      </c>
      <c r="IS65" s="5">
        <f t="shared" si="430"/>
        <v>-2.0017629003171078</v>
      </c>
      <c r="IT65" s="5">
        <f t="shared" si="431"/>
        <v>0.3125</v>
      </c>
      <c r="IU65" s="5">
        <f t="shared" si="432"/>
        <v>0.27475352488217275</v>
      </c>
      <c r="IV65" s="670">
        <f t="shared" si="433"/>
        <v>78.799617313561896</v>
      </c>
      <c r="IW65" s="9">
        <f t="shared" si="434"/>
        <v>-4.9862408383831154</v>
      </c>
      <c r="IX65" s="5">
        <f t="shared" si="435"/>
        <v>-2.0285278777360891</v>
      </c>
      <c r="IY65" s="5">
        <f t="shared" si="436"/>
        <v>0.255</v>
      </c>
      <c r="IZ65" s="5">
        <f t="shared" si="437"/>
        <v>0.255</v>
      </c>
      <c r="JA65" s="705">
        <f t="shared" si="438"/>
        <v>82.999988016284419</v>
      </c>
    </row>
    <row r="66" spans="1:261" ht="15" customHeight="1" x14ac:dyDescent="0.25">
      <c r="A66" s="75">
        <f t="shared" si="256"/>
        <v>0</v>
      </c>
      <c r="B66" s="578">
        <f t="shared" si="515"/>
        <v>-1.6839692611181216</v>
      </c>
      <c r="C66" s="572">
        <f t="shared" si="516"/>
        <v>-4.7300561551938678</v>
      </c>
      <c r="D66" s="576">
        <f t="shared" si="517"/>
        <v>-2.782242554641229</v>
      </c>
      <c r="E66" s="580">
        <f t="shared" si="518"/>
        <v>-0.33539359772687627</v>
      </c>
      <c r="F66" s="572">
        <f t="shared" si="519"/>
        <v>-0.94207809368638384</v>
      </c>
      <c r="G66" s="579">
        <f t="shared" si="520"/>
        <v>2.2679489686261436E-7</v>
      </c>
      <c r="H66" s="580">
        <f t="shared" si="521"/>
        <v>0.255</v>
      </c>
      <c r="I66" s="572">
        <f t="shared" si="522"/>
        <v>0.41499999999999992</v>
      </c>
      <c r="J66" s="483">
        <f t="shared" si="523"/>
        <v>4.2439999999999998</v>
      </c>
      <c r="K66" s="806" t="str">
        <f t="shared" si="524"/>
        <v>CPS-32193r1</v>
      </c>
      <c r="L66" s="309"/>
      <c r="M66" s="164">
        <f t="shared" si="267"/>
        <v>4.2439999999999998</v>
      </c>
      <c r="N66" s="575">
        <f t="shared" si="268"/>
        <v>-1.6839692611181216</v>
      </c>
      <c r="O66" s="572">
        <f t="shared" si="269"/>
        <v>-4.7300561551938678</v>
      </c>
      <c r="P66" s="576">
        <f t="shared" si="270"/>
        <v>-2.782242554641229</v>
      </c>
      <c r="Q66" s="528">
        <f t="shared" si="140"/>
        <v>250.4035258103103</v>
      </c>
      <c r="R66" s="572">
        <f t="shared" si="101"/>
        <v>5.02087479466259</v>
      </c>
      <c r="S66" s="577">
        <f t="shared" si="102"/>
        <v>-2.782242554641229</v>
      </c>
      <c r="T66" s="578">
        <f t="shared" si="103"/>
        <v>-4.7426440421992577</v>
      </c>
      <c r="U66" s="572">
        <f t="shared" si="104"/>
        <v>1.6481842107816695</v>
      </c>
      <c r="V66" s="579">
        <f t="shared" si="141"/>
        <v>-2.782242554641229</v>
      </c>
      <c r="W66" s="528">
        <f t="shared" si="253"/>
        <v>160.83641665618129</v>
      </c>
      <c r="X66" s="572">
        <f t="shared" si="105"/>
        <v>5.02087479466259</v>
      </c>
      <c r="Y66" s="573">
        <f t="shared" si="255"/>
        <v>-2.782242554641229</v>
      </c>
      <c r="Z66" s="575">
        <f t="shared" si="271"/>
        <v>0.33539359772687627</v>
      </c>
      <c r="AA66" s="572">
        <f t="shared" si="272"/>
        <v>0.94207809368638384</v>
      </c>
      <c r="AB66" s="572">
        <f t="shared" si="273"/>
        <v>-2.2679489686261436E-7</v>
      </c>
      <c r="AC66" s="579">
        <f t="shared" si="106"/>
        <v>1</v>
      </c>
      <c r="AD66" s="580">
        <f t="shared" si="142"/>
        <v>0.33539359772687627</v>
      </c>
      <c r="AE66" s="572">
        <f t="shared" si="107"/>
        <v>0.94207809368638384</v>
      </c>
      <c r="AF66" s="576">
        <f t="shared" si="108"/>
        <v>-2.2679489686261436E-7</v>
      </c>
      <c r="AG66" s="545">
        <f t="shared" si="109"/>
        <v>89.999986206673853</v>
      </c>
      <c r="AH66" s="546">
        <f t="shared" si="110"/>
        <v>70.403525810310839</v>
      </c>
      <c r="AI66" s="528">
        <f t="shared" si="111"/>
        <v>-89.999987005609597</v>
      </c>
      <c r="AJ66" s="529">
        <f t="shared" si="112"/>
        <v>160.40352581031033</v>
      </c>
      <c r="AK66" s="578">
        <f t="shared" si="238"/>
        <v>5.5511151231257827E-16</v>
      </c>
      <c r="AL66" s="572">
        <f t="shared" si="113"/>
        <v>-0.99999999999997435</v>
      </c>
      <c r="AM66" s="577">
        <f t="shared" si="114"/>
        <v>-2.2679489686261436E-7</v>
      </c>
      <c r="AN66" s="524">
        <f t="shared" si="115"/>
        <v>-89.999987005609597</v>
      </c>
      <c r="AO66" s="525">
        <f t="shared" si="525"/>
        <v>0</v>
      </c>
      <c r="AP66" s="528">
        <f t="shared" si="117"/>
        <v>-89.999999999999972</v>
      </c>
      <c r="AQ66" s="529">
        <f t="shared" si="274"/>
        <v>0.18161926673217044</v>
      </c>
      <c r="AS66" s="932">
        <f t="shared" si="461"/>
        <v>160.83641665618129</v>
      </c>
      <c r="AT66" s="928">
        <f t="shared" si="275"/>
        <v>-2.7276642532162119</v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>Taper</v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6"/>
        <v>4.2439999999999998</v>
      </c>
      <c r="IJ66" s="674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4.1440000000000001</v>
      </c>
      <c r="IK66" s="677" cm="1">
        <f t="array" ref="IK66">IFERROR(ROUND(VALUE(IF($IJ66&lt;1,$IJ66+LARGE((IF($M$9:$M$150="",0,$M$9:$M$150)-MOD(IF($M$9:$M$150="",0,$M$9:$M$150),1)),1),$IJ66)),4),"")</f>
        <v>4.1440000000000001</v>
      </c>
      <c r="IL66" s="482">
        <f t="shared" si="426"/>
        <v>1613</v>
      </c>
      <c r="IM66" s="482" t="str">
        <f t="shared" si="237"/>
        <v>CPS-32193r1</v>
      </c>
      <c r="IN66" s="670">
        <f t="shared" si="427"/>
        <v>12.202087403953357</v>
      </c>
      <c r="IO66" s="702">
        <v>4.8104159123766699E-2</v>
      </c>
      <c r="IP66" s="5">
        <f t="shared" si="428"/>
        <v>2.78</v>
      </c>
      <c r="IQ66" s="714">
        <v>1390</v>
      </c>
      <c r="IR66" s="9">
        <f t="shared" si="429"/>
        <v>-5.0550887932628399</v>
      </c>
      <c r="IS66" s="5">
        <f t="shared" si="430"/>
        <v>-2.7585876733747279</v>
      </c>
      <c r="IT66" s="5">
        <f t="shared" si="431"/>
        <v>0.3125</v>
      </c>
      <c r="IU66" s="5">
        <f t="shared" si="432"/>
        <v>0.27121678779184555</v>
      </c>
      <c r="IV66" s="670">
        <f t="shared" si="433"/>
        <v>84.970117416838406</v>
      </c>
      <c r="IW66" s="9">
        <f t="shared" si="434"/>
        <v>-5.02087479466259</v>
      </c>
      <c r="IX66" s="5">
        <f t="shared" si="435"/>
        <v>-2.782242554641229</v>
      </c>
      <c r="IY66" s="5">
        <f t="shared" si="436"/>
        <v>0.255</v>
      </c>
      <c r="IZ66" s="5">
        <f t="shared" si="437"/>
        <v>0.255</v>
      </c>
      <c r="JA66" s="705">
        <f t="shared" si="438"/>
        <v>89.999987005609597</v>
      </c>
    </row>
    <row r="67" spans="1:261" ht="15" customHeight="1" x14ac:dyDescent="0.25">
      <c r="A67" s="75">
        <f t="shared" si="256"/>
        <v>0.02</v>
      </c>
      <c r="B67" s="578">
        <f t="shared" si="515"/>
        <v>-1.4266418178354541</v>
      </c>
      <c r="C67" s="572">
        <f t="shared" si="516"/>
        <v>-4.9197000972969596</v>
      </c>
      <c r="D67" s="576">
        <f t="shared" si="517"/>
        <v>-9.4977962776039622</v>
      </c>
      <c r="E67" s="580">
        <f t="shared" si="518"/>
        <v>0.56188434598387349</v>
      </c>
      <c r="F67" s="572">
        <f t="shared" si="519"/>
        <v>-0.81965068301290056</v>
      </c>
      <c r="G67" s="579">
        <f t="shared" si="520"/>
        <v>-0.11161872412261628</v>
      </c>
      <c r="H67" s="580">
        <f t="shared" si="521"/>
        <v>0.26450000000000001</v>
      </c>
      <c r="I67" s="572">
        <f t="shared" si="522"/>
        <v>0.52</v>
      </c>
      <c r="J67" s="483">
        <f t="shared" si="523"/>
        <v>4.25</v>
      </c>
      <c r="K67" s="806">
        <f t="shared" si="524"/>
        <v>1313</v>
      </c>
      <c r="L67" s="309"/>
      <c r="M67" s="164">
        <f t="shared" si="267"/>
        <v>4.25</v>
      </c>
      <c r="N67" s="575">
        <f t="shared" si="268"/>
        <v>-1.4266418178354541</v>
      </c>
      <c r="O67" s="572">
        <f t="shared" si="269"/>
        <v>-4.9197000972969596</v>
      </c>
      <c r="P67" s="576">
        <f t="shared" si="270"/>
        <v>-9.4977962776039622</v>
      </c>
      <c r="Q67" s="528">
        <f t="shared" si="140"/>
        <v>253.82860598106896</v>
      </c>
      <c r="R67" s="572">
        <f>IF(M67="","",SQRT(N67^2+O67^2))</f>
        <v>5.1223779559634766</v>
      </c>
      <c r="S67" s="577">
        <f>IF(M67="","",P67)</f>
        <v>-9.4977962776039622</v>
      </c>
      <c r="T67" s="578">
        <f>IF(M67="","",X67*COS(RADIANS(W67)))</f>
        <v>-4.9303383858534868</v>
      </c>
      <c r="U67" s="572">
        <f>IF(M67="","",X67*SIN(RADIANS(W67)))</f>
        <v>1.3894312954299675</v>
      </c>
      <c r="V67" s="579">
        <f>IF(M67="","",Y67)</f>
        <v>-9.4977962776039622</v>
      </c>
      <c r="W67" s="528">
        <f t="shared" si="253"/>
        <v>164.26149682693995</v>
      </c>
      <c r="X67" s="572">
        <f>IF(M67="","",R67)</f>
        <v>5.1223779559634766</v>
      </c>
      <c r="Y67" s="573">
        <f t="shared" si="255"/>
        <v>-9.4977962776039622</v>
      </c>
      <c r="Z67" s="575">
        <f t="shared" si="271"/>
        <v>-0.56188434598387349</v>
      </c>
      <c r="AA67" s="572">
        <f t="shared" si="272"/>
        <v>0.81965068301290056</v>
      </c>
      <c r="AB67" s="572">
        <f t="shared" si="273"/>
        <v>0.11161872412261628</v>
      </c>
      <c r="AC67" s="579">
        <f>IF(M67="","",SQRT(Z67^2+AA67^2+AB67^2))</f>
        <v>1</v>
      </c>
      <c r="AD67" s="580">
        <f>IF(M67="","",Z67*(1/SQRT(Z67^2+AA67^2+AB67^2)))</f>
        <v>-0.56188434598387349</v>
      </c>
      <c r="AE67" s="572">
        <f>IF(M67="","",AA67*(1/SQRT(Z67^2+AA67^2+AB67^2)))</f>
        <v>0.81965068301290056</v>
      </c>
      <c r="AF67" s="576">
        <f>IF(M67="","",AB67*(1/SQRT(Z67^2+AA67^2+AB67^2)))</f>
        <v>0.11161872412261628</v>
      </c>
      <c r="AG67" s="545">
        <f>IF(M67="","",DEGREES(ATAN2(-AF67,AE67)))</f>
        <v>97.754746630494424</v>
      </c>
      <c r="AH67" s="546">
        <f>IF(M67="","",DEGREES(ACOS(AD67)))</f>
        <v>124.18621324914466</v>
      </c>
      <c r="AI67" s="528">
        <f>IF(M67="","",DEGREES(-ACOS(-AF67)))</f>
        <v>-96.408636339561326</v>
      </c>
      <c r="AJ67" s="529">
        <f>IF(M67="","",DEGREES(ATAN2(-AE67,AD67)))</f>
        <v>-145.56870612463675</v>
      </c>
      <c r="AK67" s="578">
        <f>IF(M67="","",(COS(RADIANS((90-$Q$8)-W67))*AD67)+(-SIN(RADIANS((90-$Q$8)-W67))*AE67))</f>
        <v>0.76793443315336329</v>
      </c>
      <c r="AL67" s="572">
        <f>IF(M67="","",(SIN(RADIANS((90-$Q$8)-W67))*AD67)+(COS(RADIANS((90-$Q$8)-W67))*AE67))</f>
        <v>-0.63072812431558989</v>
      </c>
      <c r="AM67" s="577">
        <f>IF(M67="","",AF67)</f>
        <v>0.11161872412261628</v>
      </c>
      <c r="AN67" s="524">
        <f>IF(M67="","",DEGREES(ATAN2(-AM67,AL67)))</f>
        <v>-100.03561890671628</v>
      </c>
      <c r="AO67" s="525">
        <f t="shared" si="525"/>
        <v>39.831236627249659</v>
      </c>
      <c r="AP67" s="528">
        <f>IF(M67="","",DEGREES(ATAN2(AK67,AL67)))</f>
        <v>-39.397312105705716</v>
      </c>
      <c r="AQ67" s="529">
        <f t="shared" si="274"/>
        <v>0.17802038940560677</v>
      </c>
      <c r="AS67" s="932">
        <f t="shared" si="461"/>
        <v>164.26149682693995</v>
      </c>
      <c r="AT67" s="928">
        <f t="shared" si="275"/>
        <v>-9.4441693873374888</v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6"/>
        <v>4.25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26"/>
        <v>1313</v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>
        <f t="shared" si="256"/>
        <v>0.02</v>
      </c>
      <c r="B68" s="578">
        <f t="shared" si="515"/>
        <v>-0.53586255019647044</v>
      </c>
      <c r="C68" s="572">
        <f t="shared" si="516"/>
        <v>-0.28735481334945606</v>
      </c>
      <c r="D68" s="576">
        <f t="shared" si="517"/>
        <v>-0.6082263803425233</v>
      </c>
      <c r="E68" s="580">
        <f t="shared" si="518"/>
        <v>0.52207924620628954</v>
      </c>
      <c r="F68" s="572">
        <f t="shared" si="519"/>
        <v>-0.79983493493255087</v>
      </c>
      <c r="G68" s="579">
        <f t="shared" si="520"/>
        <v>0.29613736262436513</v>
      </c>
      <c r="H68" s="580">
        <f t="shared" si="521"/>
        <v>0.3125</v>
      </c>
      <c r="I68" s="572">
        <f t="shared" si="522"/>
        <v>0.52</v>
      </c>
      <c r="J68" s="483">
        <f t="shared" si="523"/>
        <v>5.1020000000000003</v>
      </c>
      <c r="K68" s="806">
        <f t="shared" si="524"/>
        <v>1613</v>
      </c>
      <c r="L68" s="309"/>
      <c r="M68" s="164">
        <f t="shared" si="267"/>
        <v>5.1020000000000003</v>
      </c>
      <c r="N68" s="575">
        <f t="shared" si="268"/>
        <v>-0.53586255019647044</v>
      </c>
      <c r="O68" s="572">
        <f t="shared" si="269"/>
        <v>-0.28735481334945606</v>
      </c>
      <c r="P68" s="576">
        <f t="shared" si="270"/>
        <v>-0.6082263803425233</v>
      </c>
      <c r="Q68" s="528">
        <f t="shared" si="140"/>
        <v>208.2023115365931</v>
      </c>
      <c r="R68" s="572">
        <f>IF(M68="","",SQRT(N68^2+O68^2))</f>
        <v>0.60804725265242798</v>
      </c>
      <c r="S68" s="577">
        <f>IF(M68="","",P68)</f>
        <v>-0.6082263803425233</v>
      </c>
      <c r="T68" s="578">
        <f>IF(M68="","",X68*COS(RADIANS(W68)))</f>
        <v>-0.29139521338010005</v>
      </c>
      <c r="U68" s="572">
        <f>IF(M68="","",X68*SIN(RADIANS(W68)))</f>
        <v>0.53367620433867158</v>
      </c>
      <c r="V68" s="579">
        <f>IF(M68="","",Y68)</f>
        <v>-0.6082263803425233</v>
      </c>
      <c r="W68" s="528">
        <f t="shared" si="253"/>
        <v>118.63520238246409</v>
      </c>
      <c r="X68" s="572">
        <f>IF(M68="","",R68)</f>
        <v>0.60804725265242798</v>
      </c>
      <c r="Y68" s="573">
        <f t="shared" si="255"/>
        <v>-0.6082263803425233</v>
      </c>
      <c r="Z68" s="575">
        <f t="shared" si="271"/>
        <v>-0.52207924620628954</v>
      </c>
      <c r="AA68" s="572">
        <f t="shared" si="272"/>
        <v>0.79983493493255087</v>
      </c>
      <c r="AB68" s="572">
        <f t="shared" si="273"/>
        <v>-0.29613736262436513</v>
      </c>
      <c r="AC68" s="579">
        <f>IF(M68="","",SQRT(Z68^2+AA68^2+AB68^2))</f>
        <v>1</v>
      </c>
      <c r="AD68" s="580">
        <f>IF(M68="","",Z68*(1/SQRT(Z68^2+AA68^2+AB68^2)))</f>
        <v>-0.52207924620628954</v>
      </c>
      <c r="AE68" s="572">
        <f>IF(M68="","",AA68*(1/SQRT(Z68^2+AA68^2+AB68^2)))</f>
        <v>0.79983493493255087</v>
      </c>
      <c r="AF68" s="576">
        <f>IF(M68="","",AB68*(1/SQRT(Z68^2+AA68^2+AB68^2)))</f>
        <v>-0.29613736262436513</v>
      </c>
      <c r="AG68" s="545">
        <f>IF(M68="","",DEGREES(ATAN2(-AF68,AE68)))</f>
        <v>69.683024076283658</v>
      </c>
      <c r="AH68" s="546">
        <f>IF(M68="","",DEGREES(ACOS(AD68)))</f>
        <v>121.47182684592643</v>
      </c>
      <c r="AI68" s="528">
        <f>IF(M68="","",DEGREES(-ACOS(-AF68)))</f>
        <v>-72.774248855664752</v>
      </c>
      <c r="AJ68" s="529">
        <f>IF(M68="","",DEGREES(ATAN2(-AE68,AD68)))</f>
        <v>-146.86615986288501</v>
      </c>
      <c r="AK68" s="578">
        <f>IF(M68="","",(COS(RADIANS((90-$Q$8)-W68))*AD68)+(-SIN(RADIANS((90-$Q$8)-W68))*AE68))</f>
        <v>0.95160954973867895</v>
      </c>
      <c r="AL68" s="572">
        <f>IF(M68="","",(SIN(RADIANS((90-$Q$8)-W68))*AD68)+(COS(RADIANS((90-$Q$8)-W68))*AE68))</f>
        <v>8.2109240064890787E-2</v>
      </c>
      <c r="AM68" s="577">
        <f>IF(M68="","",AF68)</f>
        <v>-0.29613736262436513</v>
      </c>
      <c r="AN68" s="524">
        <f>IF(M68="","",DEGREES(ATAN2(-AM68,AL68)))</f>
        <v>15.496960293563548</v>
      </c>
      <c r="AO68" s="525">
        <f t="shared" si="525"/>
        <v>17.89717637438029</v>
      </c>
      <c r="AP68" s="528">
        <f>IF(M68="","",DEGREES(ATAN2(AK68,AL68)))</f>
        <v>4.9315286005218582</v>
      </c>
      <c r="AQ68" s="529">
        <f t="shared" si="274"/>
        <v>1.499361247601223</v>
      </c>
      <c r="AS68" s="932">
        <f t="shared" si="461"/>
        <v>118.63520238246409</v>
      </c>
      <c r="AT68" s="928">
        <f t="shared" si="275"/>
        <v>-0.54192551939702927</v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6"/>
        <v>5.1020000000000003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26"/>
        <v>1613</v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>
        <f t="shared" si="256"/>
        <v>0.02</v>
      </c>
      <c r="B69" s="578">
        <f t="shared" si="515"/>
        <v>-1.1918770865645936</v>
      </c>
      <c r="C69" s="572">
        <f t="shared" si="516"/>
        <v>-0.66582250156553546</v>
      </c>
      <c r="D69" s="576">
        <f t="shared" si="517"/>
        <v>-0.40440014721777151</v>
      </c>
      <c r="E69" s="580">
        <f t="shared" si="518"/>
        <v>0.52188458828136786</v>
      </c>
      <c r="F69" s="572">
        <f t="shared" si="519"/>
        <v>-0.81404491809935031</v>
      </c>
      <c r="G69" s="579">
        <f t="shared" si="520"/>
        <v>0.25488693146375618</v>
      </c>
      <c r="H69" s="580">
        <f t="shared" si="521"/>
        <v>0.3125</v>
      </c>
      <c r="I69" s="572">
        <f t="shared" si="522"/>
        <v>0.52</v>
      </c>
      <c r="J69" s="483">
        <f t="shared" si="523"/>
        <v>5.1050000000000004</v>
      </c>
      <c r="K69" s="806">
        <f t="shared" si="524"/>
        <v>1613</v>
      </c>
      <c r="L69" s="309"/>
      <c r="M69" s="164">
        <f t="shared" si="267"/>
        <v>5.1050000000000004</v>
      </c>
      <c r="N69" s="575">
        <f t="shared" si="268"/>
        <v>-1.1918770865645936</v>
      </c>
      <c r="O69" s="572">
        <f t="shared" si="269"/>
        <v>-0.66582250156553546</v>
      </c>
      <c r="P69" s="576">
        <f t="shared" si="270"/>
        <v>-0.40440014721777151</v>
      </c>
      <c r="Q69" s="528">
        <f t="shared" si="140"/>
        <v>209.18918969120878</v>
      </c>
      <c r="R69" s="572">
        <f t="shared" si="101"/>
        <v>1.3652437852151869</v>
      </c>
      <c r="S69" s="577">
        <f t="shared" si="102"/>
        <v>-0.40440014721777151</v>
      </c>
      <c r="T69" s="578">
        <f t="shared" si="103"/>
        <v>-0.67480848525528547</v>
      </c>
      <c r="U69" s="572">
        <f t="shared" si="104"/>
        <v>1.1868125805265795</v>
      </c>
      <c r="V69" s="579">
        <f t="shared" si="141"/>
        <v>-0.40440014721777151</v>
      </c>
      <c r="W69" s="528">
        <f t="shared" si="253"/>
        <v>119.62208053707977</v>
      </c>
      <c r="X69" s="572">
        <f t="shared" si="105"/>
        <v>1.3652437852151869</v>
      </c>
      <c r="Y69" s="573">
        <f t="shared" si="255"/>
        <v>-0.40440014721777151</v>
      </c>
      <c r="Z69" s="575">
        <f t="shared" si="271"/>
        <v>-0.52188458828136786</v>
      </c>
      <c r="AA69" s="572">
        <f t="shared" si="272"/>
        <v>0.81404491809935031</v>
      </c>
      <c r="AB69" s="572">
        <f t="shared" si="273"/>
        <v>-0.25488693146375618</v>
      </c>
      <c r="AC69" s="579">
        <f t="shared" si="106"/>
        <v>1</v>
      </c>
      <c r="AD69" s="580">
        <f t="shared" si="142"/>
        <v>-0.52188458828136786</v>
      </c>
      <c r="AE69" s="572">
        <f t="shared" si="107"/>
        <v>0.81404491809935031</v>
      </c>
      <c r="AF69" s="576">
        <f t="shared" si="108"/>
        <v>-0.25488693146375618</v>
      </c>
      <c r="AG69" s="545">
        <f t="shared" si="109"/>
        <v>72.614054868133664</v>
      </c>
      <c r="AH69" s="546">
        <f t="shared" si="110"/>
        <v>121.45875105961143</v>
      </c>
      <c r="AI69" s="528">
        <f t="shared" si="111"/>
        <v>-75.2331145853706</v>
      </c>
      <c r="AJ69" s="529">
        <f t="shared" si="112"/>
        <v>-147.33604821966418</v>
      </c>
      <c r="AK69" s="578">
        <f t="shared" si="238"/>
        <v>0.96519317772046853</v>
      </c>
      <c r="AL69" s="572">
        <f t="shared" si="113"/>
        <v>5.8607011959791566E-2</v>
      </c>
      <c r="AM69" s="577">
        <f t="shared" si="114"/>
        <v>-0.25488693146375618</v>
      </c>
      <c r="AN69" s="524">
        <f t="shared" si="115"/>
        <v>12.949138827495569</v>
      </c>
      <c r="AO69" s="525">
        <f t="shared" si="525"/>
        <v>15.161341689710696</v>
      </c>
      <c r="AP69" s="528">
        <f t="shared" si="117"/>
        <v>3.4747620891270108</v>
      </c>
      <c r="AQ69" s="529">
        <f t="shared" si="274"/>
        <v>0.66790221449104015</v>
      </c>
      <c r="AS69" s="932">
        <f t="shared" si="461"/>
        <v>119.62208053707977</v>
      </c>
      <c r="AT69" s="928">
        <f t="shared" si="275"/>
        <v>-0.33837341909300406</v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6"/>
        <v>5.1050000000000004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26"/>
        <v>1613</v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>
        <f t="shared" si="256"/>
        <v>0.02</v>
      </c>
      <c r="B70" s="578">
        <f t="shared" si="515"/>
        <v>-1.8087509180521328</v>
      </c>
      <c r="C70" s="572">
        <f t="shared" si="516"/>
        <v>-1.0219742767952471</v>
      </c>
      <c r="D70" s="576">
        <f t="shared" si="517"/>
        <v>-0.21359899630696494</v>
      </c>
      <c r="E70" s="580">
        <f t="shared" si="518"/>
        <v>0.52188458828136786</v>
      </c>
      <c r="F70" s="572">
        <f t="shared" si="519"/>
        <v>-0.81404491809934998</v>
      </c>
      <c r="G70" s="579">
        <f t="shared" si="520"/>
        <v>0.25488693146375652</v>
      </c>
      <c r="H70" s="580">
        <f t="shared" si="521"/>
        <v>0.3125</v>
      </c>
      <c r="I70" s="572">
        <f t="shared" si="522"/>
        <v>0.52</v>
      </c>
      <c r="J70" s="483">
        <f t="shared" si="523"/>
        <v>5.1079999999999997</v>
      </c>
      <c r="K70" s="806">
        <f t="shared" si="524"/>
        <v>1613</v>
      </c>
      <c r="L70" s="309"/>
      <c r="M70" s="164">
        <f t="shared" si="267"/>
        <v>5.1079999999999997</v>
      </c>
      <c r="N70" s="575">
        <f t="shared" si="268"/>
        <v>-1.8087509180521328</v>
      </c>
      <c r="O70" s="572">
        <f t="shared" si="269"/>
        <v>-1.0219742767952471</v>
      </c>
      <c r="P70" s="576">
        <f t="shared" si="270"/>
        <v>-0.21359899630696494</v>
      </c>
      <c r="Q70" s="528">
        <f t="shared" si="140"/>
        <v>209.46716881885553</v>
      </c>
      <c r="R70" s="572">
        <f t="shared" si="101"/>
        <v>2.0775012168433507</v>
      </c>
      <c r="S70" s="577">
        <f t="shared" si="102"/>
        <v>-0.21359899630696494</v>
      </c>
      <c r="T70" s="578">
        <f t="shared" si="103"/>
        <v>-1.0356107613617078</v>
      </c>
      <c r="U70" s="572">
        <f t="shared" si="104"/>
        <v>1.8009779723631898</v>
      </c>
      <c r="V70" s="579">
        <f t="shared" si="141"/>
        <v>-0.21359899630696494</v>
      </c>
      <c r="W70" s="528">
        <f t="shared" si="253"/>
        <v>119.90005966472651</v>
      </c>
      <c r="X70" s="572">
        <f t="shared" si="105"/>
        <v>2.0775012168433507</v>
      </c>
      <c r="Y70" s="573">
        <f t="shared" si="255"/>
        <v>-0.21359899630696494</v>
      </c>
      <c r="Z70" s="575">
        <f t="shared" si="271"/>
        <v>-0.52188458828136786</v>
      </c>
      <c r="AA70" s="572">
        <f t="shared" si="272"/>
        <v>0.81404491809934998</v>
      </c>
      <c r="AB70" s="572">
        <f t="shared" si="273"/>
        <v>-0.25488693146375652</v>
      </c>
      <c r="AC70" s="579">
        <f t="shared" si="106"/>
        <v>1</v>
      </c>
      <c r="AD70" s="580">
        <f t="shared" si="142"/>
        <v>-0.52188458828136786</v>
      </c>
      <c r="AE70" s="572">
        <f t="shared" si="107"/>
        <v>0.81404491809934998</v>
      </c>
      <c r="AF70" s="576">
        <f t="shared" si="108"/>
        <v>-0.25488693146375652</v>
      </c>
      <c r="AG70" s="545">
        <f t="shared" si="109"/>
        <v>72.614054868133636</v>
      </c>
      <c r="AH70" s="546">
        <f t="shared" si="110"/>
        <v>121.45875105961143</v>
      </c>
      <c r="AI70" s="528">
        <f t="shared" si="111"/>
        <v>-75.233114585370586</v>
      </c>
      <c r="AJ70" s="529">
        <f t="shared" si="112"/>
        <v>-147.33604821966418</v>
      </c>
      <c r="AK70" s="578">
        <f t="shared" si="238"/>
        <v>0.96546615778880129</v>
      </c>
      <c r="AL70" s="572">
        <f t="shared" si="113"/>
        <v>5.3923560096861056E-2</v>
      </c>
      <c r="AM70" s="577">
        <f t="shared" si="114"/>
        <v>-0.25488693146375652</v>
      </c>
      <c r="AN70" s="524">
        <f t="shared" si="115"/>
        <v>11.945289726695552</v>
      </c>
      <c r="AO70" s="525">
        <f t="shared" si="525"/>
        <v>15.101423636341977</v>
      </c>
      <c r="AP70" s="528">
        <f t="shared" si="117"/>
        <v>3.1967829614802881</v>
      </c>
      <c r="AQ70" s="529">
        <f t="shared" si="274"/>
        <v>0.4389276919113656</v>
      </c>
      <c r="AS70" s="932">
        <f t="shared" si="461"/>
        <v>119.90005966472651</v>
      </c>
      <c r="AT70" s="928">
        <f t="shared" si="275"/>
        <v>-0.14764948460654381</v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6"/>
        <v>5.1079999999999997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26"/>
        <v>1613</v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>
        <f t="shared" si="256"/>
        <v>0.02</v>
      </c>
      <c r="B71" s="578">
        <f t="shared" si="515"/>
        <v>-2.4430066325541842</v>
      </c>
      <c r="C71" s="572">
        <f t="shared" si="516"/>
        <v>-1.3882037446926485</v>
      </c>
      <c r="D71" s="576">
        <f t="shared" si="517"/>
        <v>-6.7307371067745286E-2</v>
      </c>
      <c r="E71" s="580">
        <f t="shared" si="518"/>
        <v>0.4729859531345994</v>
      </c>
      <c r="F71" s="572">
        <f t="shared" si="519"/>
        <v>-0.84016292650000401</v>
      </c>
      <c r="G71" s="579">
        <f t="shared" si="520"/>
        <v>0.26534985410266115</v>
      </c>
      <c r="H71" s="580">
        <f t="shared" si="521"/>
        <v>0.3125</v>
      </c>
      <c r="I71" s="572">
        <f t="shared" si="522"/>
        <v>0.52</v>
      </c>
      <c r="J71" s="483">
        <f t="shared" si="523"/>
        <v>5.1130000000000004</v>
      </c>
      <c r="K71" s="806">
        <f t="shared" si="524"/>
        <v>1613</v>
      </c>
      <c r="L71" s="309"/>
      <c r="M71" s="164">
        <f t="shared" si="267"/>
        <v>5.1130000000000004</v>
      </c>
      <c r="N71" s="575">
        <f t="shared" si="268"/>
        <v>-2.4430066325541842</v>
      </c>
      <c r="O71" s="572">
        <f t="shared" si="269"/>
        <v>-1.3882037446926485</v>
      </c>
      <c r="P71" s="576">
        <f t="shared" si="270"/>
        <v>-6.7307371067745286E-2</v>
      </c>
      <c r="Q71" s="528">
        <f t="shared" si="140"/>
        <v>209.60678732560936</v>
      </c>
      <c r="R71" s="572">
        <f t="shared" si="101"/>
        <v>2.8098738483217405</v>
      </c>
      <c r="S71" s="577">
        <f t="shared" si="102"/>
        <v>-6.7307371067745286E-2</v>
      </c>
      <c r="T71" s="578">
        <f t="shared" si="103"/>
        <v>-1.4066217678193924</v>
      </c>
      <c r="U71" s="572">
        <f t="shared" si="104"/>
        <v>2.4324486111281107</v>
      </c>
      <c r="V71" s="579">
        <f t="shared" si="141"/>
        <v>-6.7307371067745286E-2</v>
      </c>
      <c r="W71" s="528">
        <f t="shared" si="253"/>
        <v>120.03967817148035</v>
      </c>
      <c r="X71" s="572">
        <f t="shared" si="105"/>
        <v>2.8098738483217405</v>
      </c>
      <c r="Y71" s="573">
        <f t="shared" si="255"/>
        <v>-6.7307371067745286E-2</v>
      </c>
      <c r="Z71" s="575">
        <f t="shared" si="271"/>
        <v>-0.4729859531345994</v>
      </c>
      <c r="AA71" s="572">
        <f t="shared" si="272"/>
        <v>0.84016292650000401</v>
      </c>
      <c r="AB71" s="572">
        <f t="shared" si="273"/>
        <v>-0.26534985410266115</v>
      </c>
      <c r="AC71" s="579">
        <f t="shared" si="106"/>
        <v>1</v>
      </c>
      <c r="AD71" s="580">
        <f t="shared" si="142"/>
        <v>-0.4729859531345994</v>
      </c>
      <c r="AE71" s="572">
        <f t="shared" si="107"/>
        <v>0.84016292650000401</v>
      </c>
      <c r="AF71" s="576">
        <f t="shared" si="108"/>
        <v>-0.26534985410266115</v>
      </c>
      <c r="AG71" s="545">
        <f t="shared" si="109"/>
        <v>72.472245993755678</v>
      </c>
      <c r="AH71" s="546">
        <f t="shared" si="110"/>
        <v>118.22829644401317</v>
      </c>
      <c r="AI71" s="528">
        <f t="shared" si="111"/>
        <v>-74.61225778405219</v>
      </c>
      <c r="AJ71" s="529">
        <f t="shared" si="112"/>
        <v>-150.62182359803171</v>
      </c>
      <c r="AK71" s="578">
        <f t="shared" si="238"/>
        <v>0.96414452015780028</v>
      </c>
      <c r="AL71" s="572">
        <f t="shared" si="113"/>
        <v>-3.8469698961422494E-3</v>
      </c>
      <c r="AM71" s="577">
        <f t="shared" si="114"/>
        <v>-0.26534985410266115</v>
      </c>
      <c r="AN71" s="524">
        <f t="shared" si="115"/>
        <v>-0.8306004126858153</v>
      </c>
      <c r="AO71" s="525">
        <f t="shared" si="525"/>
        <v>15.389399300523054</v>
      </c>
      <c r="AP71" s="528">
        <f t="shared" si="117"/>
        <v>-0.22861092364107988</v>
      </c>
      <c r="AQ71" s="529">
        <f t="shared" si="274"/>
        <v>0.32452734546725182</v>
      </c>
      <c r="AS71" s="932">
        <f t="shared" si="461"/>
        <v>120.03967817148035</v>
      </c>
      <c r="AT71" s="928">
        <f t="shared" si="275"/>
        <v>-1.3966422858668753E-3</v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6"/>
        <v>5.1130000000000004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26"/>
        <v>1613</v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>
        <f t="shared" si="256"/>
        <v>0.02</v>
      </c>
      <c r="B72" s="578">
        <f t="shared" si="515"/>
        <v>-3.1098230204772848</v>
      </c>
      <c r="C72" s="572">
        <f t="shared" si="516"/>
        <v>-1.7531110522153825</v>
      </c>
      <c r="D72" s="576">
        <f t="shared" si="517"/>
        <v>-0.16965972071838162</v>
      </c>
      <c r="E72" s="580">
        <f t="shared" si="518"/>
        <v>0.39215606331702602</v>
      </c>
      <c r="F72" s="572">
        <f t="shared" si="519"/>
        <v>-0.88299627629700173</v>
      </c>
      <c r="G72" s="579">
        <f t="shared" si="520"/>
        <v>0.25793642249461746</v>
      </c>
      <c r="H72" s="580">
        <f t="shared" si="521"/>
        <v>0.3125</v>
      </c>
      <c r="I72" s="572">
        <f t="shared" si="522"/>
        <v>0.52</v>
      </c>
      <c r="J72" s="483">
        <f t="shared" si="523"/>
        <v>5.1189999999999998</v>
      </c>
      <c r="K72" s="806">
        <f t="shared" si="524"/>
        <v>1613</v>
      </c>
      <c r="L72" s="309"/>
      <c r="M72" s="164">
        <f t="shared" si="267"/>
        <v>5.1189999999999998</v>
      </c>
      <c r="N72" s="575">
        <f t="shared" si="268"/>
        <v>-3.1098230204772848</v>
      </c>
      <c r="O72" s="572">
        <f t="shared" si="269"/>
        <v>-1.7531110522153825</v>
      </c>
      <c r="P72" s="576">
        <f t="shared" si="270"/>
        <v>-0.16965972071838162</v>
      </c>
      <c r="Q72" s="528">
        <f t="shared" si="140"/>
        <v>209.41140749823953</v>
      </c>
      <c r="R72" s="572">
        <f t="shared" si="101"/>
        <v>3.5699296323723511</v>
      </c>
      <c r="S72" s="577">
        <f t="shared" si="102"/>
        <v>-0.16965972071838162</v>
      </c>
      <c r="T72" s="578">
        <f t="shared" si="103"/>
        <v>-1.7765566572520348</v>
      </c>
      <c r="U72" s="572">
        <f t="shared" si="104"/>
        <v>3.0964889832944129</v>
      </c>
      <c r="V72" s="579">
        <f t="shared" si="141"/>
        <v>-0.16965972071838162</v>
      </c>
      <c r="W72" s="528">
        <f t="shared" si="253"/>
        <v>119.84429834411051</v>
      </c>
      <c r="X72" s="572">
        <f t="shared" si="105"/>
        <v>3.5699296323723511</v>
      </c>
      <c r="Y72" s="573">
        <f t="shared" si="255"/>
        <v>-0.16965972071838162</v>
      </c>
      <c r="Z72" s="575">
        <f t="shared" si="271"/>
        <v>-0.39215606331702602</v>
      </c>
      <c r="AA72" s="572">
        <f t="shared" si="272"/>
        <v>0.88299627629700173</v>
      </c>
      <c r="AB72" s="572">
        <f t="shared" si="273"/>
        <v>-0.25793642249461746</v>
      </c>
      <c r="AC72" s="579">
        <f t="shared" si="106"/>
        <v>1</v>
      </c>
      <c r="AD72" s="580">
        <f t="shared" si="142"/>
        <v>-0.39215606331702602</v>
      </c>
      <c r="AE72" s="572">
        <f t="shared" si="107"/>
        <v>0.88299627629700173</v>
      </c>
      <c r="AF72" s="576">
        <f t="shared" si="108"/>
        <v>-0.25793642249461746</v>
      </c>
      <c r="AG72" s="545">
        <f t="shared" si="109"/>
        <v>73.71612652421814</v>
      </c>
      <c r="AH72" s="546">
        <f t="shared" si="110"/>
        <v>113.08872264471999</v>
      </c>
      <c r="AI72" s="528">
        <f t="shared" si="111"/>
        <v>-75.052348085786988</v>
      </c>
      <c r="AJ72" s="529">
        <f t="shared" si="112"/>
        <v>-156.05304908122761</v>
      </c>
      <c r="AK72" s="578">
        <f t="shared" si="238"/>
        <v>0.96177113539821568</v>
      </c>
      <c r="AL72" s="572">
        <f t="shared" si="113"/>
        <v>-9.2005896906151352E-2</v>
      </c>
      <c r="AM72" s="577">
        <f t="shared" si="114"/>
        <v>-0.25793642249461746</v>
      </c>
      <c r="AN72" s="524">
        <f t="shared" si="115"/>
        <v>-19.63131247542724</v>
      </c>
      <c r="AO72" s="525">
        <f t="shared" si="525"/>
        <v>15.893761035069243</v>
      </c>
      <c r="AP72" s="528">
        <f t="shared" si="117"/>
        <v>-5.4644565794671376</v>
      </c>
      <c r="AQ72" s="529">
        <f t="shared" si="274"/>
        <v>0.25543489796446195</v>
      </c>
      <c r="AS72" s="932">
        <f t="shared" si="461"/>
        <v>119.84429834411051</v>
      </c>
      <c r="AT72" s="928">
        <f t="shared" si="275"/>
        <v>-0.10369471976223381</v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6"/>
        <v>5.1189999999999998</v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>
        <f t="shared" si="426"/>
        <v>1613</v>
      </c>
      <c r="IM72" s="482" t="str">
        <f t="shared" si="237"/>
        <v/>
      </c>
      <c r="IN72" s="670" t="str">
        <f t="shared" si="427"/>
        <v/>
      </c>
      <c r="IO72" s="702"/>
      <c r="IP72" s="5" t="str">
        <f t="shared" si="428"/>
        <v/>
      </c>
      <c r="IQ72" s="714"/>
      <c r="IR72" s="9" t="str">
        <f t="shared" si="429"/>
        <v/>
      </c>
      <c r="IS72" s="5" t="str">
        <f t="shared" si="430"/>
        <v/>
      </c>
      <c r="IT72" s="5" t="str">
        <f t="shared" si="431"/>
        <v/>
      </c>
      <c r="IU72" s="5" t="str">
        <f t="shared" si="432"/>
        <v/>
      </c>
      <c r="IV72" s="670" t="str">
        <f t="shared" si="433"/>
        <v/>
      </c>
      <c r="IW72" s="9" t="str">
        <f t="shared" si="434"/>
        <v/>
      </c>
      <c r="IX72" s="5" t="str">
        <f t="shared" si="435"/>
        <v/>
      </c>
      <c r="IY72" s="5" t="str">
        <f t="shared" si="436"/>
        <v/>
      </c>
      <c r="IZ72" s="5" t="str">
        <f t="shared" si="437"/>
        <v/>
      </c>
      <c r="JA72" s="705" t="str">
        <f t="shared" si="438"/>
        <v/>
      </c>
    </row>
    <row r="73" spans="1:261" ht="15" customHeight="1" x14ac:dyDescent="0.25">
      <c r="A73" s="75">
        <f t="shared" si="256"/>
        <v>0.02</v>
      </c>
      <c r="B73" s="578">
        <f t="shared" si="515"/>
        <v>-3.7195191691405367</v>
      </c>
      <c r="C73" s="572">
        <f t="shared" si="516"/>
        <v>-2.0415414876335487</v>
      </c>
      <c r="D73" s="576">
        <f t="shared" si="517"/>
        <v>-0.53651537420653606</v>
      </c>
      <c r="E73" s="580">
        <f t="shared" si="518"/>
        <v>0.26749517746143076</v>
      </c>
      <c r="F73" s="572">
        <f t="shared" si="519"/>
        <v>-0.92622807932579221</v>
      </c>
      <c r="G73" s="579">
        <f t="shared" si="520"/>
        <v>0.26560849968201672</v>
      </c>
      <c r="H73" s="580">
        <f t="shared" si="521"/>
        <v>0.3125</v>
      </c>
      <c r="I73" s="572">
        <f t="shared" si="522"/>
        <v>0.52</v>
      </c>
      <c r="J73" s="483">
        <f t="shared" si="523"/>
        <v>5.125</v>
      </c>
      <c r="K73" s="806">
        <f t="shared" si="524"/>
        <v>1613</v>
      </c>
      <c r="L73" s="309"/>
      <c r="M73" s="164">
        <f t="shared" ref="M73:M104" si="526">IF(J73="","",VALUE(J73))</f>
        <v>5.125</v>
      </c>
      <c r="N73" s="575">
        <f t="shared" ref="N73:N104" si="527">IF(M73="","",B73)</f>
        <v>-3.7195191691405367</v>
      </c>
      <c r="O73" s="572">
        <f t="shared" ref="O73:O104" si="528">IF(M73="","",C73)</f>
        <v>-2.0415414876335487</v>
      </c>
      <c r="P73" s="576">
        <f t="shared" ref="P73:P104" si="529">IF(M73="","",D73)</f>
        <v>-0.53651537420653606</v>
      </c>
      <c r="Q73" s="528">
        <f t="shared" si="140"/>
        <v>208.76116891824458</v>
      </c>
      <c r="R73" s="572">
        <f>IF(M73="","",SQRT(N73^2+O73^2))</f>
        <v>4.242960581402202</v>
      </c>
      <c r="S73" s="577">
        <f>IF(M73="","",P73)</f>
        <v>-0.53651537420653606</v>
      </c>
      <c r="T73" s="578">
        <f>IF(M73="","",X73*COS(RADIANS(W73)))</f>
        <v>-2.0695852968899042</v>
      </c>
      <c r="U73" s="572">
        <f>IF(M73="","",X73*SIN(RADIANS(W73)))</f>
        <v>3.7039885521191938</v>
      </c>
      <c r="V73" s="579">
        <f>IF(M73="","",Y73)</f>
        <v>-0.53651537420653606</v>
      </c>
      <c r="W73" s="528">
        <f t="shared" si="253"/>
        <v>119.19405976411556</v>
      </c>
      <c r="X73" s="572">
        <f>IF(M73="","",R73)</f>
        <v>4.242960581402202</v>
      </c>
      <c r="Y73" s="573">
        <f t="shared" si="255"/>
        <v>-0.53651537420653606</v>
      </c>
      <c r="Z73" s="575">
        <f t="shared" ref="Z73:Z104" si="530">IF(M73="","",-E73)</f>
        <v>-0.26749517746143076</v>
      </c>
      <c r="AA73" s="572">
        <f t="shared" ref="AA73:AA104" si="531">IF(M73="","",-F73)</f>
        <v>0.92622807932579221</v>
      </c>
      <c r="AB73" s="572">
        <f t="shared" ref="AB73:AB104" si="532">IF(M73="","",-G73)</f>
        <v>-0.26560849968201672</v>
      </c>
      <c r="AC73" s="579">
        <f>IF(M73="","",SQRT(Z73^2+AA73^2+AB73^2))</f>
        <v>1</v>
      </c>
      <c r="AD73" s="580">
        <f>IF(M73="","",Z73*(1/SQRT(Z73^2+AA73^2+AB73^2)))</f>
        <v>-0.26749517746143076</v>
      </c>
      <c r="AE73" s="572">
        <f>IF(M73="","",AA73*(1/SQRT(Z73^2+AA73^2+AB73^2)))</f>
        <v>0.92622807932579221</v>
      </c>
      <c r="AF73" s="576">
        <f>IF(M73="","",AB73*(1/SQRT(Z73^2+AA73^2+AB73^2)))</f>
        <v>-0.26560849968201672</v>
      </c>
      <c r="AG73" s="545">
        <f>IF(M73="","",DEGREES(ATAN2(-AF73,AE73)))</f>
        <v>73.999035623441586</v>
      </c>
      <c r="AH73" s="546">
        <f>IF(M73="","",DEGREES(ACOS(AD73)))</f>
        <v>105.51526952505667</v>
      </c>
      <c r="AI73" s="528">
        <f>IF(M73="","",DEGREES(-ACOS(-AF73)))</f>
        <v>-74.596886925138378</v>
      </c>
      <c r="AJ73" s="529">
        <f>IF(M73="","",DEGREES(ATAN2(-AE73,AD73)))</f>
        <v>-163.8912535208064</v>
      </c>
      <c r="AK73" s="578">
        <f>IF(M73="","",(COS(RADIANS((90-$Q$8)-W73))*AD73)+(-SIN(RADIANS((90-$Q$8)-W73))*AE73))</f>
        <v>0.94066996900049116</v>
      </c>
      <c r="AL73" s="572">
        <f>IF(M73="","",(SIN(RADIANS((90-$Q$8)-W73))*AD73)+(COS(RADIANS((90-$Q$8)-W73))*AE73))</f>
        <v>-0.21116849745471836</v>
      </c>
      <c r="AM73" s="577">
        <f>IF(M73="","",AF73)</f>
        <v>-0.26560849968201672</v>
      </c>
      <c r="AN73" s="524">
        <f>IF(M73="","",DEGREES(ATAN2(-AM73,AL73)))</f>
        <v>-38.485986851085471</v>
      </c>
      <c r="AO73" s="525">
        <f t="shared" si="525"/>
        <v>19.835624968950093</v>
      </c>
      <c r="AP73" s="528">
        <f>IF(M73="","",DEGREES(ATAN2(AK73,AL73)))</f>
        <v>-12.652422439050985</v>
      </c>
      <c r="AQ73" s="529">
        <f t="shared" ref="AQ73:AQ104" si="533">IF(M73="","",DEGREES(ATAN(($AS$5*SIN(RADIANS(90)))/(($X73*2*PI())-($AS$5*COS(RADIANS(90)))))))</f>
        <v>0.2149174753040371</v>
      </c>
      <c r="AS73" s="932">
        <f t="shared" si="461"/>
        <v>119.19405976411556</v>
      </c>
      <c r="AT73" s="928">
        <f t="shared" ref="AT73:AT104" si="534">IF(M73="","",Y73+(((AS73-$AS$9)*$AS$6)*-1))</f>
        <v>-0.47036975142261189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6"/>
        <v>5.125</v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>
        <f t="shared" ref="IL73:IL104" si="596">IF(ISNUMBER($IK73),INDEX($K$9:$K$150,MATCH($IK73,$M$9:$M$150,0)),$K73)</f>
        <v>1613</v>
      </c>
      <c r="IM73" s="482" t="str">
        <f t="shared" si="237"/>
        <v/>
      </c>
      <c r="IN73" s="670" t="str">
        <f t="shared" ref="IN73:IN104" si="5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598">IF(ISNUMBER($IK73),(($IQ73*12)/60)/$AS$3,"")</f>
        <v/>
      </c>
      <c r="IQ73" s="714"/>
      <c r="IR73" s="9" t="str">
        <f t="shared" ref="IR73:IR104" si="599">IF(ISNUMBER($IK73),(INDEX($X$9:$X$150,MATCH($IK73,$M$9:$M$150,0))*-1),"")</f>
        <v/>
      </c>
      <c r="IS73" s="5" t="str">
        <f t="shared" ref="IS73:IS104" si="600">IF(ISNUMBER($IK73),INDEX($Y$9:$Y$150,MATCH($IK73,$M$9:$M$150,0)),"")</f>
        <v/>
      </c>
      <c r="IT73" s="5" t="str">
        <f t="shared" ref="IT73:IT104" si="601">IF(ISNUMBER($IK73),INDEX($H$9:$H$150,MATCH($IK73,$M$9:$M$150,0)),"")</f>
        <v/>
      </c>
      <c r="IU73" s="5" t="str">
        <f t="shared" ref="IU73:IU104" si="602">IF(ISNUMBER($IK73),$IT73*COS(RADIANS(INDEX($AO$9:$AO$150,MATCH($IK73,$M$9:$M$150,0)))),"")</f>
        <v/>
      </c>
      <c r="IV73" s="670" t="str">
        <f t="shared" ref="IV73:IV104" si="603">IF(ISNUMBER($IK73),(-1*INDEX($AN$9:$AN$150,MATCH($IK73,$M$9:$M$150,0))),"")</f>
        <v/>
      </c>
      <c r="IW73" s="9" t="str">
        <f t="shared" ref="IW73:IW104" si="604">IF(ISNUMBER($IK73),-$X73,"")</f>
        <v/>
      </c>
      <c r="IX73" s="5" t="str">
        <f t="shared" ref="IX73:IX104" si="605">IF(ISNUMBER($IK73),$Y73,"")</f>
        <v/>
      </c>
      <c r="IY73" s="5" t="str">
        <f t="shared" ref="IY73:IY104" si="606">IF(ISNUMBER($IK73),$H73,"")</f>
        <v/>
      </c>
      <c r="IZ73" s="5" t="str">
        <f t="shared" ref="IZ73:IZ104" si="607">IF(ISNUMBER($IK73),$IY73*COS(RADIANS($AO73)),"")</f>
        <v/>
      </c>
      <c r="JA73" s="705" t="str">
        <f t="shared" ref="JA73:JA104" si="608">IF(ISNUMBER($IK73),(-1*$AN73),"")</f>
        <v/>
      </c>
    </row>
    <row r="74" spans="1:261" ht="15" customHeight="1" x14ac:dyDescent="0.25">
      <c r="A74" s="75">
        <f t="shared" si="256"/>
        <v>0.02</v>
      </c>
      <c r="B74" s="578">
        <f t="shared" si="515"/>
        <v>-4.1822668763766604</v>
      </c>
      <c r="C74" s="572">
        <f t="shared" si="516"/>
        <v>-2.2333241668052772</v>
      </c>
      <c r="D74" s="576">
        <f t="shared" si="517"/>
        <v>-1.1186852804601963</v>
      </c>
      <c r="E74" s="580">
        <f t="shared" si="518"/>
        <v>0.13188907511856623</v>
      </c>
      <c r="F74" s="572">
        <f t="shared" si="519"/>
        <v>-0.96678633895088661</v>
      </c>
      <c r="G74" s="579">
        <f t="shared" si="520"/>
        <v>0.21892794860937828</v>
      </c>
      <c r="H74" s="580">
        <f t="shared" si="521"/>
        <v>0.3125</v>
      </c>
      <c r="I74" s="572">
        <f t="shared" si="522"/>
        <v>0.52</v>
      </c>
      <c r="J74" s="483">
        <f t="shared" si="523"/>
        <v>5.1310000000000002</v>
      </c>
      <c r="K74" s="806">
        <f t="shared" si="524"/>
        <v>1613</v>
      </c>
      <c r="L74" s="309"/>
      <c r="M74" s="164">
        <f t="shared" si="526"/>
        <v>5.1310000000000002</v>
      </c>
      <c r="N74" s="575">
        <f t="shared" si="527"/>
        <v>-4.1822668763766604</v>
      </c>
      <c r="O74" s="572">
        <f t="shared" si="528"/>
        <v>-2.2333241668052772</v>
      </c>
      <c r="P74" s="576">
        <f t="shared" si="529"/>
        <v>-1.1186852804601963</v>
      </c>
      <c r="Q74" s="528">
        <f t="shared" ref="Q74:Q129" si="609">IF(M74="","",IF(DEGREES(ATAN2(N74,O74))&lt;0,DEGREES(ATAN2(N74,O74))+360,IF(DEGREES(ATAN2(N74,O74))&gt;360,DEGREES(ATAN2(N74,O74))-360,DEGREES(ATAN2(N74,O74)))))</f>
        <v>208.10214935795102</v>
      </c>
      <c r="R74" s="572">
        <f>IF(M74="","",SQRT(N74^2+O74^2))</f>
        <v>4.7412121930234123</v>
      </c>
      <c r="S74" s="577">
        <f>IF(M74="","",P74)</f>
        <v>-1.1186852804601963</v>
      </c>
      <c r="T74" s="578">
        <f>IF(M74="","",X74*COS(RADIANS(W74)))</f>
        <v>-2.2648586994046163</v>
      </c>
      <c r="U74" s="572">
        <f>IF(M74="","",X74*SIN(RADIANS(W74)))</f>
        <v>4.1652740763370071</v>
      </c>
      <c r="V74" s="579">
        <f>IF(M74="","",Y74)</f>
        <v>-1.1186852804601963</v>
      </c>
      <c r="W74" s="528">
        <f t="shared" si="253"/>
        <v>118.53504020382201</v>
      </c>
      <c r="X74" s="572">
        <f>IF(M74="","",R74)</f>
        <v>4.7412121930234123</v>
      </c>
      <c r="Y74" s="573">
        <f t="shared" si="255"/>
        <v>-1.1186852804601963</v>
      </c>
      <c r="Z74" s="575">
        <f t="shared" si="530"/>
        <v>-0.13188907511856623</v>
      </c>
      <c r="AA74" s="572">
        <f t="shared" si="531"/>
        <v>0.96678633895088661</v>
      </c>
      <c r="AB74" s="572">
        <f t="shared" si="532"/>
        <v>-0.21892794860937828</v>
      </c>
      <c r="AC74" s="579">
        <f>IF(M74="","",SQRT(Z74^2+AA74^2+AB74^2))</f>
        <v>1</v>
      </c>
      <c r="AD74" s="580">
        <f>IF(M74="","",Z74*(1/SQRT(Z74^2+AA74^2+AB74^2)))</f>
        <v>-0.13188907511856623</v>
      </c>
      <c r="AE74" s="572">
        <f>IF(M74="","",AA74*(1/SQRT(Z74^2+AA74^2+AB74^2)))</f>
        <v>0.96678633895088661</v>
      </c>
      <c r="AF74" s="576">
        <f>IF(M74="","",AB74*(1/SQRT(Z74^2+AA74^2+AB74^2)))</f>
        <v>-0.21892794860937828</v>
      </c>
      <c r="AG74" s="545">
        <f>IF(M74="","",DEGREES(ATAN2(-AF74,AE74)))</f>
        <v>77.240611536494242</v>
      </c>
      <c r="AH74" s="546">
        <f>IF(M74="","",DEGREES(ACOS(AD74)))</f>
        <v>97.578768404502398</v>
      </c>
      <c r="AI74" s="528">
        <f>IF(M74="","",DEGREES(-ACOS(-AF74)))</f>
        <v>-77.353925929778541</v>
      </c>
      <c r="AJ74" s="529">
        <f>IF(M74="","",DEGREES(ATAN2(-AE74,AD74)))</f>
        <v>-172.23165874652915</v>
      </c>
      <c r="AK74" s="578">
        <f>IF(M74="","",(COS(RADIANS((90-$Q$8)-W74))*AD74)+(-SIN(RADIANS((90-$Q$8)-W74))*AE74))</f>
        <v>0.91493680605790639</v>
      </c>
      <c r="AL74" s="572">
        <f>IF(M74="","",(SIN(RADIANS((90-$Q$8)-W74))*AD74)+(COS(RADIANS((90-$Q$8)-W74))*AE74))</f>
        <v>-0.33905927835445893</v>
      </c>
      <c r="AM74" s="577">
        <f>IF(M74="","",AF74)</f>
        <v>-0.21892794860937828</v>
      </c>
      <c r="AN74" s="524">
        <f>IF(M74="","",DEGREES(ATAN2(-AM74,AL74)))</f>
        <v>-57.149982620263913</v>
      </c>
      <c r="AO74" s="525">
        <f t="shared" si="525"/>
        <v>23.803245732477407</v>
      </c>
      <c r="AP74" s="528">
        <f>IF(M74="","",DEGREES(ATAN2(AK74,AL74)))</f>
        <v>-20.333808104480187</v>
      </c>
      <c r="AQ74" s="529">
        <f t="shared" si="533"/>
        <v>0.19233208523534745</v>
      </c>
      <c r="AS74" s="932">
        <f t="shared" si="461"/>
        <v>118.53504020382201</v>
      </c>
      <c r="AT74" s="928">
        <f t="shared" si="534"/>
        <v>-1.0523565966873016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6"/>
        <v>5.1310000000000002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596"/>
        <v>1613</v>
      </c>
      <c r="IM74" s="482" t="str">
        <f t="shared" si="237"/>
        <v/>
      </c>
      <c r="IN74" s="670" t="str">
        <f t="shared" si="597"/>
        <v/>
      </c>
      <c r="IO74" s="702"/>
      <c r="IP74" s="5" t="str">
        <f t="shared" si="598"/>
        <v/>
      </c>
      <c r="IQ74" s="714"/>
      <c r="IR74" s="9" t="str">
        <f t="shared" si="599"/>
        <v/>
      </c>
      <c r="IS74" s="5" t="str">
        <f t="shared" si="600"/>
        <v/>
      </c>
      <c r="IT74" s="5" t="str">
        <f t="shared" si="601"/>
        <v/>
      </c>
      <c r="IU74" s="5" t="str">
        <f t="shared" si="602"/>
        <v/>
      </c>
      <c r="IV74" s="670" t="str">
        <f t="shared" si="603"/>
        <v/>
      </c>
      <c r="IW74" s="9" t="str">
        <f t="shared" si="604"/>
        <v/>
      </c>
      <c r="IX74" s="5" t="str">
        <f t="shared" si="605"/>
        <v/>
      </c>
      <c r="IY74" s="5" t="str">
        <f t="shared" si="606"/>
        <v/>
      </c>
      <c r="IZ74" s="5" t="str">
        <f t="shared" si="607"/>
        <v/>
      </c>
      <c r="JA74" s="705" t="str">
        <f t="shared" si="608"/>
        <v/>
      </c>
    </row>
    <row r="75" spans="1:261" ht="15" customHeight="1" x14ac:dyDescent="0.25">
      <c r="A75" s="75">
        <f t="shared" si="256"/>
        <v>0.02</v>
      </c>
      <c r="B75" s="578">
        <f t="shared" si="515"/>
        <v>-4.4259169683982016</v>
      </c>
      <c r="C75" s="572">
        <f t="shared" si="516"/>
        <v>-2.3254879791312497</v>
      </c>
      <c r="D75" s="576">
        <f t="shared" si="517"/>
        <v>-1.8396121131321506</v>
      </c>
      <c r="E75" s="580">
        <f t="shared" si="518"/>
        <v>1.1564149540854851E-2</v>
      </c>
      <c r="F75" s="572">
        <f t="shared" si="519"/>
        <v>-0.99329221137281176</v>
      </c>
      <c r="G75" s="579">
        <f t="shared" si="520"/>
        <v>0.11505152442061059</v>
      </c>
      <c r="H75" s="580">
        <f t="shared" si="521"/>
        <v>0.3125</v>
      </c>
      <c r="I75" s="572">
        <f t="shared" si="522"/>
        <v>0.52</v>
      </c>
      <c r="J75" s="483">
        <f t="shared" si="523"/>
        <v>5.1369999999999996</v>
      </c>
      <c r="K75" s="806">
        <f t="shared" si="524"/>
        <v>1613</v>
      </c>
      <c r="L75" s="309"/>
      <c r="M75" s="164">
        <f t="shared" si="526"/>
        <v>5.1369999999999996</v>
      </c>
      <c r="N75" s="575">
        <f t="shared" si="527"/>
        <v>-4.4259169683982016</v>
      </c>
      <c r="O75" s="572">
        <f t="shared" si="528"/>
        <v>-2.3254879791312497</v>
      </c>
      <c r="P75" s="576">
        <f t="shared" si="529"/>
        <v>-1.8396121131321506</v>
      </c>
      <c r="Q75" s="528">
        <f t="shared" si="609"/>
        <v>207.71856434528394</v>
      </c>
      <c r="R75" s="572">
        <f>IF(M75="","",SQRT(N75^2+O75^2))</f>
        <v>4.9996635239022913</v>
      </c>
      <c r="S75" s="577">
        <f>IF(M75="","",P75)</f>
        <v>-1.8396121131321506</v>
      </c>
      <c r="T75" s="578">
        <f>IF(M75="","",X75*COS(RADIANS(W75)))</f>
        <v>-2.3588607304397757</v>
      </c>
      <c r="U75" s="572">
        <f>IF(M75="","",X75*SIN(RADIANS(W75)))</f>
        <v>4.4082208890467598</v>
      </c>
      <c r="V75" s="579">
        <f>IF(M75="","",Y75)</f>
        <v>-1.8396121131321506</v>
      </c>
      <c r="W75" s="528">
        <f t="shared" si="253"/>
        <v>118.15145519115492</v>
      </c>
      <c r="X75" s="572">
        <f>IF(M75="","",R75)</f>
        <v>4.9996635239022913</v>
      </c>
      <c r="Y75" s="573">
        <f t="shared" si="255"/>
        <v>-1.8396121131321506</v>
      </c>
      <c r="Z75" s="575">
        <f t="shared" si="530"/>
        <v>-1.1564149540854851E-2</v>
      </c>
      <c r="AA75" s="572">
        <f t="shared" si="531"/>
        <v>0.99329221137281176</v>
      </c>
      <c r="AB75" s="572">
        <f t="shared" si="532"/>
        <v>-0.11505152442061059</v>
      </c>
      <c r="AC75" s="579">
        <f>IF(M75="","",SQRT(Z75^2+AA75^2+AB75^2))</f>
        <v>1</v>
      </c>
      <c r="AD75" s="580">
        <f>IF(M75="","",Z75*(1/SQRT(Z75^2+AA75^2+AB75^2)))</f>
        <v>-1.1564149540854851E-2</v>
      </c>
      <c r="AE75" s="572">
        <f>IF(M75="","",AA75*(1/SQRT(Z75^2+AA75^2+AB75^2)))</f>
        <v>0.99329221137281176</v>
      </c>
      <c r="AF75" s="576">
        <f>IF(M75="","",AB75*(1/SQRT(Z75^2+AA75^2+AB75^2)))</f>
        <v>-0.11505152442061059</v>
      </c>
      <c r="AG75" s="545">
        <f>IF(M75="","",DEGREES(ATAN2(-AF75,AE75)))</f>
        <v>83.392959332156309</v>
      </c>
      <c r="AH75" s="546">
        <f>IF(M75="","",DEGREES(ACOS(AD75)))</f>
        <v>90.662591730924916</v>
      </c>
      <c r="AI75" s="528">
        <f>IF(M75="","",DEGREES(-ACOS(-AF75)))</f>
        <v>-83.393403093744979</v>
      </c>
      <c r="AJ75" s="529">
        <f>IF(M75="","",DEGREES(ATAN2(-AE75,AD75)))</f>
        <v>-179.33297873317977</v>
      </c>
      <c r="AK75" s="578">
        <f>IF(M75="","",(COS(RADIANS((90-$Q$8)-W75))*AD75)+(-SIN(RADIANS((90-$Q$8)-W75))*AE75))</f>
        <v>0.88468376371587143</v>
      </c>
      <c r="AL75" s="572">
        <f>IF(M75="","",(SIN(RADIANS((90-$Q$8)-W75))*AD75)+(COS(RADIANS((90-$Q$8)-W75))*AE75))</f>
        <v>-0.45177182841121682</v>
      </c>
      <c r="AM75" s="577">
        <f>IF(M75="","",AF75)</f>
        <v>-0.11505152442061059</v>
      </c>
      <c r="AN75" s="524">
        <f>IF(M75="","",DEGREES(ATAN2(-AM75,AL75)))</f>
        <v>-75.712346529077777</v>
      </c>
      <c r="AO75" s="525">
        <f t="shared" si="525"/>
        <v>27.787369752383814</v>
      </c>
      <c r="AP75" s="528">
        <f>IF(M75="","",DEGREES(ATAN2(AK75,AL75)))</f>
        <v>-27.051543078463716</v>
      </c>
      <c r="AQ75" s="529">
        <f t="shared" si="533"/>
        <v>0.18238978847896561</v>
      </c>
      <c r="AS75" s="932">
        <f t="shared" ref="AS75:AS106" si="632">IF(G75="","",IF(AND(W75&lt;(AS74+180),W75&gt;(AS74-180)),W75,IF(W75&gt;(AS74+180),W75-360,IF(W75&lt;(AS74-180),W75+360,"Error"))))</f>
        <v>118.15145519115492</v>
      </c>
      <c r="AT75" s="928">
        <f t="shared" si="534"/>
        <v>-1.7731768779668484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1">$M75</f>
        <v>5.1369999999999996</v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>
        <f t="shared" si="596"/>
        <v>1613</v>
      </c>
      <c r="IM75" s="482" t="str">
        <f t="shared" ref="IM75:IM138" si="732">IF(ISNUMBER($IK75),INDEX($K$9:$K$150,MATCH($II75,$M$9:$M$150,0)),"")</f>
        <v/>
      </c>
      <c r="IN75" s="670" t="str">
        <f t="shared" si="597"/>
        <v/>
      </c>
      <c r="IO75" s="702"/>
      <c r="IP75" s="5" t="str">
        <f t="shared" si="598"/>
        <v/>
      </c>
      <c r="IQ75" s="714"/>
      <c r="IR75" s="9" t="str">
        <f t="shared" si="599"/>
        <v/>
      </c>
      <c r="IS75" s="5" t="str">
        <f t="shared" si="600"/>
        <v/>
      </c>
      <c r="IT75" s="5" t="str">
        <f t="shared" si="601"/>
        <v/>
      </c>
      <c r="IU75" s="5" t="str">
        <f t="shared" si="602"/>
        <v/>
      </c>
      <c r="IV75" s="670" t="str">
        <f t="shared" si="603"/>
        <v/>
      </c>
      <c r="IW75" s="9" t="str">
        <f t="shared" si="604"/>
        <v/>
      </c>
      <c r="IX75" s="5" t="str">
        <f t="shared" si="605"/>
        <v/>
      </c>
      <c r="IY75" s="5" t="str">
        <f t="shared" si="606"/>
        <v/>
      </c>
      <c r="IZ75" s="5" t="str">
        <f t="shared" si="607"/>
        <v/>
      </c>
      <c r="JA75" s="705" t="str">
        <f t="shared" si="608"/>
        <v/>
      </c>
    </row>
    <row r="76" spans="1:261" ht="15" customHeight="1" x14ac:dyDescent="0.25">
      <c r="A76" s="75">
        <f t="shared" si="256"/>
        <v>0.02</v>
      </c>
      <c r="B76" s="578">
        <f t="shared" si="515"/>
        <v>-4.4517532842501044</v>
      </c>
      <c r="C76" s="572">
        <f t="shared" si="516"/>
        <v>-2.3350936968583142</v>
      </c>
      <c r="D76" s="576">
        <f t="shared" si="517"/>
        <v>-2.5995867293624815</v>
      </c>
      <c r="E76" s="580">
        <f t="shared" si="518"/>
        <v>-3.5047308895518089E-2</v>
      </c>
      <c r="F76" s="572">
        <f t="shared" si="519"/>
        <v>-0.99843620164383573</v>
      </c>
      <c r="G76" s="579">
        <f t="shared" si="520"/>
        <v>4.3552696658323176E-2</v>
      </c>
      <c r="H76" s="580">
        <f t="shared" si="521"/>
        <v>0.3125</v>
      </c>
      <c r="I76" s="572">
        <f t="shared" si="522"/>
        <v>0.52</v>
      </c>
      <c r="J76" s="483">
        <f t="shared" si="523"/>
        <v>5.1429999999999998</v>
      </c>
      <c r="K76" s="806">
        <f t="shared" si="524"/>
        <v>1613</v>
      </c>
      <c r="L76" s="309"/>
      <c r="M76" s="164">
        <f t="shared" si="526"/>
        <v>5.1429999999999998</v>
      </c>
      <c r="N76" s="575">
        <f t="shared" si="527"/>
        <v>-4.4517532842501044</v>
      </c>
      <c r="O76" s="572">
        <f t="shared" si="528"/>
        <v>-2.3350936968583142</v>
      </c>
      <c r="P76" s="576">
        <f t="shared" si="529"/>
        <v>-2.5995867293624815</v>
      </c>
      <c r="Q76" s="528">
        <f t="shared" si="609"/>
        <v>207.67851519401725</v>
      </c>
      <c r="R76" s="572">
        <f t="shared" si="101"/>
        <v>5.0270040657372679</v>
      </c>
      <c r="S76" s="577">
        <f t="shared" si="102"/>
        <v>-2.5995867293624815</v>
      </c>
      <c r="T76" s="578">
        <f t="shared" si="103"/>
        <v>-2.3686613750866332</v>
      </c>
      <c r="U76" s="572">
        <f t="shared" si="104"/>
        <v>4.4339838934204217</v>
      </c>
      <c r="V76" s="579">
        <f t="shared" si="141"/>
        <v>-2.5995867293624815</v>
      </c>
      <c r="W76" s="528">
        <f t="shared" si="253"/>
        <v>118.11140603988824</v>
      </c>
      <c r="X76" s="572">
        <f t="shared" si="105"/>
        <v>5.0270040657372679</v>
      </c>
      <c r="Y76" s="573">
        <f t="shared" ref="Y76:Y129" si="733">IF(M76="","",S76)</f>
        <v>-2.5995867293624815</v>
      </c>
      <c r="Z76" s="575">
        <f t="shared" si="530"/>
        <v>3.5047308895518089E-2</v>
      </c>
      <c r="AA76" s="572">
        <f t="shared" si="531"/>
        <v>0.99843620164383573</v>
      </c>
      <c r="AB76" s="572">
        <f t="shared" si="532"/>
        <v>-4.3552696658323176E-2</v>
      </c>
      <c r="AC76" s="579">
        <f t="shared" si="106"/>
        <v>1</v>
      </c>
      <c r="AD76" s="580">
        <f t="shared" si="142"/>
        <v>3.5047308895518089E-2</v>
      </c>
      <c r="AE76" s="572">
        <f t="shared" si="107"/>
        <v>0.99843620164383573</v>
      </c>
      <c r="AF76" s="576">
        <f t="shared" si="108"/>
        <v>-4.3552696658323176E-2</v>
      </c>
      <c r="AG76" s="545">
        <f t="shared" si="109"/>
        <v>87.50228930123923</v>
      </c>
      <c r="AH76" s="546">
        <f t="shared" si="110"/>
        <v>87.991525801024849</v>
      </c>
      <c r="AI76" s="528">
        <f t="shared" si="111"/>
        <v>-87.50382473077525</v>
      </c>
      <c r="AJ76" s="529">
        <f t="shared" si="112"/>
        <v>177.98961742947304</v>
      </c>
      <c r="AK76" s="578">
        <f t="shared" si="238"/>
        <v>0.86790319495166313</v>
      </c>
      <c r="AL76" s="572">
        <f t="shared" si="113"/>
        <v>-0.49482037832579556</v>
      </c>
      <c r="AM76" s="577">
        <f t="shared" si="114"/>
        <v>-4.3552696658323176E-2</v>
      </c>
      <c r="AN76" s="524">
        <f t="shared" si="115"/>
        <v>-84.969949372155952</v>
      </c>
      <c r="AO76" s="525">
        <f t="shared" si="525"/>
        <v>29.784116024848295</v>
      </c>
      <c r="AP76" s="528">
        <f t="shared" si="117"/>
        <v>-29.688897764544208</v>
      </c>
      <c r="AQ76" s="529">
        <f t="shared" si="533"/>
        <v>0.18139782544022387</v>
      </c>
      <c r="AS76" s="932">
        <f t="shared" si="632"/>
        <v>118.11140603988824</v>
      </c>
      <c r="AT76" s="928">
        <f t="shared" si="534"/>
        <v>-2.5331403694329384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1"/>
        <v>5.1429999999999998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596"/>
        <v>1613</v>
      </c>
      <c r="IM76" s="482" t="str">
        <f t="shared" si="732"/>
        <v/>
      </c>
      <c r="IN76" s="670" t="str">
        <f t="shared" si="597"/>
        <v/>
      </c>
      <c r="IO76" s="702"/>
      <c r="IP76" s="5" t="str">
        <f t="shared" si="598"/>
        <v/>
      </c>
      <c r="IQ76" s="714"/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>
        <f t="shared" si="256"/>
        <v>0.02</v>
      </c>
      <c r="B77" s="578">
        <f t="shared" si="515"/>
        <v>-4.47960835792518</v>
      </c>
      <c r="C77" s="572">
        <f t="shared" si="516"/>
        <v>-2.342441390382787</v>
      </c>
      <c r="D77" s="576">
        <f t="shared" si="517"/>
        <v>-3.3510912624309905</v>
      </c>
      <c r="E77" s="580">
        <f t="shared" si="518"/>
        <v>-3.6336802866364419E-2</v>
      </c>
      <c r="F77" s="572">
        <f t="shared" si="519"/>
        <v>-0.99839010380273652</v>
      </c>
      <c r="G77" s="579">
        <f t="shared" si="520"/>
        <v>4.355269665832296E-2</v>
      </c>
      <c r="H77" s="580">
        <f t="shared" si="521"/>
        <v>0.3125</v>
      </c>
      <c r="I77" s="572">
        <f t="shared" si="522"/>
        <v>0.52</v>
      </c>
      <c r="J77" s="483">
        <f t="shared" si="523"/>
        <v>5.149</v>
      </c>
      <c r="K77" s="806">
        <f t="shared" si="524"/>
        <v>1613</v>
      </c>
      <c r="L77" s="309"/>
      <c r="M77" s="164">
        <f t="shared" si="526"/>
        <v>5.149</v>
      </c>
      <c r="N77" s="575">
        <f t="shared" si="527"/>
        <v>-4.47960835792518</v>
      </c>
      <c r="O77" s="572">
        <f t="shared" si="528"/>
        <v>-2.342441390382787</v>
      </c>
      <c r="P77" s="576">
        <f t="shared" si="529"/>
        <v>-3.3510912624309905</v>
      </c>
      <c r="Q77" s="528">
        <f t="shared" si="609"/>
        <v>207.60561220359014</v>
      </c>
      <c r="R77" s="572">
        <f t="shared" si="101"/>
        <v>5.0550887932628417</v>
      </c>
      <c r="S77" s="577">
        <f t="shared" si="102"/>
        <v>-3.3510912624309905</v>
      </c>
      <c r="T77" s="578">
        <f t="shared" si="103"/>
        <v>-2.3762193122970143</v>
      </c>
      <c r="U77" s="572">
        <f t="shared" si="104"/>
        <v>4.461782658045804</v>
      </c>
      <c r="V77" s="579">
        <f t="shared" si="141"/>
        <v>-3.3510912624309905</v>
      </c>
      <c r="W77" s="528">
        <f t="shared" si="253"/>
        <v>118.03850304946113</v>
      </c>
      <c r="X77" s="572">
        <f t="shared" si="105"/>
        <v>5.0550887932628417</v>
      </c>
      <c r="Y77" s="573">
        <f t="shared" si="733"/>
        <v>-3.3510912624309905</v>
      </c>
      <c r="Z77" s="575">
        <f t="shared" si="530"/>
        <v>3.6336802866364419E-2</v>
      </c>
      <c r="AA77" s="572">
        <f t="shared" si="531"/>
        <v>0.99839010380273652</v>
      </c>
      <c r="AB77" s="572">
        <f t="shared" si="532"/>
        <v>-4.355269665832296E-2</v>
      </c>
      <c r="AC77" s="579">
        <f t="shared" si="106"/>
        <v>1</v>
      </c>
      <c r="AD77" s="580">
        <f t="shared" si="142"/>
        <v>3.6336802866364419E-2</v>
      </c>
      <c r="AE77" s="572">
        <f t="shared" si="107"/>
        <v>0.99839010380273652</v>
      </c>
      <c r="AF77" s="576">
        <f t="shared" si="108"/>
        <v>-4.355269665832296E-2</v>
      </c>
      <c r="AG77" s="545">
        <f t="shared" si="109"/>
        <v>87.502174122568803</v>
      </c>
      <c r="AH77" s="546">
        <f t="shared" si="110"/>
        <v>87.917596128286107</v>
      </c>
      <c r="AI77" s="528">
        <f t="shared" si="111"/>
        <v>-87.50382473077525</v>
      </c>
      <c r="AJ77" s="529">
        <f t="shared" si="112"/>
        <v>177.91561745084161</v>
      </c>
      <c r="AK77" s="578">
        <f t="shared" si="238"/>
        <v>0.8678937209339056</v>
      </c>
      <c r="AL77" s="572">
        <f t="shared" si="113"/>
        <v>-0.49483699515829233</v>
      </c>
      <c r="AM77" s="577">
        <f t="shared" si="114"/>
        <v>-4.355269665832296E-2</v>
      </c>
      <c r="AN77" s="524">
        <f t="shared" si="115"/>
        <v>-84.97011741683842</v>
      </c>
      <c r="AO77" s="525">
        <f t="shared" si="525"/>
        <v>29.785208788526919</v>
      </c>
      <c r="AP77" s="528">
        <f t="shared" si="117"/>
        <v>-29.689994752748536</v>
      </c>
      <c r="AQ77" s="529">
        <f t="shared" si="533"/>
        <v>0.1803900340937914</v>
      </c>
      <c r="AS77" s="932">
        <f t="shared" si="632"/>
        <v>118.03850304946113</v>
      </c>
      <c r="AT77" s="928">
        <f t="shared" si="534"/>
        <v>-3.2846246516707733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731"/>
        <v>5.149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596"/>
        <v>1613</v>
      </c>
      <c r="IM77" s="482" t="str">
        <f t="shared" si="732"/>
        <v/>
      </c>
      <c r="IN77" s="670" t="str">
        <f t="shared" si="597"/>
        <v/>
      </c>
      <c r="IO77" s="702"/>
      <c r="IP77" s="5" t="str">
        <f t="shared" si="598"/>
        <v/>
      </c>
      <c r="IQ77" s="714"/>
      <c r="IR77" s="9" t="str">
        <f t="shared" si="599"/>
        <v/>
      </c>
      <c r="IS77" s="5" t="str">
        <f t="shared" si="600"/>
        <v/>
      </c>
      <c r="IT77" s="5" t="str">
        <f t="shared" si="601"/>
        <v/>
      </c>
      <c r="IU77" s="5" t="str">
        <f t="shared" si="602"/>
        <v/>
      </c>
      <c r="IV77" s="670" t="str">
        <f t="shared" si="603"/>
        <v/>
      </c>
      <c r="IW77" s="9" t="str">
        <f t="shared" si="604"/>
        <v/>
      </c>
      <c r="IX77" s="5" t="str">
        <f t="shared" si="605"/>
        <v/>
      </c>
      <c r="IY77" s="5" t="str">
        <f t="shared" si="606"/>
        <v/>
      </c>
      <c r="IZ77" s="5" t="str">
        <f t="shared" si="607"/>
        <v/>
      </c>
      <c r="JA77" s="705" t="str">
        <f t="shared" si="608"/>
        <v/>
      </c>
    </row>
    <row r="78" spans="1:261" ht="15" customHeight="1" x14ac:dyDescent="0.25">
      <c r="A78" s="75">
        <f t="shared" si="256"/>
        <v>0</v>
      </c>
      <c r="B78" s="578">
        <f t="shared" si="515"/>
        <v>-3.4819888164023145</v>
      </c>
      <c r="C78" s="572">
        <f t="shared" si="516"/>
        <v>-0.77986556115357386</v>
      </c>
      <c r="D78" s="576">
        <f t="shared" si="517"/>
        <v>-0.20246261363798021</v>
      </c>
      <c r="E78" s="580">
        <f t="shared" si="518"/>
        <v>-0.21951266652936532</v>
      </c>
      <c r="F78" s="572">
        <f t="shared" si="519"/>
        <v>-4.916453724860597E-2</v>
      </c>
      <c r="G78" s="579">
        <f t="shared" si="520"/>
        <v>0.97437007215446547</v>
      </c>
      <c r="H78" s="580">
        <f t="shared" si="521"/>
        <v>0.255</v>
      </c>
      <c r="I78" s="572">
        <f t="shared" si="522"/>
        <v>0.41499999999999992</v>
      </c>
      <c r="J78" s="483">
        <f t="shared" si="523"/>
        <v>5.2190000000000003</v>
      </c>
      <c r="K78" s="806" t="str">
        <f t="shared" si="524"/>
        <v>CPS-32193r1</v>
      </c>
      <c r="L78" s="309"/>
      <c r="M78" s="164">
        <f t="shared" si="526"/>
        <v>5.2190000000000003</v>
      </c>
      <c r="N78" s="575">
        <f t="shared" si="527"/>
        <v>-3.4819888164023145</v>
      </c>
      <c r="O78" s="572">
        <f t="shared" si="528"/>
        <v>-0.77986556115357386</v>
      </c>
      <c r="P78" s="576">
        <f t="shared" si="529"/>
        <v>-0.20246261363798021</v>
      </c>
      <c r="Q78" s="528">
        <f t="shared" si="609"/>
        <v>192.62427103709203</v>
      </c>
      <c r="R78" s="572">
        <f>IF(M78="","",SQRT(N78^2+O78^2))</f>
        <v>3.5682539723265454</v>
      </c>
      <c r="S78" s="577">
        <f>IF(M78="","",P78)</f>
        <v>-0.20246261363798021</v>
      </c>
      <c r="T78" s="578">
        <f>IF(M78="","",X78*COS(RADIANS(W78)))</f>
        <v>-0.80615076799517826</v>
      </c>
      <c r="U78" s="572">
        <f>IF(M78="","",X78*SIN(RADIANS(W78)))</f>
        <v>3.4759973173587109</v>
      </c>
      <c r="V78" s="579">
        <f>IF(M78="","",Y78)</f>
        <v>-0.20246261363798021</v>
      </c>
      <c r="W78" s="528">
        <f t="shared" si="253"/>
        <v>103.05716188296302</v>
      </c>
      <c r="X78" s="572">
        <f>IF(M78="","",R78)</f>
        <v>3.5682539723265454</v>
      </c>
      <c r="Y78" s="573">
        <f t="shared" si="733"/>
        <v>-0.20246261363798021</v>
      </c>
      <c r="Z78" s="575">
        <f t="shared" si="530"/>
        <v>0.21951266652936532</v>
      </c>
      <c r="AA78" s="572">
        <f t="shared" si="531"/>
        <v>4.916453724860597E-2</v>
      </c>
      <c r="AB78" s="572">
        <f t="shared" si="532"/>
        <v>-0.97437007215446547</v>
      </c>
      <c r="AC78" s="579">
        <f>IF(M78="","",SQRT(Z78^2+AA78^2+AB78^2))</f>
        <v>1</v>
      </c>
      <c r="AD78" s="580">
        <f>IF(M78="","",Z78*(1/SQRT(Z78^2+AA78^2+AB78^2)))</f>
        <v>0.21951266652936532</v>
      </c>
      <c r="AE78" s="572">
        <f>IF(M78="","",AA78*(1/SQRT(Z78^2+AA78^2+AB78^2)))</f>
        <v>4.916453724860597E-2</v>
      </c>
      <c r="AF78" s="576">
        <f>IF(M78="","",AB78*(1/SQRT(Z78^2+AA78^2+AB78^2)))</f>
        <v>-0.97437007215446547</v>
      </c>
      <c r="AG78" s="545">
        <f>IF(M78="","",DEGREES(ATAN2(-AF78,AE78)))</f>
        <v>2.888567288976891</v>
      </c>
      <c r="AH78" s="546">
        <f>IF(M78="","",DEGREES(ACOS(AD78)))</f>
        <v>77.319588823282032</v>
      </c>
      <c r="AI78" s="528">
        <f>IF(M78="","",DEGREES(-ACOS(-AF78)))</f>
        <v>-12.999998123032478</v>
      </c>
      <c r="AJ78" s="529">
        <f>IF(M78="","",DEGREES(ATAN2(-AE78,AD78)))</f>
        <v>102.62427103709203</v>
      </c>
      <c r="AK78" s="578">
        <f>IF(M78="","",(COS(RADIANS((90-$Q$8)-W78))*AD78)+(-SIN(RADIANS((90-$Q$8)-W78))*AE78))</f>
        <v>4.163336342344337E-17</v>
      </c>
      <c r="AL78" s="572">
        <f>IF(M78="","",(SIN(RADIANS((90-$Q$8)-W78))*AD78)+(COS(RADIANS((90-$Q$8)-W78))*AE78))</f>
        <v>-0.22495102242421997</v>
      </c>
      <c r="AM78" s="577">
        <f>IF(M78="","",AF78)</f>
        <v>-0.97437007215446547</v>
      </c>
      <c r="AN78" s="524">
        <f>IF(M78="","",DEGREES(ATAN2(-AM78,AL78)))</f>
        <v>-12.999998123032507</v>
      </c>
      <c r="AO78" s="525">
        <f t="shared" si="525"/>
        <v>0</v>
      </c>
      <c r="AP78" s="528">
        <f>IF(M78="","",DEGREES(ATAN2(AK78,AL78)))</f>
        <v>-89.999999999999986</v>
      </c>
      <c r="AQ78" s="529">
        <f t="shared" si="533"/>
        <v>0.25555484917330878</v>
      </c>
      <c r="AS78" s="932">
        <f t="shared" si="632"/>
        <v>103.05716188296302</v>
      </c>
      <c r="AT78" s="928">
        <f t="shared" si="534"/>
        <v>-0.13183451922040254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>Nose</v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1"/>
        <v>5.2190000000000003</v>
      </c>
      <c r="IJ78" s="674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5.1189999999999998</v>
      </c>
      <c r="IK78" s="677" cm="1">
        <f t="array" ref="IK78">IFERROR(ROUND(VALUE(IF($IJ78&lt;1,$IJ78+LARGE((IF($M$9:$M$150="",0,$M$9:$M$150)-MOD(IF($M$9:$M$150="",0,$M$9:$M$150),1)),1),$IJ78)),4),"")</f>
        <v>5.1189999999999998</v>
      </c>
      <c r="IL78" s="482">
        <f t="shared" si="596"/>
        <v>1613</v>
      </c>
      <c r="IM78" s="482" t="str">
        <f t="shared" si="732"/>
        <v>CPS-32193r1</v>
      </c>
      <c r="IN78" s="670">
        <f t="shared" si="597"/>
        <v>16.787136461147497</v>
      </c>
      <c r="IO78" s="702">
        <v>6.3871201150599702E-2</v>
      </c>
      <c r="IP78" s="5">
        <f t="shared" si="598"/>
        <v>1.68</v>
      </c>
      <c r="IQ78" s="714">
        <v>840</v>
      </c>
      <c r="IR78" s="9">
        <f t="shared" si="599"/>
        <v>-3.5699296323723511</v>
      </c>
      <c r="IS78" s="5">
        <f t="shared" si="600"/>
        <v>-0.16965972071838162</v>
      </c>
      <c r="IT78" s="5">
        <f t="shared" si="601"/>
        <v>0.3125</v>
      </c>
      <c r="IU78" s="5">
        <f t="shared" si="602"/>
        <v>0.30055347981194241</v>
      </c>
      <c r="IV78" s="670">
        <f t="shared" si="603"/>
        <v>19.63131247542724</v>
      </c>
      <c r="IW78" s="9">
        <f t="shared" si="604"/>
        <v>-3.5682539723265454</v>
      </c>
      <c r="IX78" s="5">
        <f t="shared" si="605"/>
        <v>-0.20246261363798021</v>
      </c>
      <c r="IY78" s="5">
        <f t="shared" si="606"/>
        <v>0.255</v>
      </c>
      <c r="IZ78" s="5">
        <f t="shared" si="607"/>
        <v>0.255</v>
      </c>
      <c r="JA78" s="705">
        <f t="shared" si="608"/>
        <v>12.999998123032507</v>
      </c>
    </row>
    <row r="79" spans="1:261" ht="15" customHeight="1" x14ac:dyDescent="0.25">
      <c r="A79" s="75">
        <f t="shared" si="256"/>
        <v>0.02</v>
      </c>
      <c r="B79" s="578">
        <f t="shared" si="515"/>
        <v>-4.0616870476615974</v>
      </c>
      <c r="C79" s="572">
        <f t="shared" si="516"/>
        <v>-1.2780944075214868</v>
      </c>
      <c r="D79" s="576">
        <f t="shared" si="517"/>
        <v>-0.53676245296952885</v>
      </c>
      <c r="E79" s="580">
        <f t="shared" si="518"/>
        <v>2.2248094992542766E-2</v>
      </c>
      <c r="F79" s="572">
        <f t="shared" si="519"/>
        <v>-0.94433964618443711</v>
      </c>
      <c r="G79" s="579">
        <f t="shared" si="520"/>
        <v>0.32821891309529228</v>
      </c>
      <c r="H79" s="580">
        <f t="shared" si="521"/>
        <v>0.26450000000000001</v>
      </c>
      <c r="I79" s="572">
        <f t="shared" si="522"/>
        <v>0.52</v>
      </c>
      <c r="J79" s="483">
        <f t="shared" si="523"/>
        <v>5.2249999999999996</v>
      </c>
      <c r="K79" s="806">
        <f t="shared" si="524"/>
        <v>1313</v>
      </c>
      <c r="L79" s="309"/>
      <c r="M79" s="164">
        <f t="shared" si="526"/>
        <v>5.2249999999999996</v>
      </c>
      <c r="N79" s="575">
        <f t="shared" si="527"/>
        <v>-4.0616870476615974</v>
      </c>
      <c r="O79" s="572">
        <f t="shared" si="528"/>
        <v>-1.2780944075214868</v>
      </c>
      <c r="P79" s="576">
        <f t="shared" si="529"/>
        <v>-0.53676245296952885</v>
      </c>
      <c r="Q79" s="528">
        <f t="shared" si="609"/>
        <v>197.46726776911402</v>
      </c>
      <c r="R79" s="572">
        <f>IF(M79="","",SQRT(N79^2+O79^2))</f>
        <v>4.258030881484971</v>
      </c>
      <c r="S79" s="577">
        <f>IF(M79="","",P79)</f>
        <v>-0.53676245296952885</v>
      </c>
      <c r="T79" s="578">
        <f>IF(M79="","",X79*COS(RADIANS(W79)))</f>
        <v>-1.3087451873586426</v>
      </c>
      <c r="U79" s="572">
        <f>IF(M79="","",X79*SIN(RADIANS(W79)))</f>
        <v>4.0519147353128337</v>
      </c>
      <c r="V79" s="579">
        <f>IF(M79="","",Y79)</f>
        <v>-0.53676245296952885</v>
      </c>
      <c r="W79" s="528">
        <f t="shared" ref="W79:W129" si="735">IF(M79="","",IF(Q79-$Q$8&lt;0,360+Q79-$Q$8,Q79-$Q$8))</f>
        <v>107.900158614985</v>
      </c>
      <c r="X79" s="572">
        <f>IF(M79="","",R79)</f>
        <v>4.258030881484971</v>
      </c>
      <c r="Y79" s="573">
        <f t="shared" si="733"/>
        <v>-0.53676245296952885</v>
      </c>
      <c r="Z79" s="575">
        <f t="shared" si="530"/>
        <v>-2.2248094992542766E-2</v>
      </c>
      <c r="AA79" s="572">
        <f t="shared" si="531"/>
        <v>0.94433964618443711</v>
      </c>
      <c r="AB79" s="572">
        <f t="shared" si="532"/>
        <v>-0.32821891309529228</v>
      </c>
      <c r="AC79" s="579">
        <f>IF(M79="","",SQRT(Z79^2+AA79^2+AB79^2))</f>
        <v>1</v>
      </c>
      <c r="AD79" s="580">
        <f>IF(M79="","",Z79*(1/SQRT(Z79^2+AA79^2+AB79^2)))</f>
        <v>-2.2248094992542766E-2</v>
      </c>
      <c r="AE79" s="572">
        <f>IF(M79="","",AA79*(1/SQRT(Z79^2+AA79^2+AB79^2)))</f>
        <v>0.94433964618443711</v>
      </c>
      <c r="AF79" s="576">
        <f>IF(M79="","",AB79*(1/SQRT(Z79^2+AA79^2+AB79^2)))</f>
        <v>-0.32821891309529228</v>
      </c>
      <c r="AG79" s="545">
        <f>IF(M79="","",DEGREES(ATAN2(-AF79,AE79)))</f>
        <v>70.834364606113979</v>
      </c>
      <c r="AH79" s="546">
        <f>IF(M79="","",DEGREES(ACOS(AD79)))</f>
        <v>91.274827128538348</v>
      </c>
      <c r="AI79" s="528">
        <f>IF(M79="","",DEGREES(-ACOS(-AF79)))</f>
        <v>-70.839293630154359</v>
      </c>
      <c r="AJ79" s="529">
        <f>IF(M79="","",DEGREES(ATAN2(-AE79,AD79)))</f>
        <v>-178.65039428800301</v>
      </c>
      <c r="AK79" s="578">
        <f>IF(M79="","",(COS(RADIANS((90-$Q$8)-W79))*AD79)+(-SIN(RADIANS((90-$Q$8)-W79))*AE79))</f>
        <v>0.90747281615324227</v>
      </c>
      <c r="AL79" s="572">
        <f>IF(M79="","",(SIN(RADIANS((90-$Q$8)-W79))*AD79)+(COS(RADIANS((90-$Q$8)-W79))*AE79))</f>
        <v>-0.26223164002356569</v>
      </c>
      <c r="AM79" s="577">
        <f>IF(M79="","",AF79)</f>
        <v>-0.32821891309529228</v>
      </c>
      <c r="AN79" s="524">
        <f>IF(M79="","",DEGREES(ATAN2(-AM79,AL79)))</f>
        <v>-38.623227592362632</v>
      </c>
      <c r="AO79" s="525">
        <f t="shared" si="525"/>
        <v>24.841583228699903</v>
      </c>
      <c r="AP79" s="528">
        <f>IF(M79="","",DEGREES(ATAN2(AK79,AL79)))</f>
        <v>-16.117662057117023</v>
      </c>
      <c r="AQ79" s="529">
        <f t="shared" si="533"/>
        <v>0.2141568324819681</v>
      </c>
      <c r="AS79" s="932">
        <f t="shared" si="632"/>
        <v>107.900158614985</v>
      </c>
      <c r="AT79" s="928">
        <f t="shared" si="534"/>
        <v>-0.46747963542195731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>Taper</v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1"/>
        <v>5.2249999999999996</v>
      </c>
      <c r="IJ79" s="674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5.125</v>
      </c>
      <c r="IK79" s="677" cm="1">
        <f t="array" ref="IK79">IFERROR(ROUND(VALUE(IF($IJ79&lt;1,$IJ79+LARGE((IF($M$9:$M$150="",0,$M$9:$M$150)-MOD(IF($M$9:$M$150="",0,$M$9:$M$150),1)),1),$IJ79)),4),"")</f>
        <v>5.125</v>
      </c>
      <c r="IL79" s="482">
        <f t="shared" si="596"/>
        <v>1613</v>
      </c>
      <c r="IM79" s="482">
        <f t="shared" si="732"/>
        <v>1313</v>
      </c>
      <c r="IN79" s="670">
        <f t="shared" si="597"/>
        <v>11.293901149130562</v>
      </c>
      <c r="IO79" s="702">
        <v>3.4623034632939399E-2</v>
      </c>
      <c r="IP79" s="5">
        <f t="shared" si="598"/>
        <v>1.58</v>
      </c>
      <c r="IQ79" s="714">
        <v>790</v>
      </c>
      <c r="IR79" s="9">
        <f t="shared" si="599"/>
        <v>-4.242960581402202</v>
      </c>
      <c r="IS79" s="5">
        <f t="shared" si="600"/>
        <v>-0.53651537420653606</v>
      </c>
      <c r="IT79" s="5">
        <f t="shared" si="601"/>
        <v>0.3125</v>
      </c>
      <c r="IU79" s="5">
        <f t="shared" si="602"/>
        <v>0.29395936531265349</v>
      </c>
      <c r="IV79" s="670">
        <f t="shared" si="603"/>
        <v>38.485986851085471</v>
      </c>
      <c r="IW79" s="9">
        <f t="shared" si="604"/>
        <v>-4.258030881484971</v>
      </c>
      <c r="IX79" s="5">
        <f t="shared" si="605"/>
        <v>-0.53676245296952885</v>
      </c>
      <c r="IY79" s="5">
        <f t="shared" si="606"/>
        <v>0.26450000000000001</v>
      </c>
      <c r="IZ79" s="5">
        <f t="shared" si="607"/>
        <v>0.2400265598725326</v>
      </c>
      <c r="JA79" s="705">
        <f t="shared" si="608"/>
        <v>38.623227592362632</v>
      </c>
    </row>
    <row r="80" spans="1:261" ht="15" customHeight="1" x14ac:dyDescent="0.25">
      <c r="A80" s="75">
        <f t="shared" si="256"/>
        <v>0.02</v>
      </c>
      <c r="B80" s="578">
        <f t="shared" si="515"/>
        <v>-4.5281428554115832</v>
      </c>
      <c r="C80" s="572">
        <f t="shared" si="516"/>
        <v>-1.47252538955092</v>
      </c>
      <c r="D80" s="576">
        <f t="shared" si="517"/>
        <v>-1.1225134900776816</v>
      </c>
      <c r="E80" s="580">
        <f t="shared" si="518"/>
        <v>-0.11432895229960759</v>
      </c>
      <c r="F80" s="572">
        <f t="shared" si="519"/>
        <v>-0.95855197518054613</v>
      </c>
      <c r="G80" s="579">
        <f t="shared" si="520"/>
        <v>0.2609731816557937</v>
      </c>
      <c r="H80" s="580">
        <f t="shared" si="521"/>
        <v>0.26450000000000001</v>
      </c>
      <c r="I80" s="572">
        <f t="shared" si="522"/>
        <v>0.52</v>
      </c>
      <c r="J80" s="483">
        <f t="shared" si="523"/>
        <v>5.2309999999999999</v>
      </c>
      <c r="K80" s="806">
        <f t="shared" si="524"/>
        <v>1313</v>
      </c>
      <c r="L80" s="309"/>
      <c r="M80" s="164">
        <f t="shared" si="526"/>
        <v>5.2309999999999999</v>
      </c>
      <c r="N80" s="575">
        <f t="shared" si="527"/>
        <v>-4.5281428554115832</v>
      </c>
      <c r="O80" s="572">
        <f t="shared" si="528"/>
        <v>-1.47252538955092</v>
      </c>
      <c r="P80" s="576">
        <f t="shared" si="529"/>
        <v>-1.1225134900776816</v>
      </c>
      <c r="Q80" s="528">
        <f t="shared" si="609"/>
        <v>198.01422025718753</v>
      </c>
      <c r="R80" s="572">
        <f t="shared" si="101"/>
        <v>4.7615552860265158</v>
      </c>
      <c r="S80" s="577">
        <f t="shared" si="102"/>
        <v>-1.1225134900776816</v>
      </c>
      <c r="T80" s="578">
        <f t="shared" si="103"/>
        <v>-1.5066948329509795</v>
      </c>
      <c r="U80" s="572">
        <f t="shared" si="104"/>
        <v>4.5168882454900157</v>
      </c>
      <c r="V80" s="579">
        <f t="shared" si="141"/>
        <v>-1.1225134900776816</v>
      </c>
      <c r="W80" s="528">
        <f t="shared" si="735"/>
        <v>108.44711110305852</v>
      </c>
      <c r="X80" s="572">
        <f t="shared" si="105"/>
        <v>4.7615552860265158</v>
      </c>
      <c r="Y80" s="573">
        <f t="shared" si="733"/>
        <v>-1.1225134900776816</v>
      </c>
      <c r="Z80" s="575">
        <f t="shared" si="530"/>
        <v>0.11432895229960759</v>
      </c>
      <c r="AA80" s="572">
        <f t="shared" si="531"/>
        <v>0.95855197518054613</v>
      </c>
      <c r="AB80" s="572">
        <f t="shared" si="532"/>
        <v>-0.2609731816557937</v>
      </c>
      <c r="AC80" s="579">
        <f t="shared" si="106"/>
        <v>1</v>
      </c>
      <c r="AD80" s="580">
        <f t="shared" si="142"/>
        <v>0.11432895229960759</v>
      </c>
      <c r="AE80" s="572">
        <f t="shared" si="107"/>
        <v>0.95855197518054613</v>
      </c>
      <c r="AF80" s="576">
        <f t="shared" si="108"/>
        <v>-0.2609731816557937</v>
      </c>
      <c r="AG80" s="545">
        <f t="shared" si="109"/>
        <v>74.769924771920685</v>
      </c>
      <c r="AH80" s="546">
        <f t="shared" si="110"/>
        <v>83.435078430532386</v>
      </c>
      <c r="AI80" s="528">
        <f t="shared" si="111"/>
        <v>-74.872184871269837</v>
      </c>
      <c r="AJ80" s="529">
        <f t="shared" si="112"/>
        <v>173.19831744205345</v>
      </c>
      <c r="AK80" s="578">
        <f t="shared" si="238"/>
        <v>0.87620698328888191</v>
      </c>
      <c r="AL80" s="572">
        <f t="shared" si="113"/>
        <v>-0.40515962396597383</v>
      </c>
      <c r="AM80" s="577">
        <f t="shared" si="114"/>
        <v>-0.2609731816557937</v>
      </c>
      <c r="AN80" s="524">
        <f t="shared" si="115"/>
        <v>-57.213428741154814</v>
      </c>
      <c r="AO80" s="525">
        <f t="shared" si="525"/>
        <v>28.811854872966187</v>
      </c>
      <c r="AP80" s="528">
        <f t="shared" si="117"/>
        <v>-24.81590281513407</v>
      </c>
      <c r="AQ80" s="529">
        <f t="shared" si="533"/>
        <v>0.19151037886881181</v>
      </c>
      <c r="AS80" s="932">
        <f t="shared" si="632"/>
        <v>108.44711110305852</v>
      </c>
      <c r="AT80" s="928">
        <f t="shared" si="534"/>
        <v>-1.0533826037767973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>Taper</v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731"/>
        <v>5.2309999999999999</v>
      </c>
      <c r="IJ80" s="674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5.1310000000000002</v>
      </c>
      <c r="IK80" s="677" cm="1">
        <f t="array" ref="IK80">IFERROR(ROUND(VALUE(IF($IJ80&lt;1,$IJ80+LARGE((IF($M$9:$M$150="",0,$M$9:$M$150)-MOD(IF($M$9:$M$150="",0,$M$9:$M$150),1)),1),$IJ80)),4),"")</f>
        <v>5.1310000000000002</v>
      </c>
      <c r="IL80" s="482">
        <f t="shared" si="596"/>
        <v>1613</v>
      </c>
      <c r="IM80" s="482">
        <f t="shared" si="732"/>
        <v>1313</v>
      </c>
      <c r="IN80" s="670">
        <f t="shared" si="597"/>
        <v>10.087929100763489</v>
      </c>
      <c r="IO80" s="702">
        <v>2.95510891100767E-2</v>
      </c>
      <c r="IP80" s="5">
        <f t="shared" si="598"/>
        <v>1.78</v>
      </c>
      <c r="IQ80" s="714">
        <v>890</v>
      </c>
      <c r="IR80" s="9">
        <f t="shared" si="599"/>
        <v>-4.7412121930234123</v>
      </c>
      <c r="IS80" s="5">
        <f t="shared" si="600"/>
        <v>-1.1186852804601963</v>
      </c>
      <c r="IT80" s="5">
        <f t="shared" si="601"/>
        <v>0.3125</v>
      </c>
      <c r="IU80" s="5">
        <f t="shared" si="602"/>
        <v>0.28591775189309576</v>
      </c>
      <c r="IV80" s="670">
        <f t="shared" si="603"/>
        <v>57.149982620263913</v>
      </c>
      <c r="IW80" s="9">
        <f t="shared" si="604"/>
        <v>-4.7615552860265158</v>
      </c>
      <c r="IX80" s="5">
        <f t="shared" si="605"/>
        <v>-1.1225134900776816</v>
      </c>
      <c r="IY80" s="5">
        <f t="shared" si="606"/>
        <v>0.26450000000000001</v>
      </c>
      <c r="IZ80" s="5">
        <f t="shared" si="607"/>
        <v>0.23175674707990929</v>
      </c>
      <c r="JA80" s="705">
        <f t="shared" si="608"/>
        <v>57.213428741154814</v>
      </c>
    </row>
    <row r="81" spans="1:261" ht="15" customHeight="1" x14ac:dyDescent="0.25">
      <c r="A81" s="75">
        <f t="shared" si="256"/>
        <v>0.02</v>
      </c>
      <c r="B81" s="578">
        <f t="shared" si="515"/>
        <v>-4.7727651367288537</v>
      </c>
      <c r="C81" s="572">
        <f t="shared" si="516"/>
        <v>-1.5657033926605193</v>
      </c>
      <c r="D81" s="576">
        <f t="shared" si="517"/>
        <v>-1.8496503669857769</v>
      </c>
      <c r="E81" s="580">
        <f t="shared" si="518"/>
        <v>-0.23680475010775959</v>
      </c>
      <c r="F81" s="572">
        <f t="shared" si="519"/>
        <v>-0.96234355074147904</v>
      </c>
      <c r="G81" s="579">
        <f t="shared" si="520"/>
        <v>0.13348558226521709</v>
      </c>
      <c r="H81" s="580">
        <f t="shared" si="521"/>
        <v>0.26450000000000001</v>
      </c>
      <c r="I81" s="572">
        <f t="shared" si="522"/>
        <v>0.52</v>
      </c>
      <c r="J81" s="483">
        <f t="shared" si="523"/>
        <v>5.2370000000000001</v>
      </c>
      <c r="K81" s="806">
        <f t="shared" si="524"/>
        <v>1313</v>
      </c>
      <c r="L81" s="309"/>
      <c r="M81" s="164">
        <f t="shared" si="526"/>
        <v>5.2370000000000001</v>
      </c>
      <c r="N81" s="575">
        <f t="shared" si="527"/>
        <v>-4.7727651367288537</v>
      </c>
      <c r="O81" s="572">
        <f t="shared" si="528"/>
        <v>-1.5657033926605193</v>
      </c>
      <c r="P81" s="576">
        <f t="shared" si="529"/>
        <v>-1.8496503669857769</v>
      </c>
      <c r="Q81" s="528">
        <f t="shared" si="609"/>
        <v>198.16205299166177</v>
      </c>
      <c r="R81" s="572">
        <f t="shared" si="101"/>
        <v>5.023018431596987</v>
      </c>
      <c r="S81" s="577">
        <f t="shared" si="102"/>
        <v>-1.8496503669857769</v>
      </c>
      <c r="T81" s="578">
        <f t="shared" si="103"/>
        <v>-1.6017183710035647</v>
      </c>
      <c r="U81" s="572">
        <f t="shared" si="104"/>
        <v>4.7607995572332955</v>
      </c>
      <c r="V81" s="579">
        <f t="shared" si="141"/>
        <v>-1.8496503669857769</v>
      </c>
      <c r="W81" s="528">
        <f t="shared" si="735"/>
        <v>108.59494383753275</v>
      </c>
      <c r="X81" s="572">
        <f t="shared" si="105"/>
        <v>5.023018431596987</v>
      </c>
      <c r="Y81" s="573">
        <f t="shared" si="733"/>
        <v>-1.8496503669857769</v>
      </c>
      <c r="Z81" s="575">
        <f t="shared" si="530"/>
        <v>0.23680475010775959</v>
      </c>
      <c r="AA81" s="572">
        <f t="shared" si="531"/>
        <v>0.96234355074147904</v>
      </c>
      <c r="AB81" s="572">
        <f t="shared" si="532"/>
        <v>-0.13348558226521709</v>
      </c>
      <c r="AC81" s="579">
        <f t="shared" si="106"/>
        <v>1</v>
      </c>
      <c r="AD81" s="580">
        <f t="shared" si="142"/>
        <v>0.23680475010775959</v>
      </c>
      <c r="AE81" s="572">
        <f t="shared" si="107"/>
        <v>0.96234355074147904</v>
      </c>
      <c r="AF81" s="576">
        <f t="shared" si="108"/>
        <v>-0.13348558226521709</v>
      </c>
      <c r="AG81" s="545">
        <f t="shared" si="109"/>
        <v>82.102956914502514</v>
      </c>
      <c r="AH81" s="546">
        <f t="shared" si="110"/>
        <v>76.30196947265182</v>
      </c>
      <c r="AI81" s="528">
        <f t="shared" si="111"/>
        <v>-82.328942437844219</v>
      </c>
      <c r="AJ81" s="529">
        <f t="shared" si="112"/>
        <v>166.17582970663798</v>
      </c>
      <c r="AK81" s="578">
        <f t="shared" si="238"/>
        <v>0.84058496009749595</v>
      </c>
      <c r="AL81" s="572">
        <f t="shared" si="113"/>
        <v>-0.52497478433274036</v>
      </c>
      <c r="AM81" s="577">
        <f t="shared" si="114"/>
        <v>-0.13348558226521709</v>
      </c>
      <c r="AN81" s="524">
        <f t="shared" si="115"/>
        <v>-75.733702256223253</v>
      </c>
      <c r="AO81" s="525">
        <f t="shared" si="525"/>
        <v>32.798058394827343</v>
      </c>
      <c r="AP81" s="528">
        <f t="shared" si="117"/>
        <v>-31.986223285023762</v>
      </c>
      <c r="AQ81" s="529">
        <f t="shared" si="533"/>
        <v>0.18154175892144186</v>
      </c>
      <c r="AS81" s="932">
        <f t="shared" si="632"/>
        <v>108.59494383753275</v>
      </c>
      <c r="AT81" s="928">
        <f t="shared" si="534"/>
        <v>-1.7805605453333575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>Taper</v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1"/>
        <v>5.2370000000000001</v>
      </c>
      <c r="IJ81" s="674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5.1369999999999996</v>
      </c>
      <c r="IK81" s="677" cm="1">
        <f t="array" ref="IK81">IFERROR(ROUND(VALUE(IF($IJ81&lt;1,$IJ81+LARGE((IF($M$9:$M$150="",0,$M$9:$M$150)-MOD(IF($M$9:$M$150="",0,$M$9:$M$150),1)),1),$IJ81)),4),"")</f>
        <v>5.1369999999999996</v>
      </c>
      <c r="IL81" s="482">
        <f t="shared" si="596"/>
        <v>1613</v>
      </c>
      <c r="IM81" s="482">
        <f t="shared" si="732"/>
        <v>1313</v>
      </c>
      <c r="IN81" s="670">
        <f t="shared" si="597"/>
        <v>9.5565113536221702</v>
      </c>
      <c r="IO81" s="702">
        <v>2.5385772668535499E-2</v>
      </c>
      <c r="IP81" s="5">
        <f t="shared" si="598"/>
        <v>2</v>
      </c>
      <c r="IQ81" s="714">
        <v>1000</v>
      </c>
      <c r="IR81" s="9">
        <f t="shared" si="599"/>
        <v>-4.9996635239022913</v>
      </c>
      <c r="IS81" s="5">
        <f t="shared" si="600"/>
        <v>-1.8396121131321506</v>
      </c>
      <c r="IT81" s="5">
        <f t="shared" si="601"/>
        <v>0.3125</v>
      </c>
      <c r="IU81" s="5">
        <f t="shared" si="602"/>
        <v>0.27646367616120981</v>
      </c>
      <c r="IV81" s="670">
        <f t="shared" si="603"/>
        <v>75.712346529077777</v>
      </c>
      <c r="IW81" s="9">
        <f t="shared" si="604"/>
        <v>-5.023018431596987</v>
      </c>
      <c r="IX81" s="5">
        <f t="shared" si="605"/>
        <v>-1.8496503669857769</v>
      </c>
      <c r="IY81" s="5">
        <f t="shared" si="606"/>
        <v>0.26450000000000001</v>
      </c>
      <c r="IZ81" s="5">
        <f t="shared" si="607"/>
        <v>0.22233472194578768</v>
      </c>
      <c r="JA81" s="705">
        <f t="shared" si="608"/>
        <v>75.733702256223253</v>
      </c>
    </row>
    <row r="82" spans="1:261" ht="15" customHeight="1" x14ac:dyDescent="0.25">
      <c r="A82" s="75">
        <f t="shared" si="256"/>
        <v>0</v>
      </c>
      <c r="B82" s="578">
        <f t="shared" si="515"/>
        <v>-4.8133571912710211</v>
      </c>
      <c r="C82" s="572">
        <f t="shared" si="516"/>
        <v>-1.3264778730572726</v>
      </c>
      <c r="D82" s="576">
        <f t="shared" si="517"/>
        <v>-2.6233586781757343</v>
      </c>
      <c r="E82" s="580">
        <f t="shared" si="518"/>
        <v>-0.96406163416222712</v>
      </c>
      <c r="F82" s="572">
        <f t="shared" si="519"/>
        <v>-0.26567868852507681</v>
      </c>
      <c r="G82" s="579">
        <f t="shared" si="520"/>
        <v>2.2679489693200328E-7</v>
      </c>
      <c r="H82" s="580">
        <f t="shared" si="521"/>
        <v>0.255</v>
      </c>
      <c r="I82" s="572">
        <f t="shared" si="522"/>
        <v>0.41499999999999992</v>
      </c>
      <c r="J82" s="483">
        <f t="shared" si="523"/>
        <v>5.2430000000000003</v>
      </c>
      <c r="K82" s="806" t="str">
        <f t="shared" si="524"/>
        <v>CPS-32193r1</v>
      </c>
      <c r="L82" s="309"/>
      <c r="M82" s="164">
        <f t="shared" si="526"/>
        <v>5.2430000000000003</v>
      </c>
      <c r="N82" s="575">
        <f t="shared" si="527"/>
        <v>-4.8133571912710211</v>
      </c>
      <c r="O82" s="572">
        <f t="shared" si="528"/>
        <v>-1.3264778730572726</v>
      </c>
      <c r="P82" s="576">
        <f t="shared" si="529"/>
        <v>-2.6233586781757343</v>
      </c>
      <c r="Q82" s="528">
        <f t="shared" si="609"/>
        <v>195.40728447220255</v>
      </c>
      <c r="R82" s="572">
        <f t="shared" si="101"/>
        <v>4.9927899012947661</v>
      </c>
      <c r="S82" s="577">
        <f t="shared" si="102"/>
        <v>-2.6233586781757343</v>
      </c>
      <c r="T82" s="578">
        <f t="shared" si="103"/>
        <v>-1.3628063643938253</v>
      </c>
      <c r="U82" s="572">
        <f t="shared" si="104"/>
        <v>4.8031978734629162</v>
      </c>
      <c r="V82" s="579">
        <f t="shared" si="141"/>
        <v>-2.6233586781757343</v>
      </c>
      <c r="W82" s="528">
        <f t="shared" si="735"/>
        <v>105.84017531807353</v>
      </c>
      <c r="X82" s="572">
        <f t="shared" si="105"/>
        <v>4.9927899012947661</v>
      </c>
      <c r="Y82" s="573">
        <f t="shared" si="733"/>
        <v>-2.6233586781757343</v>
      </c>
      <c r="Z82" s="575">
        <f t="shared" si="530"/>
        <v>0.96406163416222712</v>
      </c>
      <c r="AA82" s="572">
        <f t="shared" si="531"/>
        <v>0.26567868852507681</v>
      </c>
      <c r="AB82" s="572">
        <f t="shared" si="532"/>
        <v>-2.2679489693200328E-7</v>
      </c>
      <c r="AC82" s="579">
        <f t="shared" si="106"/>
        <v>1</v>
      </c>
      <c r="AD82" s="580">
        <f t="shared" si="142"/>
        <v>0.96406163416222712</v>
      </c>
      <c r="AE82" s="572">
        <f t="shared" si="107"/>
        <v>0.26567868852507681</v>
      </c>
      <c r="AF82" s="576">
        <f t="shared" si="108"/>
        <v>-2.2679489693200328E-7</v>
      </c>
      <c r="AG82" s="545">
        <f t="shared" si="109"/>
        <v>89.999951089827789</v>
      </c>
      <c r="AH82" s="546">
        <f t="shared" si="110"/>
        <v>15.407284472207941</v>
      </c>
      <c r="AI82" s="528">
        <f t="shared" si="111"/>
        <v>-89.999987005609597</v>
      </c>
      <c r="AJ82" s="529">
        <f t="shared" si="112"/>
        <v>105.40728447220259</v>
      </c>
      <c r="AK82" s="578">
        <f t="shared" si="238"/>
        <v>1.0547118733938987E-15</v>
      </c>
      <c r="AL82" s="572">
        <f t="shared" si="113"/>
        <v>-0.99999999999997435</v>
      </c>
      <c r="AM82" s="577">
        <f t="shared" si="114"/>
        <v>-2.2679489693200328E-7</v>
      </c>
      <c r="AN82" s="524">
        <f t="shared" si="115"/>
        <v>-89.999987005609597</v>
      </c>
      <c r="AO82" s="525">
        <f t="shared" si="525"/>
        <v>0</v>
      </c>
      <c r="AP82" s="528">
        <f t="shared" si="117"/>
        <v>-89.999999999999943</v>
      </c>
      <c r="AQ82" s="529">
        <f t="shared" si="533"/>
        <v>0.18264088458182839</v>
      </c>
      <c r="AS82" s="932">
        <f t="shared" si="632"/>
        <v>105.84017531807353</v>
      </c>
      <c r="AT82" s="928">
        <f t="shared" si="534"/>
        <v>-2.5535036430456874</v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>Taper</v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731"/>
        <v>5.2430000000000003</v>
      </c>
      <c r="IJ82" s="674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5.1429999999999998</v>
      </c>
      <c r="IK82" s="677" cm="1">
        <f t="array" ref="IK82">IFERROR(ROUND(VALUE(IF($IJ82&lt;1,$IJ82+LARGE((IF($M$9:$M$150="",0,$M$9:$M$150)-MOD(IF($M$9:$M$150="",0,$M$9:$M$150),1)),1),$IJ82)),4),"")</f>
        <v>5.1429999999999998</v>
      </c>
      <c r="IL82" s="482">
        <f t="shared" si="596"/>
        <v>1613</v>
      </c>
      <c r="IM82" s="482" t="str">
        <f t="shared" si="732"/>
        <v>CPS-32193r1</v>
      </c>
      <c r="IN82" s="670">
        <f t="shared" si="597"/>
        <v>12.271230721814703</v>
      </c>
      <c r="IO82" s="702">
        <v>4.8062200035361102E-2</v>
      </c>
      <c r="IP82" s="5">
        <f t="shared" si="598"/>
        <v>2.76</v>
      </c>
      <c r="IQ82" s="714">
        <v>1380</v>
      </c>
      <c r="IR82" s="9">
        <f t="shared" si="599"/>
        <v>-5.0270040657372679</v>
      </c>
      <c r="IS82" s="5">
        <f t="shared" si="600"/>
        <v>-2.5995867293624815</v>
      </c>
      <c r="IT82" s="5">
        <f t="shared" si="601"/>
        <v>0.3125</v>
      </c>
      <c r="IU82" s="5">
        <f t="shared" si="602"/>
        <v>0.27121974842239471</v>
      </c>
      <c r="IV82" s="670">
        <f t="shared" si="603"/>
        <v>84.969949372155952</v>
      </c>
      <c r="IW82" s="9">
        <f t="shared" si="604"/>
        <v>-4.9927899012947661</v>
      </c>
      <c r="IX82" s="5">
        <f t="shared" si="605"/>
        <v>-2.6233586781757343</v>
      </c>
      <c r="IY82" s="5">
        <f t="shared" si="606"/>
        <v>0.255</v>
      </c>
      <c r="IZ82" s="5">
        <f t="shared" si="607"/>
        <v>0.255</v>
      </c>
      <c r="JA82" s="705">
        <f t="shared" si="608"/>
        <v>89.999987005609597</v>
      </c>
    </row>
    <row r="83" spans="1:261" ht="15" customHeight="1" x14ac:dyDescent="0.25">
      <c r="A83" s="75">
        <f t="shared" si="256"/>
        <v>0</v>
      </c>
      <c r="B83" s="578">
        <f t="shared" si="515"/>
        <v>-4.8405202803701499</v>
      </c>
      <c r="C83" s="572">
        <f t="shared" si="516"/>
        <v>-1.3336218050869515</v>
      </c>
      <c r="D83" s="576">
        <f t="shared" si="517"/>
        <v>-3.3747461436974899</v>
      </c>
      <c r="E83" s="580">
        <f t="shared" si="518"/>
        <v>-0.96407906556756051</v>
      </c>
      <c r="F83" s="572">
        <f t="shared" si="519"/>
        <v>-0.26561542751566253</v>
      </c>
      <c r="G83" s="579">
        <f t="shared" si="520"/>
        <v>2.26794896820981E-7</v>
      </c>
      <c r="H83" s="580">
        <f t="shared" si="521"/>
        <v>0.255</v>
      </c>
      <c r="I83" s="572">
        <f t="shared" si="522"/>
        <v>0.41499999999999992</v>
      </c>
      <c r="J83" s="483">
        <f t="shared" si="523"/>
        <v>5.2489999999999997</v>
      </c>
      <c r="K83" s="806" t="str">
        <f t="shared" si="524"/>
        <v>CPS-32193r1</v>
      </c>
      <c r="L83" s="309"/>
      <c r="M83" s="164">
        <f t="shared" si="526"/>
        <v>5.2489999999999997</v>
      </c>
      <c r="N83" s="575">
        <f t="shared" si="527"/>
        <v>-4.8405202803701499</v>
      </c>
      <c r="O83" s="572">
        <f t="shared" si="528"/>
        <v>-1.3336218050869515</v>
      </c>
      <c r="P83" s="576">
        <f t="shared" si="529"/>
        <v>-3.3747461436974899</v>
      </c>
      <c r="Q83" s="528">
        <f t="shared" si="609"/>
        <v>195.40352479963681</v>
      </c>
      <c r="R83" s="572">
        <f t="shared" si="101"/>
        <v>5.0208747946625891</v>
      </c>
      <c r="S83" s="577">
        <f t="shared" si="102"/>
        <v>-3.3747461436974899</v>
      </c>
      <c r="T83" s="578">
        <f t="shared" si="103"/>
        <v>-1.370155317774955</v>
      </c>
      <c r="U83" s="572">
        <f t="shared" si="104"/>
        <v>4.8303062127417045</v>
      </c>
      <c r="V83" s="579">
        <f t="shared" si="141"/>
        <v>-3.3747461436974899</v>
      </c>
      <c r="W83" s="528">
        <f t="shared" si="735"/>
        <v>105.8364156455078</v>
      </c>
      <c r="X83" s="572">
        <f t="shared" si="105"/>
        <v>5.0208747946625891</v>
      </c>
      <c r="Y83" s="573">
        <f t="shared" si="733"/>
        <v>-3.3747461436974899</v>
      </c>
      <c r="Z83" s="575">
        <f t="shared" si="530"/>
        <v>0.96407906556756051</v>
      </c>
      <c r="AA83" s="572">
        <f t="shared" si="531"/>
        <v>0.26561542751566253</v>
      </c>
      <c r="AB83" s="572">
        <f t="shared" si="532"/>
        <v>-2.26794896820981E-7</v>
      </c>
      <c r="AC83" s="579">
        <f t="shared" si="106"/>
        <v>1</v>
      </c>
      <c r="AD83" s="580">
        <f t="shared" si="142"/>
        <v>0.96407906556756051</v>
      </c>
      <c r="AE83" s="572">
        <f t="shared" si="107"/>
        <v>0.26561542751566253</v>
      </c>
      <c r="AF83" s="576">
        <f t="shared" si="108"/>
        <v>-2.26794896820981E-7</v>
      </c>
      <c r="AG83" s="545">
        <f t="shared" si="109"/>
        <v>89.999951078178981</v>
      </c>
      <c r="AH83" s="546">
        <f t="shared" si="110"/>
        <v>15.403524799642131</v>
      </c>
      <c r="AI83" s="528">
        <f t="shared" si="111"/>
        <v>-89.999987005609597</v>
      </c>
      <c r="AJ83" s="529">
        <f t="shared" si="112"/>
        <v>105.40352479963681</v>
      </c>
      <c r="AK83" s="578">
        <f t="shared" si="238"/>
        <v>1.1102230246251565E-16</v>
      </c>
      <c r="AL83" s="572">
        <f t="shared" si="113"/>
        <v>-0.99999999999997435</v>
      </c>
      <c r="AM83" s="577">
        <f t="shared" si="114"/>
        <v>-2.26794896820981E-7</v>
      </c>
      <c r="AN83" s="524">
        <f t="shared" si="115"/>
        <v>-89.999987005609597</v>
      </c>
      <c r="AO83" s="525">
        <f t="shared" si="525"/>
        <v>0</v>
      </c>
      <c r="AP83" s="528">
        <f t="shared" si="117"/>
        <v>-90</v>
      </c>
      <c r="AQ83" s="529">
        <f t="shared" si="533"/>
        <v>0.18161926673217046</v>
      </c>
      <c r="AS83" s="932">
        <f t="shared" si="632"/>
        <v>105.8364156455078</v>
      </c>
      <c r="AT83" s="928">
        <f t="shared" si="534"/>
        <v>-3.3048900642139527</v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>Taper</v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731"/>
        <v>5.2489999999999997</v>
      </c>
      <c r="IJ83" s="674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5.149</v>
      </c>
      <c r="IK83" s="677" cm="1">
        <f t="array" ref="IK83">IFERROR(ROUND(VALUE(IF($IJ83&lt;1,$IJ83+LARGE((IF($M$9:$M$150="",0,$M$9:$M$150)-MOD(IF($M$9:$M$150="",0,$M$9:$M$150),1)),1),$IJ83)),4),"")</f>
        <v>5.149</v>
      </c>
      <c r="IL83" s="482">
        <f t="shared" si="596"/>
        <v>1613</v>
      </c>
      <c r="IM83" s="482" t="str">
        <f t="shared" si="732"/>
        <v>CPS-32193r1</v>
      </c>
      <c r="IN83" s="670">
        <f t="shared" si="597"/>
        <v>12.202087403953328</v>
      </c>
      <c r="IO83" s="702">
        <v>4.8104159123765901E-2</v>
      </c>
      <c r="IP83" s="5">
        <f t="shared" si="598"/>
        <v>2.78</v>
      </c>
      <c r="IQ83" s="714">
        <v>1390</v>
      </c>
      <c r="IR83" s="9">
        <f t="shared" si="599"/>
        <v>-5.0550887932628417</v>
      </c>
      <c r="IS83" s="5">
        <f t="shared" si="600"/>
        <v>-3.3510912624309905</v>
      </c>
      <c r="IT83" s="5">
        <f t="shared" si="601"/>
        <v>0.3125</v>
      </c>
      <c r="IU83" s="5">
        <f t="shared" si="602"/>
        <v>0.27121678779184549</v>
      </c>
      <c r="IV83" s="670">
        <f t="shared" si="603"/>
        <v>84.97011741683842</v>
      </c>
      <c r="IW83" s="9">
        <f t="shared" si="604"/>
        <v>-5.0208747946625891</v>
      </c>
      <c r="IX83" s="5">
        <f t="shared" si="605"/>
        <v>-3.3747461436974899</v>
      </c>
      <c r="IY83" s="5">
        <f t="shared" si="606"/>
        <v>0.255</v>
      </c>
      <c r="IZ83" s="5">
        <f t="shared" si="607"/>
        <v>0.255</v>
      </c>
      <c r="JA83" s="705">
        <f t="shared" si="608"/>
        <v>89.999987005609597</v>
      </c>
    </row>
    <row r="84" spans="1:261" ht="15" customHeight="1" x14ac:dyDescent="0.25">
      <c r="A84" s="75">
        <f t="shared" si="256"/>
        <v>0.02</v>
      </c>
      <c r="B84" s="578">
        <f t="shared" si="515"/>
        <v>3.5472637956166033</v>
      </c>
      <c r="C84" s="572">
        <f t="shared" si="516"/>
        <v>-3.6953586413294519</v>
      </c>
      <c r="D84" s="576">
        <f t="shared" si="517"/>
        <v>-9.4977962776039622</v>
      </c>
      <c r="E84" s="580">
        <f t="shared" si="518"/>
        <v>0.99078049831935566</v>
      </c>
      <c r="F84" s="572">
        <f t="shared" si="519"/>
        <v>7.6780626301749713E-2</v>
      </c>
      <c r="G84" s="579">
        <f t="shared" si="520"/>
        <v>-0.11161872412261509</v>
      </c>
      <c r="H84" s="580">
        <f t="shared" si="521"/>
        <v>0.26450000000000001</v>
      </c>
      <c r="I84" s="572">
        <f t="shared" si="522"/>
        <v>0.52</v>
      </c>
      <c r="J84" s="483">
        <f t="shared" si="523"/>
        <v>5.2549999999999999</v>
      </c>
      <c r="K84" s="806">
        <f t="shared" si="524"/>
        <v>1313</v>
      </c>
      <c r="L84" s="309"/>
      <c r="M84" s="164">
        <f t="shared" si="526"/>
        <v>5.2549999999999999</v>
      </c>
      <c r="N84" s="575">
        <f t="shared" si="527"/>
        <v>3.5472637956166033</v>
      </c>
      <c r="O84" s="572">
        <f t="shared" si="528"/>
        <v>-3.6953586413294519</v>
      </c>
      <c r="P84" s="576">
        <f t="shared" si="529"/>
        <v>-9.4977962776039622</v>
      </c>
      <c r="Q84" s="528">
        <f t="shared" si="609"/>
        <v>313.82859731814204</v>
      </c>
      <c r="R84" s="572">
        <f t="shared" si="101"/>
        <v>5.1223779559634766</v>
      </c>
      <c r="S84" s="577">
        <f t="shared" si="102"/>
        <v>-9.4977962776039622</v>
      </c>
      <c r="T84" s="578">
        <f t="shared" si="103"/>
        <v>-3.6684525321225054</v>
      </c>
      <c r="U84" s="572">
        <f t="shared" si="104"/>
        <v>-3.5750820890302002</v>
      </c>
      <c r="V84" s="579">
        <f t="shared" si="141"/>
        <v>-9.4977962776039622</v>
      </c>
      <c r="W84" s="528">
        <f t="shared" si="735"/>
        <v>224.26148816401303</v>
      </c>
      <c r="X84" s="572">
        <f t="shared" si="105"/>
        <v>5.1223779559634766</v>
      </c>
      <c r="Y84" s="573">
        <f t="shared" si="733"/>
        <v>-9.4977962776039622</v>
      </c>
      <c r="Z84" s="575">
        <f t="shared" si="530"/>
        <v>-0.99078049831935566</v>
      </c>
      <c r="AA84" s="572">
        <f t="shared" si="531"/>
        <v>-7.6780626301749713E-2</v>
      </c>
      <c r="AB84" s="572">
        <f t="shared" si="532"/>
        <v>0.11161872412261509</v>
      </c>
      <c r="AC84" s="579">
        <f t="shared" si="106"/>
        <v>1</v>
      </c>
      <c r="AD84" s="580">
        <f t="shared" si="142"/>
        <v>-0.99078049831935566</v>
      </c>
      <c r="AE84" s="572">
        <f t="shared" si="107"/>
        <v>-7.6780626301749713E-2</v>
      </c>
      <c r="AF84" s="576">
        <f t="shared" si="108"/>
        <v>0.11161872412261509</v>
      </c>
      <c r="AG84" s="545">
        <f t="shared" si="109"/>
        <v>-145.47657730028311</v>
      </c>
      <c r="AH84" s="546">
        <f t="shared" si="110"/>
        <v>172.21379947222138</v>
      </c>
      <c r="AI84" s="528">
        <f t="shared" si="111"/>
        <v>-96.408636339561255</v>
      </c>
      <c r="AJ84" s="529">
        <f t="shared" si="112"/>
        <v>-85.568714787563678</v>
      </c>
      <c r="AK84" s="578">
        <f t="shared" si="238"/>
        <v>0.76793443315336318</v>
      </c>
      <c r="AL84" s="572">
        <f t="shared" si="113"/>
        <v>-0.63072812431559</v>
      </c>
      <c r="AM84" s="577">
        <f t="shared" si="114"/>
        <v>0.11161872412261509</v>
      </c>
      <c r="AN84" s="524">
        <f t="shared" si="115"/>
        <v>-100.03561890671617</v>
      </c>
      <c r="AO84" s="525">
        <f t="shared" si="525"/>
        <v>39.831236627249673</v>
      </c>
      <c r="AP84" s="528">
        <f t="shared" si="117"/>
        <v>-39.39731210570573</v>
      </c>
      <c r="AQ84" s="529">
        <f t="shared" si="533"/>
        <v>0.17802038940560677</v>
      </c>
      <c r="AS84" s="932">
        <f t="shared" si="632"/>
        <v>224.26148816401303</v>
      </c>
      <c r="AT84" s="928">
        <f t="shared" si="534"/>
        <v>-9.4608360515977878</v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731"/>
        <v>5.2549999999999999</v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>
        <f t="shared" si="596"/>
        <v>1313</v>
      </c>
      <c r="IM84" s="482" t="str">
        <f t="shared" si="732"/>
        <v/>
      </c>
      <c r="IN84" s="670" t="str">
        <f t="shared" si="597"/>
        <v/>
      </c>
      <c r="IO84" s="702"/>
      <c r="IP84" s="5" t="str">
        <f t="shared" si="598"/>
        <v/>
      </c>
      <c r="IQ84" s="714"/>
      <c r="IR84" s="9" t="str">
        <f t="shared" si="599"/>
        <v/>
      </c>
      <c r="IS84" s="5" t="str">
        <f t="shared" si="600"/>
        <v/>
      </c>
      <c r="IT84" s="5" t="str">
        <f t="shared" si="601"/>
        <v/>
      </c>
      <c r="IU84" s="5" t="str">
        <f t="shared" si="602"/>
        <v/>
      </c>
      <c r="IV84" s="670" t="str">
        <f t="shared" si="603"/>
        <v/>
      </c>
      <c r="IW84" s="9" t="str">
        <f t="shared" si="604"/>
        <v/>
      </c>
      <c r="IX84" s="5" t="str">
        <f t="shared" si="605"/>
        <v/>
      </c>
      <c r="IY84" s="5" t="str">
        <f t="shared" si="606"/>
        <v/>
      </c>
      <c r="IZ84" s="5" t="str">
        <f t="shared" si="607"/>
        <v/>
      </c>
      <c r="JA84" s="705" t="str">
        <f t="shared" si="608"/>
        <v/>
      </c>
    </row>
    <row r="85" spans="1:261" ht="15" customHeight="1" x14ac:dyDescent="0.25">
      <c r="A85" s="75">
        <f t="shared" si="256"/>
        <v>0.02</v>
      </c>
      <c r="B85" s="578">
        <f t="shared" si="515"/>
        <v>-2.2385468228646688</v>
      </c>
      <c r="C85" s="572">
        <f t="shared" si="516"/>
        <v>1.4767342225604725</v>
      </c>
      <c r="D85" s="576">
        <f t="shared" si="517"/>
        <v>-0.11237756793916173</v>
      </c>
      <c r="E85" s="580">
        <f t="shared" si="518"/>
        <v>-0.52222157471588571</v>
      </c>
      <c r="F85" s="572">
        <f t="shared" si="519"/>
        <v>-0.81096822806638758</v>
      </c>
      <c r="G85" s="579">
        <f t="shared" si="520"/>
        <v>0.26384684945650655</v>
      </c>
      <c r="H85" s="580">
        <f t="shared" si="521"/>
        <v>0.3125</v>
      </c>
      <c r="I85" s="572">
        <f t="shared" si="522"/>
        <v>0.52</v>
      </c>
      <c r="J85" s="483">
        <f t="shared" si="523"/>
        <v>6.1120000000000001</v>
      </c>
      <c r="K85" s="806">
        <f t="shared" si="524"/>
        <v>1613</v>
      </c>
      <c r="L85" s="309"/>
      <c r="M85" s="164">
        <f t="shared" si="526"/>
        <v>6.1120000000000001</v>
      </c>
      <c r="N85" s="575">
        <f t="shared" si="527"/>
        <v>-2.2385468228646688</v>
      </c>
      <c r="O85" s="572">
        <f t="shared" si="528"/>
        <v>1.4767342225604725</v>
      </c>
      <c r="P85" s="576">
        <f t="shared" si="529"/>
        <v>-0.11237756793916173</v>
      </c>
      <c r="Q85" s="528">
        <f t="shared" si="609"/>
        <v>146.58778993760001</v>
      </c>
      <c r="R85" s="572">
        <f t="shared" si="101"/>
        <v>2.6817598405224108</v>
      </c>
      <c r="S85" s="577">
        <f t="shared" si="102"/>
        <v>-0.11237756793916173</v>
      </c>
      <c r="T85" s="578">
        <f t="shared" si="103"/>
        <v>1.4597791842318597</v>
      </c>
      <c r="U85" s="572">
        <f t="shared" si="104"/>
        <v>2.249640099109667</v>
      </c>
      <c r="V85" s="579">
        <f t="shared" si="141"/>
        <v>-0.11237756793916173</v>
      </c>
      <c r="W85" s="528">
        <f t="shared" si="735"/>
        <v>57.020680783470993</v>
      </c>
      <c r="X85" s="572">
        <f t="shared" si="105"/>
        <v>2.6817598405224108</v>
      </c>
      <c r="Y85" s="573">
        <f t="shared" si="733"/>
        <v>-0.11237756793916173</v>
      </c>
      <c r="Z85" s="575">
        <f t="shared" si="530"/>
        <v>0.52222157471588571</v>
      </c>
      <c r="AA85" s="572">
        <f t="shared" si="531"/>
        <v>0.81096822806638758</v>
      </c>
      <c r="AB85" s="572">
        <f t="shared" si="532"/>
        <v>-0.26384684945650655</v>
      </c>
      <c r="AC85" s="579">
        <f t="shared" si="106"/>
        <v>1</v>
      </c>
      <c r="AD85" s="580">
        <f t="shared" si="142"/>
        <v>0.52222157471588571</v>
      </c>
      <c r="AE85" s="572">
        <f t="shared" si="107"/>
        <v>0.81096822806638758</v>
      </c>
      <c r="AF85" s="576">
        <f t="shared" si="108"/>
        <v>-0.26384684945650655</v>
      </c>
      <c r="AG85" s="545">
        <f t="shared" si="109"/>
        <v>71.97780881616734</v>
      </c>
      <c r="AH85" s="546">
        <f t="shared" si="110"/>
        <v>58.518611343364732</v>
      </c>
      <c r="AI85" s="528">
        <f t="shared" si="111"/>
        <v>-74.70155633347791</v>
      </c>
      <c r="AJ85" s="529">
        <f t="shared" si="112"/>
        <v>147.22056047742393</v>
      </c>
      <c r="AK85" s="578">
        <f t="shared" si="238"/>
        <v>0.96450576313377223</v>
      </c>
      <c r="AL85" s="572">
        <f t="shared" si="113"/>
        <v>1.0652366573461025E-2</v>
      </c>
      <c r="AM85" s="577">
        <f t="shared" si="114"/>
        <v>-0.26384684945650655</v>
      </c>
      <c r="AN85" s="524">
        <f t="shared" si="115"/>
        <v>2.3119637600075813</v>
      </c>
      <c r="AO85" s="525">
        <f t="shared" si="525"/>
        <v>15.311212110967897</v>
      </c>
      <c r="AP85" s="528">
        <f t="shared" si="117"/>
        <v>0.63277053982391973</v>
      </c>
      <c r="AQ85" s="529">
        <f t="shared" si="533"/>
        <v>0.3400304282872037</v>
      </c>
      <c r="AS85" s="932">
        <f t="shared" si="632"/>
        <v>57.020680783470993</v>
      </c>
      <c r="AT85" s="928">
        <f t="shared" si="534"/>
        <v>-2.89615621050585E-2</v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731"/>
        <v>6.1120000000000001</v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>
        <f t="shared" si="596"/>
        <v>1613</v>
      </c>
      <c r="IM85" s="482" t="str">
        <f t="shared" si="732"/>
        <v/>
      </c>
      <c r="IN85" s="670" t="str">
        <f t="shared" si="597"/>
        <v/>
      </c>
      <c r="IO85" s="702"/>
      <c r="IP85" s="5" t="str">
        <f t="shared" si="598"/>
        <v/>
      </c>
      <c r="IQ85" s="714"/>
      <c r="IR85" s="9" t="str">
        <f t="shared" si="599"/>
        <v/>
      </c>
      <c r="IS85" s="5" t="str">
        <f t="shared" si="600"/>
        <v/>
      </c>
      <c r="IT85" s="5" t="str">
        <f t="shared" si="601"/>
        <v/>
      </c>
      <c r="IU85" s="5" t="str">
        <f t="shared" si="602"/>
        <v/>
      </c>
      <c r="IV85" s="670" t="str">
        <f t="shared" si="603"/>
        <v/>
      </c>
      <c r="IW85" s="9" t="str">
        <f t="shared" si="604"/>
        <v/>
      </c>
      <c r="IX85" s="5" t="str">
        <f t="shared" si="605"/>
        <v/>
      </c>
      <c r="IY85" s="5" t="str">
        <f t="shared" si="606"/>
        <v/>
      </c>
      <c r="IZ85" s="5" t="str">
        <f t="shared" si="607"/>
        <v/>
      </c>
      <c r="JA85" s="705" t="str">
        <f t="shared" si="608"/>
        <v/>
      </c>
    </row>
    <row r="86" spans="1:261" ht="15" customHeight="1" x14ac:dyDescent="0.25">
      <c r="A86" s="75">
        <f t="shared" si="256"/>
        <v>0.02</v>
      </c>
      <c r="B86" s="578">
        <f t="shared" si="515"/>
        <v>-2.8737614477319382</v>
      </c>
      <c r="C86" s="572">
        <f t="shared" si="516"/>
        <v>1.9028087397080125</v>
      </c>
      <c r="D86" s="576">
        <f t="shared" si="517"/>
        <v>-0.16842423538663553</v>
      </c>
      <c r="E86" s="580">
        <f t="shared" si="518"/>
        <v>-0.59572352404201612</v>
      </c>
      <c r="F86" s="572">
        <f t="shared" si="519"/>
        <v>-0.75954408206156487</v>
      </c>
      <c r="G86" s="579">
        <f t="shared" si="520"/>
        <v>0.26116330199363064</v>
      </c>
      <c r="H86" s="580">
        <f t="shared" si="521"/>
        <v>0.3125</v>
      </c>
      <c r="I86" s="572">
        <f t="shared" si="522"/>
        <v>0.52</v>
      </c>
      <c r="J86" s="483">
        <f t="shared" si="523"/>
        <v>6.1180000000000003</v>
      </c>
      <c r="K86" s="806">
        <f t="shared" si="524"/>
        <v>1613</v>
      </c>
      <c r="L86" s="309"/>
      <c r="M86" s="164">
        <f t="shared" si="526"/>
        <v>6.1180000000000003</v>
      </c>
      <c r="N86" s="575">
        <f t="shared" si="527"/>
        <v>-2.8737614477319382</v>
      </c>
      <c r="O86" s="572">
        <f t="shared" si="528"/>
        <v>1.9028087397080125</v>
      </c>
      <c r="P86" s="576">
        <f t="shared" si="529"/>
        <v>-0.16842423538663553</v>
      </c>
      <c r="Q86" s="528">
        <f t="shared" si="609"/>
        <v>146.49019197783045</v>
      </c>
      <c r="R86" s="572">
        <f t="shared" si="101"/>
        <v>3.4466194971855479</v>
      </c>
      <c r="S86" s="577">
        <f t="shared" si="102"/>
        <v>-0.16842423538663553</v>
      </c>
      <c r="T86" s="578">
        <f t="shared" si="103"/>
        <v>1.8810423042809519</v>
      </c>
      <c r="U86" s="572">
        <f t="shared" si="104"/>
        <v>2.8880557141241177</v>
      </c>
      <c r="V86" s="579">
        <f t="shared" si="141"/>
        <v>-0.16842423538663553</v>
      </c>
      <c r="W86" s="528">
        <f t="shared" si="735"/>
        <v>56.923082823701435</v>
      </c>
      <c r="X86" s="572">
        <f t="shared" si="105"/>
        <v>3.4466194971855479</v>
      </c>
      <c r="Y86" s="573">
        <f t="shared" si="733"/>
        <v>-0.16842423538663553</v>
      </c>
      <c r="Z86" s="575">
        <f t="shared" si="530"/>
        <v>0.59572352404201612</v>
      </c>
      <c r="AA86" s="572">
        <f t="shared" si="531"/>
        <v>0.75954408206156487</v>
      </c>
      <c r="AB86" s="572">
        <f t="shared" si="532"/>
        <v>-0.26116330199363064</v>
      </c>
      <c r="AC86" s="579">
        <f t="shared" si="106"/>
        <v>1</v>
      </c>
      <c r="AD86" s="580">
        <f t="shared" si="142"/>
        <v>0.59572352404201612</v>
      </c>
      <c r="AE86" s="572">
        <f t="shared" si="107"/>
        <v>0.75954408206156487</v>
      </c>
      <c r="AF86" s="576">
        <f t="shared" si="108"/>
        <v>-0.26116330199363064</v>
      </c>
      <c r="AG86" s="545">
        <f t="shared" si="109"/>
        <v>71.024868327464262</v>
      </c>
      <c r="AH86" s="546">
        <f t="shared" si="110"/>
        <v>53.435772310161987</v>
      </c>
      <c r="AI86" s="528">
        <f t="shared" si="111"/>
        <v>-74.860900438067503</v>
      </c>
      <c r="AJ86" s="529">
        <f t="shared" si="112"/>
        <v>141.89229817145966</v>
      </c>
      <c r="AK86" s="578">
        <f t="shared" si="238"/>
        <v>0.9621881474257038</v>
      </c>
      <c r="AL86" s="572">
        <f t="shared" si="113"/>
        <v>-7.7380221279573835E-2</v>
      </c>
      <c r="AM86" s="577">
        <f t="shared" si="114"/>
        <v>-0.26116330199363064</v>
      </c>
      <c r="AN86" s="524">
        <f t="shared" si="115"/>
        <v>-16.504059297615232</v>
      </c>
      <c r="AO86" s="525">
        <f t="shared" si="525"/>
        <v>15.806279282856705</v>
      </c>
      <c r="AP86" s="528">
        <f t="shared" si="117"/>
        <v>-4.5978938063707835</v>
      </c>
      <c r="AQ86" s="529">
        <f t="shared" si="533"/>
        <v>0.26457349646953021</v>
      </c>
      <c r="AS86" s="932">
        <f t="shared" si="632"/>
        <v>56.923082823701435</v>
      </c>
      <c r="AT86" s="928">
        <f t="shared" si="534"/>
        <v>-8.4981119008151862E-2</v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731"/>
        <v>6.1180000000000003</v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>
        <f t="shared" si="596"/>
        <v>1613</v>
      </c>
      <c r="IM86" s="482" t="str">
        <f t="shared" si="732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>
        <f t="shared" si="256"/>
        <v>0.02</v>
      </c>
      <c r="B87" s="578">
        <f t="shared" si="515"/>
        <v>-3.4280378673302239</v>
      </c>
      <c r="C87" s="572">
        <f t="shared" si="516"/>
        <v>2.3226311821380947</v>
      </c>
      <c r="D87" s="576">
        <f t="shared" si="517"/>
        <v>-0.49376062179459534</v>
      </c>
      <c r="E87" s="580">
        <f t="shared" si="518"/>
        <v>-0.68716718689088374</v>
      </c>
      <c r="F87" s="572">
        <f t="shared" si="519"/>
        <v>-0.67530669300495516</v>
      </c>
      <c r="G87" s="579">
        <f t="shared" si="520"/>
        <v>0.26788454162788272</v>
      </c>
      <c r="H87" s="580">
        <f t="shared" si="521"/>
        <v>0.3125</v>
      </c>
      <c r="I87" s="572">
        <f t="shared" si="522"/>
        <v>0.52</v>
      </c>
      <c r="J87" s="483">
        <f t="shared" si="523"/>
        <v>6.1239999999999997</v>
      </c>
      <c r="K87" s="806">
        <f t="shared" si="524"/>
        <v>1613</v>
      </c>
      <c r="L87" s="309"/>
      <c r="M87" s="164">
        <f t="shared" si="526"/>
        <v>6.1239999999999997</v>
      </c>
      <c r="N87" s="575">
        <f t="shared" si="527"/>
        <v>-3.4280378673302239</v>
      </c>
      <c r="O87" s="572">
        <f t="shared" si="528"/>
        <v>2.3226311821380947</v>
      </c>
      <c r="P87" s="576">
        <f t="shared" si="529"/>
        <v>-0.49376062179459534</v>
      </c>
      <c r="Q87" s="528">
        <f t="shared" si="609"/>
        <v>145.88080744508488</v>
      </c>
      <c r="R87" s="572">
        <f t="shared" si="101"/>
        <v>4.1407800265276293</v>
      </c>
      <c r="S87" s="577">
        <f t="shared" si="102"/>
        <v>-0.49376062179459534</v>
      </c>
      <c r="T87" s="578">
        <f t="shared" si="103"/>
        <v>2.2966650403727988</v>
      </c>
      <c r="U87" s="572">
        <f t="shared" si="104"/>
        <v>3.4454881976897793</v>
      </c>
      <c r="V87" s="579">
        <f t="shared" si="141"/>
        <v>-0.49376062179459534</v>
      </c>
      <c r="W87" s="528">
        <f t="shared" si="735"/>
        <v>56.31369829095587</v>
      </c>
      <c r="X87" s="572">
        <f t="shared" si="105"/>
        <v>4.1407800265276293</v>
      </c>
      <c r="Y87" s="573">
        <f t="shared" si="733"/>
        <v>-0.49376062179459534</v>
      </c>
      <c r="Z87" s="575">
        <f t="shared" si="530"/>
        <v>0.68716718689088374</v>
      </c>
      <c r="AA87" s="572">
        <f t="shared" si="531"/>
        <v>0.67530669300495516</v>
      </c>
      <c r="AB87" s="572">
        <f t="shared" si="532"/>
        <v>-0.26788454162788272</v>
      </c>
      <c r="AC87" s="579">
        <f t="shared" si="106"/>
        <v>1</v>
      </c>
      <c r="AD87" s="580">
        <f t="shared" si="142"/>
        <v>0.68716718689088374</v>
      </c>
      <c r="AE87" s="572">
        <f t="shared" si="107"/>
        <v>0.67530669300495516</v>
      </c>
      <c r="AF87" s="576">
        <f t="shared" si="108"/>
        <v>-0.26788454162788272</v>
      </c>
      <c r="AG87" s="545">
        <f t="shared" si="109"/>
        <v>68.362477855003988</v>
      </c>
      <c r="AH87" s="546">
        <f t="shared" si="110"/>
        <v>46.593716626247151</v>
      </c>
      <c r="AI87" s="528">
        <f t="shared" si="111"/>
        <v>-74.461576551958515</v>
      </c>
      <c r="AJ87" s="529">
        <f t="shared" si="112"/>
        <v>134.50124616109304</v>
      </c>
      <c r="AK87" s="578">
        <f t="shared" si="238"/>
        <v>0.94451113709054191</v>
      </c>
      <c r="AL87" s="572">
        <f t="shared" si="113"/>
        <v>-0.1900962500123321</v>
      </c>
      <c r="AM87" s="577">
        <f t="shared" si="114"/>
        <v>-0.26788454162788272</v>
      </c>
      <c r="AN87" s="524">
        <f t="shared" si="115"/>
        <v>-35.360276952469491</v>
      </c>
      <c r="AO87" s="525">
        <f t="shared" si="525"/>
        <v>19.176506828006705</v>
      </c>
      <c r="AP87" s="528">
        <f t="shared" si="117"/>
        <v>-11.379561283991846</v>
      </c>
      <c r="AQ87" s="529">
        <f t="shared" si="533"/>
        <v>0.22022086574279429</v>
      </c>
      <c r="AS87" s="932">
        <f t="shared" si="632"/>
        <v>56.31369829095587</v>
      </c>
      <c r="AT87" s="928">
        <f t="shared" si="534"/>
        <v>-0.41014823193479344</v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731"/>
        <v>6.1239999999999997</v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>
        <f t="shared" si="596"/>
        <v>1613</v>
      </c>
      <c r="IM87" s="482" t="str">
        <f t="shared" si="732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>
        <f t="shared" si="256"/>
        <v>0.02</v>
      </c>
      <c r="B88" s="578">
        <f t="shared" si="515"/>
        <v>-3.8375264757361545</v>
      </c>
      <c r="C88" s="572">
        <f t="shared" si="516"/>
        <v>2.6672708884445955</v>
      </c>
      <c r="D88" s="576">
        <f t="shared" si="517"/>
        <v>-1.0446207994544796</v>
      </c>
      <c r="E88" s="580">
        <f t="shared" si="518"/>
        <v>-0.78603894357677295</v>
      </c>
      <c r="F88" s="572">
        <f t="shared" si="519"/>
        <v>-0.57350484074695474</v>
      </c>
      <c r="G88" s="579">
        <f t="shared" si="520"/>
        <v>0.23072706130950654</v>
      </c>
      <c r="H88" s="580">
        <f t="shared" si="521"/>
        <v>0.3125</v>
      </c>
      <c r="I88" s="572">
        <f t="shared" si="522"/>
        <v>0.52</v>
      </c>
      <c r="J88" s="483">
        <f t="shared" si="523"/>
        <v>6.13</v>
      </c>
      <c r="K88" s="806">
        <f t="shared" si="524"/>
        <v>1613</v>
      </c>
      <c r="L88" s="309"/>
      <c r="M88" s="164">
        <f t="shared" si="526"/>
        <v>6.13</v>
      </c>
      <c r="N88" s="575">
        <f t="shared" si="527"/>
        <v>-3.8375264757361545</v>
      </c>
      <c r="O88" s="572">
        <f t="shared" si="528"/>
        <v>2.6672708884445955</v>
      </c>
      <c r="P88" s="576">
        <f t="shared" si="529"/>
        <v>-1.0446207994544796</v>
      </c>
      <c r="Q88" s="528">
        <f t="shared" si="609"/>
        <v>145.19878682720446</v>
      </c>
      <c r="R88" s="572">
        <f t="shared" si="101"/>
        <v>4.6734295163530577</v>
      </c>
      <c r="S88" s="577">
        <f t="shared" si="102"/>
        <v>-1.0446207994544796</v>
      </c>
      <c r="T88" s="578">
        <f t="shared" si="103"/>
        <v>2.6382011013413234</v>
      </c>
      <c r="U88" s="572">
        <f t="shared" si="104"/>
        <v>3.857568974522867</v>
      </c>
      <c r="V88" s="579">
        <f t="shared" si="141"/>
        <v>-1.0446207994544796</v>
      </c>
      <c r="W88" s="528">
        <f t="shared" si="735"/>
        <v>55.631677673075444</v>
      </c>
      <c r="X88" s="572">
        <f t="shared" si="105"/>
        <v>4.6734295163530577</v>
      </c>
      <c r="Y88" s="573">
        <f t="shared" si="733"/>
        <v>-1.0446207994544796</v>
      </c>
      <c r="Z88" s="575">
        <f t="shared" si="530"/>
        <v>0.78603894357677295</v>
      </c>
      <c r="AA88" s="572">
        <f t="shared" si="531"/>
        <v>0.57350484074695474</v>
      </c>
      <c r="AB88" s="572">
        <f t="shared" si="532"/>
        <v>-0.23072706130950654</v>
      </c>
      <c r="AC88" s="579">
        <f t="shared" si="106"/>
        <v>1</v>
      </c>
      <c r="AD88" s="580">
        <f t="shared" si="142"/>
        <v>0.78603894357677295</v>
      </c>
      <c r="AE88" s="572">
        <f t="shared" si="107"/>
        <v>0.57350484074695474</v>
      </c>
      <c r="AF88" s="576">
        <f t="shared" si="108"/>
        <v>-0.23072706130950654</v>
      </c>
      <c r="AG88" s="545">
        <f t="shared" si="109"/>
        <v>68.084555571471427</v>
      </c>
      <c r="AH88" s="546">
        <f t="shared" si="110"/>
        <v>38.183129802784705</v>
      </c>
      <c r="AI88" s="528">
        <f t="shared" si="111"/>
        <v>-76.660119346299595</v>
      </c>
      <c r="AJ88" s="529">
        <f t="shared" si="112"/>
        <v>126.1150054026092</v>
      </c>
      <c r="AK88" s="578">
        <f t="shared" si="238"/>
        <v>0.91954287246186528</v>
      </c>
      <c r="AL88" s="572">
        <f t="shared" si="113"/>
        <v>-0.31812879291893892</v>
      </c>
      <c r="AM88" s="577">
        <f t="shared" si="114"/>
        <v>-0.23072706130950654</v>
      </c>
      <c r="AN88" s="524">
        <f t="shared" si="115"/>
        <v>-54.048010045486649</v>
      </c>
      <c r="AO88" s="525">
        <f t="shared" si="525"/>
        <v>23.140655756290503</v>
      </c>
      <c r="AP88" s="528">
        <f t="shared" si="117"/>
        <v>-19.083781424595255</v>
      </c>
      <c r="AQ88" s="529">
        <f t="shared" si="533"/>
        <v>0.19512161772441958</v>
      </c>
      <c r="AS88" s="932">
        <f t="shared" si="632"/>
        <v>55.631677673075444</v>
      </c>
      <c r="AT88" s="928">
        <f t="shared" si="534"/>
        <v>-0.96081895942304429</v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731"/>
        <v>6.13</v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>
        <f t="shared" si="596"/>
        <v>1613</v>
      </c>
      <c r="IM88" s="482" t="str">
        <f t="shared" si="732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>
        <f t="shared" si="256"/>
        <v>0.02</v>
      </c>
      <c r="B89" s="578">
        <f t="shared" si="515"/>
        <v>-4.0631364596484598</v>
      </c>
      <c r="C89" s="572">
        <f t="shared" si="516"/>
        <v>2.8709767457719542</v>
      </c>
      <c r="D89" s="576">
        <f t="shared" si="517"/>
        <v>-1.7486335618917748</v>
      </c>
      <c r="E89" s="580">
        <f t="shared" si="518"/>
        <v>-0.86894573790422225</v>
      </c>
      <c r="F89" s="572">
        <f t="shared" si="519"/>
        <v>-0.47581074018385494</v>
      </c>
      <c r="G89" s="579">
        <f t="shared" si="520"/>
        <v>0.13615228277109037</v>
      </c>
      <c r="H89" s="580">
        <f t="shared" si="521"/>
        <v>0.3125</v>
      </c>
      <c r="I89" s="572">
        <f t="shared" si="522"/>
        <v>0.52</v>
      </c>
      <c r="J89" s="483">
        <f t="shared" si="523"/>
        <v>6.1360000000000001</v>
      </c>
      <c r="K89" s="806">
        <f t="shared" si="524"/>
        <v>1613</v>
      </c>
      <c r="L89" s="309"/>
      <c r="M89" s="164">
        <f t="shared" si="526"/>
        <v>6.1360000000000001</v>
      </c>
      <c r="N89" s="575">
        <f t="shared" si="527"/>
        <v>-4.0631364596484598</v>
      </c>
      <c r="O89" s="572">
        <f t="shared" si="528"/>
        <v>2.8709767457719542</v>
      </c>
      <c r="P89" s="576">
        <f t="shared" si="529"/>
        <v>-1.7486335618917748</v>
      </c>
      <c r="Q89" s="528">
        <f t="shared" si="609"/>
        <v>144.75530623081272</v>
      </c>
      <c r="R89" s="572">
        <f t="shared" si="101"/>
        <v>4.9750965181077582</v>
      </c>
      <c r="S89" s="577">
        <f t="shared" si="102"/>
        <v>-1.7486335618917748</v>
      </c>
      <c r="T89" s="578">
        <f t="shared" si="103"/>
        <v>2.8401965937481335</v>
      </c>
      <c r="U89" s="572">
        <f t="shared" si="104"/>
        <v>4.0847115777432119</v>
      </c>
      <c r="V89" s="579">
        <f t="shared" si="141"/>
        <v>-1.7486335618917748</v>
      </c>
      <c r="W89" s="528">
        <f t="shared" si="735"/>
        <v>55.188197076683707</v>
      </c>
      <c r="X89" s="572">
        <f t="shared" si="105"/>
        <v>4.9750965181077582</v>
      </c>
      <c r="Y89" s="573">
        <f t="shared" si="733"/>
        <v>-1.7486335618917748</v>
      </c>
      <c r="Z89" s="575">
        <f t="shared" si="530"/>
        <v>0.86894573790422225</v>
      </c>
      <c r="AA89" s="572">
        <f t="shared" si="531"/>
        <v>0.47581074018385494</v>
      </c>
      <c r="AB89" s="572">
        <f t="shared" si="532"/>
        <v>-0.13615228277109037</v>
      </c>
      <c r="AC89" s="579">
        <f t="shared" si="106"/>
        <v>1</v>
      </c>
      <c r="AD89" s="580">
        <f t="shared" si="142"/>
        <v>0.86894573790422225</v>
      </c>
      <c r="AE89" s="572">
        <f t="shared" si="107"/>
        <v>0.47581074018385494</v>
      </c>
      <c r="AF89" s="576">
        <f t="shared" si="108"/>
        <v>-0.13615228277109037</v>
      </c>
      <c r="AG89" s="545">
        <f t="shared" si="109"/>
        <v>74.031633197405057</v>
      </c>
      <c r="AH89" s="546">
        <f t="shared" si="110"/>
        <v>29.663642376393533</v>
      </c>
      <c r="AI89" s="528">
        <f t="shared" si="111"/>
        <v>-82.174743911203365</v>
      </c>
      <c r="AJ89" s="529">
        <f t="shared" si="112"/>
        <v>118.70389826900866</v>
      </c>
      <c r="AK89" s="578">
        <f t="shared" si="238"/>
        <v>0.89003438568025506</v>
      </c>
      <c r="AL89" s="572">
        <f t="shared" si="113"/>
        <v>-0.43508774770497982</v>
      </c>
      <c r="AM89" s="577">
        <f t="shared" si="114"/>
        <v>-0.13615228277109037</v>
      </c>
      <c r="AN89" s="524">
        <f t="shared" si="115"/>
        <v>-72.623499997444313</v>
      </c>
      <c r="AO89" s="525">
        <f t="shared" si="525"/>
        <v>27.122431911212644</v>
      </c>
      <c r="AP89" s="528">
        <f t="shared" si="117"/>
        <v>-26.051407961804056</v>
      </c>
      <c r="AQ89" s="529">
        <f t="shared" si="533"/>
        <v>0.18329042236199938</v>
      </c>
      <c r="AS89" s="932">
        <f t="shared" si="632"/>
        <v>55.188197076683707</v>
      </c>
      <c r="AT89" s="928">
        <f t="shared" si="534"/>
        <v>-1.6647085328057862</v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731"/>
        <v>6.1360000000000001</v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>
        <f t="shared" si="596"/>
        <v>1613</v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>
        <f t="shared" si="256"/>
        <v>0.02</v>
      </c>
      <c r="B90" s="578">
        <f t="shared" si="515"/>
        <v>-4.1016365744610725</v>
      </c>
      <c r="C90" s="572">
        <f t="shared" si="516"/>
        <v>2.906432054595856</v>
      </c>
      <c r="D90" s="576">
        <f t="shared" si="517"/>
        <v>-2.5090861683839214</v>
      </c>
      <c r="E90" s="580">
        <f t="shared" si="518"/>
        <v>-0.90552443723870402</v>
      </c>
      <c r="F90" s="572">
        <f t="shared" si="519"/>
        <v>-0.42205290684618751</v>
      </c>
      <c r="G90" s="579">
        <f t="shared" si="520"/>
        <v>4.3552696658322884E-2</v>
      </c>
      <c r="H90" s="580">
        <f t="shared" si="521"/>
        <v>0.3125</v>
      </c>
      <c r="I90" s="572">
        <f t="shared" si="522"/>
        <v>0.52</v>
      </c>
      <c r="J90" s="483">
        <f t="shared" si="523"/>
        <v>6.1420000000000003</v>
      </c>
      <c r="K90" s="806">
        <f t="shared" si="524"/>
        <v>1613</v>
      </c>
      <c r="L90" s="309"/>
      <c r="M90" s="164">
        <f t="shared" si="526"/>
        <v>6.1420000000000003</v>
      </c>
      <c r="N90" s="575">
        <f t="shared" si="527"/>
        <v>-4.1016365744610725</v>
      </c>
      <c r="O90" s="572">
        <f t="shared" si="528"/>
        <v>2.906432054595856</v>
      </c>
      <c r="P90" s="576">
        <f t="shared" si="529"/>
        <v>-2.5090861683839214</v>
      </c>
      <c r="Q90" s="528">
        <f t="shared" si="609"/>
        <v>144.67849859007771</v>
      </c>
      <c r="R90" s="572">
        <f t="shared" si="101"/>
        <v>5.0270040657372705</v>
      </c>
      <c r="S90" s="577">
        <f t="shared" si="102"/>
        <v>-2.5090861683839214</v>
      </c>
      <c r="T90" s="578">
        <f t="shared" si="103"/>
        <v>2.8753600107514186</v>
      </c>
      <c r="U90" s="572">
        <f t="shared" si="104"/>
        <v>4.1234784691460016</v>
      </c>
      <c r="V90" s="579">
        <f t="shared" si="141"/>
        <v>-2.5090861683839214</v>
      </c>
      <c r="W90" s="528">
        <f t="shared" si="735"/>
        <v>55.111389435948695</v>
      </c>
      <c r="X90" s="572">
        <f t="shared" si="105"/>
        <v>5.0270040657372705</v>
      </c>
      <c r="Y90" s="573">
        <f t="shared" si="733"/>
        <v>-2.5090861683839214</v>
      </c>
      <c r="Z90" s="575">
        <f t="shared" si="530"/>
        <v>0.90552443723870402</v>
      </c>
      <c r="AA90" s="572">
        <f t="shared" si="531"/>
        <v>0.42205290684618751</v>
      </c>
      <c r="AB90" s="572">
        <f t="shared" si="532"/>
        <v>-4.3552696658322884E-2</v>
      </c>
      <c r="AC90" s="579">
        <f t="shared" si="106"/>
        <v>1</v>
      </c>
      <c r="AD90" s="580">
        <f t="shared" si="142"/>
        <v>0.90552443723870402</v>
      </c>
      <c r="AE90" s="572">
        <f t="shared" si="107"/>
        <v>0.42205290684618751</v>
      </c>
      <c r="AF90" s="576">
        <f t="shared" si="108"/>
        <v>-4.3552696658322884E-2</v>
      </c>
      <c r="AG90" s="545">
        <f t="shared" si="109"/>
        <v>84.108358695767961</v>
      </c>
      <c r="AH90" s="546">
        <f t="shared" si="110"/>
        <v>25.105991188442996</v>
      </c>
      <c r="AI90" s="528">
        <f t="shared" si="111"/>
        <v>-87.50382473077525</v>
      </c>
      <c r="AJ90" s="529">
        <f t="shared" si="112"/>
        <v>114.98960082553347</v>
      </c>
      <c r="AK90" s="578">
        <f t="shared" si="238"/>
        <v>0.8679031949516629</v>
      </c>
      <c r="AL90" s="572">
        <f t="shared" si="113"/>
        <v>-0.49482037832579612</v>
      </c>
      <c r="AM90" s="577">
        <f t="shared" si="114"/>
        <v>-4.3552696658322884E-2</v>
      </c>
      <c r="AN90" s="524">
        <f t="shared" si="115"/>
        <v>-84.96994937215598</v>
      </c>
      <c r="AO90" s="525">
        <f t="shared" si="525"/>
        <v>29.78411602484832</v>
      </c>
      <c r="AP90" s="528">
        <f t="shared" si="117"/>
        <v>-29.688897764544247</v>
      </c>
      <c r="AQ90" s="529">
        <f t="shared" si="533"/>
        <v>0.18139782544022379</v>
      </c>
      <c r="AS90" s="932">
        <f t="shared" si="632"/>
        <v>55.111389435948695</v>
      </c>
      <c r="AT90" s="928">
        <f t="shared" si="534"/>
        <v>-2.425139803842173</v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731"/>
        <v>6.1420000000000003</v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>
        <f t="shared" si="596"/>
        <v>1613</v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>
        <f t="shared" si="256"/>
        <v>0.02</v>
      </c>
      <c r="B91" s="578">
        <f t="shared" si="515"/>
        <v>-4.1208293499214301</v>
      </c>
      <c r="C91" s="572">
        <f t="shared" si="516"/>
        <v>2.9279153294789282</v>
      </c>
      <c r="D91" s="576">
        <f t="shared" si="517"/>
        <v>-3.2605907014524296</v>
      </c>
      <c r="E91" s="580">
        <f t="shared" si="518"/>
        <v>-0.90606878143474701</v>
      </c>
      <c r="F91" s="572">
        <f t="shared" si="519"/>
        <v>-0.420883031165597</v>
      </c>
      <c r="G91" s="579">
        <f t="shared" si="520"/>
        <v>4.3552696658323106E-2</v>
      </c>
      <c r="H91" s="580">
        <f t="shared" si="521"/>
        <v>0.3125</v>
      </c>
      <c r="I91" s="572">
        <f t="shared" si="522"/>
        <v>0.52</v>
      </c>
      <c r="J91" s="483">
        <f t="shared" si="523"/>
        <v>6.1479999999999997</v>
      </c>
      <c r="K91" s="806">
        <f t="shared" si="524"/>
        <v>1613</v>
      </c>
      <c r="L91" s="309"/>
      <c r="M91" s="164">
        <f t="shared" si="526"/>
        <v>6.1479999999999997</v>
      </c>
      <c r="N91" s="575">
        <f t="shared" si="527"/>
        <v>-4.1208293499214301</v>
      </c>
      <c r="O91" s="572">
        <f t="shared" si="528"/>
        <v>2.9279153294789282</v>
      </c>
      <c r="P91" s="576">
        <f t="shared" si="529"/>
        <v>-3.2605907014524296</v>
      </c>
      <c r="Q91" s="528">
        <f t="shared" si="609"/>
        <v>144.60559559965057</v>
      </c>
      <c r="R91" s="572">
        <f t="shared" si="101"/>
        <v>5.0550887932628417</v>
      </c>
      <c r="S91" s="577">
        <f t="shared" si="102"/>
        <v>-3.2605907014524296</v>
      </c>
      <c r="T91" s="578">
        <f t="shared" si="103"/>
        <v>2.8966976653146896</v>
      </c>
      <c r="U91" s="572">
        <f t="shared" si="104"/>
        <v>4.1428330093707615</v>
      </c>
      <c r="V91" s="579">
        <f t="shared" si="141"/>
        <v>-3.2605907014524296</v>
      </c>
      <c r="W91" s="528">
        <f t="shared" si="735"/>
        <v>55.038486445521556</v>
      </c>
      <c r="X91" s="572">
        <f t="shared" si="105"/>
        <v>5.0550887932628417</v>
      </c>
      <c r="Y91" s="573">
        <f t="shared" si="733"/>
        <v>-3.2605907014524296</v>
      </c>
      <c r="Z91" s="575">
        <f t="shared" si="530"/>
        <v>0.90606878143474701</v>
      </c>
      <c r="AA91" s="572">
        <f t="shared" si="531"/>
        <v>0.420883031165597</v>
      </c>
      <c r="AB91" s="572">
        <f t="shared" si="532"/>
        <v>-4.3552696658323106E-2</v>
      </c>
      <c r="AC91" s="579">
        <f t="shared" si="106"/>
        <v>1</v>
      </c>
      <c r="AD91" s="580">
        <f t="shared" si="142"/>
        <v>0.90606878143474701</v>
      </c>
      <c r="AE91" s="572">
        <f t="shared" si="107"/>
        <v>0.420883031165597</v>
      </c>
      <c r="AF91" s="576">
        <f t="shared" si="108"/>
        <v>-4.3552696658323106E-2</v>
      </c>
      <c r="AG91" s="545">
        <f t="shared" si="109"/>
        <v>84.092098111960667</v>
      </c>
      <c r="AH91" s="546">
        <f t="shared" si="110"/>
        <v>25.032383170059976</v>
      </c>
      <c r="AI91" s="528">
        <f t="shared" si="111"/>
        <v>-87.50382473077525</v>
      </c>
      <c r="AJ91" s="529">
        <f t="shared" si="112"/>
        <v>114.91560084690205</v>
      </c>
      <c r="AK91" s="578">
        <f t="shared" si="238"/>
        <v>0.86789372093390593</v>
      </c>
      <c r="AL91" s="572">
        <f t="shared" si="113"/>
        <v>-0.49483699515829238</v>
      </c>
      <c r="AM91" s="577">
        <f t="shared" si="114"/>
        <v>-4.3552696658323106E-2</v>
      </c>
      <c r="AN91" s="524">
        <f t="shared" si="115"/>
        <v>-84.970117416838406</v>
      </c>
      <c r="AO91" s="525">
        <f t="shared" si="525"/>
        <v>29.785208788526884</v>
      </c>
      <c r="AP91" s="528">
        <f t="shared" si="117"/>
        <v>-29.689994752748529</v>
      </c>
      <c r="AQ91" s="529">
        <f t="shared" si="533"/>
        <v>0.1803900340937914</v>
      </c>
      <c r="AS91" s="932">
        <f t="shared" si="632"/>
        <v>55.038486445521556</v>
      </c>
      <c r="AT91" s="928">
        <f t="shared" si="534"/>
        <v>-3.176624086080007</v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731"/>
        <v>6.1479999999999997</v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>
        <f t="shared" si="596"/>
        <v>1613</v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>
        <f t="shared" si="256"/>
        <v>0</v>
      </c>
      <c r="B92" s="578">
        <f t="shared" si="515"/>
        <v>-2.1770378785297075</v>
      </c>
      <c r="C92" s="572">
        <f t="shared" si="516"/>
        <v>2.6702146909085944</v>
      </c>
      <c r="D92" s="576">
        <f t="shared" si="517"/>
        <v>-0.20203780335620697</v>
      </c>
      <c r="E92" s="580">
        <f t="shared" si="518"/>
        <v>-0.1421467730557735</v>
      </c>
      <c r="F92" s="572">
        <f t="shared" si="519"/>
        <v>0.174348092617993</v>
      </c>
      <c r="G92" s="579">
        <f t="shared" si="520"/>
        <v>0.97437007215446547</v>
      </c>
      <c r="H92" s="580">
        <f t="shared" si="521"/>
        <v>0.255</v>
      </c>
      <c r="I92" s="572">
        <f t="shared" si="522"/>
        <v>0.41499999999999992</v>
      </c>
      <c r="J92" s="483">
        <f t="shared" si="523"/>
        <v>6.218</v>
      </c>
      <c r="K92" s="806" t="str">
        <f t="shared" si="524"/>
        <v>CPS-32193r1</v>
      </c>
      <c r="L92" s="309"/>
      <c r="M92" s="164">
        <f t="shared" si="526"/>
        <v>6.218</v>
      </c>
      <c r="N92" s="575">
        <f t="shared" si="527"/>
        <v>-2.1770378785297075</v>
      </c>
      <c r="O92" s="572">
        <f t="shared" si="528"/>
        <v>2.6702146909085944</v>
      </c>
      <c r="P92" s="576">
        <f t="shared" si="529"/>
        <v>-0.20203780335620697</v>
      </c>
      <c r="Q92" s="528">
        <f t="shared" si="609"/>
        <v>129.19051356554132</v>
      </c>
      <c r="R92" s="572">
        <f t="shared" si="101"/>
        <v>3.4452199378410095</v>
      </c>
      <c r="S92" s="577">
        <f t="shared" si="102"/>
        <v>-0.20203780335620697</v>
      </c>
      <c r="T92" s="578">
        <f t="shared" si="103"/>
        <v>2.6536903070926798</v>
      </c>
      <c r="U92" s="572">
        <f t="shared" si="104"/>
        <v>2.1971500117514893</v>
      </c>
      <c r="V92" s="579">
        <f t="shared" si="141"/>
        <v>-0.20203780335620697</v>
      </c>
      <c r="W92" s="528">
        <f t="shared" si="735"/>
        <v>39.623404411412309</v>
      </c>
      <c r="X92" s="572">
        <f t="shared" si="105"/>
        <v>3.4452199378410095</v>
      </c>
      <c r="Y92" s="573">
        <f t="shared" si="733"/>
        <v>-0.20203780335620697</v>
      </c>
      <c r="Z92" s="575">
        <f t="shared" si="530"/>
        <v>0.1421467730557735</v>
      </c>
      <c r="AA92" s="572">
        <f t="shared" si="531"/>
        <v>-0.174348092617993</v>
      </c>
      <c r="AB92" s="572">
        <f t="shared" si="532"/>
        <v>-0.97437007215446547</v>
      </c>
      <c r="AC92" s="579">
        <f t="shared" si="106"/>
        <v>1</v>
      </c>
      <c r="AD92" s="580">
        <f t="shared" si="142"/>
        <v>0.1421467730557735</v>
      </c>
      <c r="AE92" s="572">
        <f t="shared" si="107"/>
        <v>-0.174348092617993</v>
      </c>
      <c r="AF92" s="576">
        <f t="shared" si="108"/>
        <v>-0.97437007215446547</v>
      </c>
      <c r="AG92" s="545">
        <f t="shared" si="109"/>
        <v>-10.14481125438221</v>
      </c>
      <c r="AH92" s="546">
        <f t="shared" si="110"/>
        <v>81.827910148715304</v>
      </c>
      <c r="AI92" s="528">
        <f t="shared" si="111"/>
        <v>-12.999998123032478</v>
      </c>
      <c r="AJ92" s="529">
        <f t="shared" si="112"/>
        <v>39.19051356554133</v>
      </c>
      <c r="AK92" s="578">
        <f t="shared" si="238"/>
        <v>1.3877787807814457E-17</v>
      </c>
      <c r="AL92" s="572">
        <f t="shared" si="113"/>
        <v>-0.22495102242421983</v>
      </c>
      <c r="AM92" s="577">
        <f t="shared" si="114"/>
        <v>-0.97437007215446547</v>
      </c>
      <c r="AN92" s="524">
        <f t="shared" si="115"/>
        <v>-12.999998123032499</v>
      </c>
      <c r="AO92" s="525">
        <f t="shared" si="525"/>
        <v>0</v>
      </c>
      <c r="AP92" s="528">
        <f t="shared" si="117"/>
        <v>-90</v>
      </c>
      <c r="AQ92" s="529">
        <f t="shared" si="533"/>
        <v>0.26468097321965472</v>
      </c>
      <c r="AS92" s="932">
        <f t="shared" si="632"/>
        <v>39.623404411412309</v>
      </c>
      <c r="AT92" s="928">
        <f t="shared" si="534"/>
        <v>-0.11378922075208744</v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>Nose</v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731"/>
        <v>6.218</v>
      </c>
      <c r="IJ92" s="674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0.11799999999999999</v>
      </c>
      <c r="IK92" s="677" cm="1">
        <f t="array" ref="IK92">IFERROR(ROUND(VALUE(IF($IJ92&lt;1,$IJ92+LARGE((IF($M$9:$M$150="",0,$M$9:$M$150)-MOD(IF($M$9:$M$150="",0,$M$9:$M$150),1)),1),$IJ92)),4),"")</f>
        <v>6.1180000000000003</v>
      </c>
      <c r="IL92" s="482">
        <f t="shared" si="596"/>
        <v>1613</v>
      </c>
      <c r="IM92" s="482" t="str">
        <f t="shared" si="732"/>
        <v>CPS-32193r1</v>
      </c>
      <c r="IN92" s="670">
        <f t="shared" si="597"/>
        <v>17.299678412289126</v>
      </c>
      <c r="IO92" s="702">
        <v>6.5097891879495898E-2</v>
      </c>
      <c r="IP92" s="5">
        <f t="shared" si="598"/>
        <v>1.64</v>
      </c>
      <c r="IQ92" s="714">
        <v>820</v>
      </c>
      <c r="IR92" s="9">
        <f t="shared" si="599"/>
        <v>-3.4466194971855479</v>
      </c>
      <c r="IS92" s="5">
        <f t="shared" si="600"/>
        <v>-0.16842423538663553</v>
      </c>
      <c r="IT92" s="5">
        <f t="shared" si="601"/>
        <v>0.3125</v>
      </c>
      <c r="IU92" s="5">
        <f t="shared" si="602"/>
        <v>0.30068379607053242</v>
      </c>
      <c r="IV92" s="670">
        <f t="shared" si="603"/>
        <v>16.504059297615232</v>
      </c>
      <c r="IW92" s="9">
        <f t="shared" si="604"/>
        <v>-3.4452199378410095</v>
      </c>
      <c r="IX92" s="5">
        <f t="shared" si="605"/>
        <v>-0.20203780335620697</v>
      </c>
      <c r="IY92" s="5">
        <f t="shared" si="606"/>
        <v>0.255</v>
      </c>
      <c r="IZ92" s="5">
        <f t="shared" si="607"/>
        <v>0.255</v>
      </c>
      <c r="JA92" s="705">
        <f t="shared" si="608"/>
        <v>12.999998123032499</v>
      </c>
    </row>
    <row r="93" spans="1:261" ht="15" customHeight="1" x14ac:dyDescent="0.25">
      <c r="A93" s="75">
        <f t="shared" si="256"/>
        <v>0</v>
      </c>
      <c r="B93" s="578">
        <f t="shared" si="515"/>
        <v>-2.7088614823875843</v>
      </c>
      <c r="C93" s="572">
        <f t="shared" si="516"/>
        <v>3.1238778875104485</v>
      </c>
      <c r="D93" s="576">
        <f t="shared" si="517"/>
        <v>-0.52729965041995608</v>
      </c>
      <c r="E93" s="580">
        <f t="shared" si="518"/>
        <v>-0.36634834604269323</v>
      </c>
      <c r="F93" s="572">
        <f t="shared" si="519"/>
        <v>0.42247545870086312</v>
      </c>
      <c r="G93" s="579">
        <f t="shared" si="520"/>
        <v>0.82903762046560858</v>
      </c>
      <c r="H93" s="580">
        <f t="shared" si="521"/>
        <v>0.255</v>
      </c>
      <c r="I93" s="572">
        <f t="shared" si="522"/>
        <v>0.41499999999999992</v>
      </c>
      <c r="J93" s="483">
        <f t="shared" si="523"/>
        <v>6.2240000000000002</v>
      </c>
      <c r="K93" s="806" t="str">
        <f t="shared" si="524"/>
        <v>CPS-32193r1</v>
      </c>
      <c r="L93" s="309"/>
      <c r="M93" s="164">
        <f t="shared" si="526"/>
        <v>6.2240000000000002</v>
      </c>
      <c r="N93" s="575">
        <f t="shared" si="527"/>
        <v>-2.7088614823875843</v>
      </c>
      <c r="O93" s="572">
        <f t="shared" si="528"/>
        <v>3.1238778875104485</v>
      </c>
      <c r="P93" s="576">
        <f t="shared" si="529"/>
        <v>-0.52729965041995608</v>
      </c>
      <c r="Q93" s="528">
        <f t="shared" si="609"/>
        <v>130.93009733910347</v>
      </c>
      <c r="R93" s="572">
        <f t="shared" si="101"/>
        <v>4.1347966802298517</v>
      </c>
      <c r="S93" s="577">
        <f t="shared" si="102"/>
        <v>-0.52729965041995608</v>
      </c>
      <c r="T93" s="578">
        <f t="shared" si="103"/>
        <v>3.1033224692135928</v>
      </c>
      <c r="U93" s="572">
        <f t="shared" si="104"/>
        <v>2.732385997423104</v>
      </c>
      <c r="V93" s="579">
        <f t="shared" si="141"/>
        <v>-0.52729965041995608</v>
      </c>
      <c r="W93" s="528">
        <f t="shared" si="735"/>
        <v>41.362988184974455</v>
      </c>
      <c r="X93" s="572">
        <f t="shared" si="105"/>
        <v>4.1347966802298517</v>
      </c>
      <c r="Y93" s="573">
        <f t="shared" si="733"/>
        <v>-0.52729965041995608</v>
      </c>
      <c r="Z93" s="575">
        <f t="shared" si="530"/>
        <v>0.36634834604269323</v>
      </c>
      <c r="AA93" s="572">
        <f t="shared" si="531"/>
        <v>-0.42247545870086312</v>
      </c>
      <c r="AB93" s="572">
        <f t="shared" si="532"/>
        <v>-0.82903762046560858</v>
      </c>
      <c r="AC93" s="579">
        <f t="shared" si="106"/>
        <v>1</v>
      </c>
      <c r="AD93" s="580">
        <f t="shared" si="142"/>
        <v>0.36634834604269323</v>
      </c>
      <c r="AE93" s="572">
        <f t="shared" si="107"/>
        <v>-0.42247545870086312</v>
      </c>
      <c r="AF93" s="576">
        <f t="shared" si="108"/>
        <v>-0.82903762046560858</v>
      </c>
      <c r="AG93" s="545">
        <f t="shared" si="109"/>
        <v>-27.003275044263159</v>
      </c>
      <c r="AH93" s="546">
        <f t="shared" si="110"/>
        <v>68.509414197138355</v>
      </c>
      <c r="AI93" s="528">
        <f t="shared" si="111"/>
        <v>-33.999995091008067</v>
      </c>
      <c r="AJ93" s="529">
        <f t="shared" si="112"/>
        <v>40.930097339103497</v>
      </c>
      <c r="AK93" s="578">
        <f t="shared" si="238"/>
        <v>2.2204460492503131E-16</v>
      </c>
      <c r="AL93" s="572">
        <f t="shared" si="113"/>
        <v>-0.55919283244040385</v>
      </c>
      <c r="AM93" s="577">
        <f t="shared" si="114"/>
        <v>-0.82903762046560858</v>
      </c>
      <c r="AN93" s="524">
        <f t="shared" si="115"/>
        <v>-33.999995091008067</v>
      </c>
      <c r="AO93" s="525">
        <f t="shared" si="525"/>
        <v>0</v>
      </c>
      <c r="AP93" s="528">
        <f t="shared" si="117"/>
        <v>-89.999999999999972</v>
      </c>
      <c r="AQ93" s="529">
        <f t="shared" si="533"/>
        <v>0.2205395379286921</v>
      </c>
      <c r="AS93" s="932">
        <f t="shared" si="632"/>
        <v>41.362988184974455</v>
      </c>
      <c r="AT93" s="928">
        <f t="shared" si="534"/>
        <v>-0.43953428553071494</v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>Taper</v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731"/>
        <v>6.2240000000000002</v>
      </c>
      <c r="IJ93" s="674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0.124</v>
      </c>
      <c r="IK93" s="677" cm="1">
        <f t="array" ref="IK93">IFERROR(ROUND(VALUE(IF($IJ93&lt;1,$IJ93+LARGE((IF($M$9:$M$150="",0,$M$9:$M$150)-MOD(IF($M$9:$M$150="",0,$M$9:$M$150),1)),1),$IJ93)),4),"")</f>
        <v>6.1239999999999997</v>
      </c>
      <c r="IL93" s="482">
        <f t="shared" si="596"/>
        <v>1613</v>
      </c>
      <c r="IM93" s="482" t="str">
        <f t="shared" si="732"/>
        <v>CPS-32193r1</v>
      </c>
      <c r="IN93" s="670">
        <f t="shared" si="597"/>
        <v>14.950710105981415</v>
      </c>
      <c r="IO93" s="702">
        <v>5.7266605492357202E-2</v>
      </c>
      <c r="IP93" s="5">
        <f t="shared" si="598"/>
        <v>1.86</v>
      </c>
      <c r="IQ93" s="714">
        <v>930</v>
      </c>
      <c r="IR93" s="9">
        <f t="shared" si="599"/>
        <v>-4.1407800265276293</v>
      </c>
      <c r="IS93" s="5">
        <f t="shared" si="600"/>
        <v>-0.49376062179459534</v>
      </c>
      <c r="IT93" s="5">
        <f t="shared" si="601"/>
        <v>0.3125</v>
      </c>
      <c r="IU93" s="5">
        <f t="shared" si="602"/>
        <v>0.29515973034079435</v>
      </c>
      <c r="IV93" s="670">
        <f t="shared" si="603"/>
        <v>35.360276952469491</v>
      </c>
      <c r="IW93" s="9">
        <f t="shared" si="604"/>
        <v>-4.1347966802298517</v>
      </c>
      <c r="IX93" s="5">
        <f t="shared" si="605"/>
        <v>-0.52729965041995608</v>
      </c>
      <c r="IY93" s="5">
        <f t="shared" si="606"/>
        <v>0.255</v>
      </c>
      <c r="IZ93" s="5">
        <f t="shared" si="607"/>
        <v>0.255</v>
      </c>
      <c r="JA93" s="705">
        <f t="shared" si="608"/>
        <v>33.999995091008067</v>
      </c>
    </row>
    <row r="94" spans="1:261" ht="15" customHeight="1" x14ac:dyDescent="0.25">
      <c r="A94" s="75">
        <f t="shared" si="256"/>
        <v>0</v>
      </c>
      <c r="B94" s="578">
        <f t="shared" si="515"/>
        <v>-3.1164970620685604</v>
      </c>
      <c r="C94" s="572">
        <f t="shared" si="516"/>
        <v>3.4628419267043786</v>
      </c>
      <c r="D94" s="576">
        <f t="shared" si="517"/>
        <v>-1.077526991199758</v>
      </c>
      <c r="E94" s="580">
        <f t="shared" si="518"/>
        <v>-0.5479778803189832</v>
      </c>
      <c r="F94" s="572">
        <f t="shared" si="519"/>
        <v>0.60887616483606544</v>
      </c>
      <c r="G94" s="579">
        <f t="shared" si="520"/>
        <v>0.57357654988295925</v>
      </c>
      <c r="H94" s="580">
        <f t="shared" si="521"/>
        <v>0.255</v>
      </c>
      <c r="I94" s="572">
        <f t="shared" si="522"/>
        <v>0.41499999999999992</v>
      </c>
      <c r="J94" s="483">
        <f t="shared" si="523"/>
        <v>6.23</v>
      </c>
      <c r="K94" s="806" t="str">
        <f t="shared" si="524"/>
        <v>CPS-32193r1</v>
      </c>
      <c r="L94" s="309"/>
      <c r="M94" s="164">
        <f t="shared" si="526"/>
        <v>6.23</v>
      </c>
      <c r="N94" s="575">
        <f t="shared" si="527"/>
        <v>-3.1164970620685604</v>
      </c>
      <c r="O94" s="572">
        <f t="shared" si="528"/>
        <v>3.4628419267043786</v>
      </c>
      <c r="P94" s="576">
        <f t="shared" si="529"/>
        <v>-1.077526991199758</v>
      </c>
      <c r="Q94" s="528">
        <f t="shared" si="609"/>
        <v>131.98665786596916</v>
      </c>
      <c r="R94" s="572">
        <f t="shared" si="101"/>
        <v>4.6587367544457434</v>
      </c>
      <c r="S94" s="577">
        <f t="shared" si="102"/>
        <v>-1.077526991199758</v>
      </c>
      <c r="T94" s="578">
        <f t="shared" si="103"/>
        <v>3.4391970252480841</v>
      </c>
      <c r="U94" s="572">
        <f t="shared" si="104"/>
        <v>3.142570917059532</v>
      </c>
      <c r="V94" s="579">
        <f t="shared" si="141"/>
        <v>-1.077526991199758</v>
      </c>
      <c r="W94" s="528">
        <f t="shared" si="735"/>
        <v>42.41954871184015</v>
      </c>
      <c r="X94" s="572">
        <f t="shared" si="105"/>
        <v>4.6587367544457434</v>
      </c>
      <c r="Y94" s="573">
        <f t="shared" si="733"/>
        <v>-1.077526991199758</v>
      </c>
      <c r="Z94" s="575">
        <f t="shared" si="530"/>
        <v>0.5479778803189832</v>
      </c>
      <c r="AA94" s="572">
        <f t="shared" si="531"/>
        <v>-0.60887616483606544</v>
      </c>
      <c r="AB94" s="572">
        <f t="shared" si="532"/>
        <v>-0.57357654988295925</v>
      </c>
      <c r="AC94" s="579">
        <f t="shared" si="106"/>
        <v>1</v>
      </c>
      <c r="AD94" s="580">
        <f t="shared" si="142"/>
        <v>0.5479778803189832</v>
      </c>
      <c r="AE94" s="572">
        <f t="shared" si="107"/>
        <v>-0.60887616483606544</v>
      </c>
      <c r="AF94" s="576">
        <f t="shared" si="108"/>
        <v>-0.57357654988295925</v>
      </c>
      <c r="AG94" s="545">
        <f t="shared" si="109"/>
        <v>-46.709935993265283</v>
      </c>
      <c r="AH94" s="546">
        <f t="shared" si="110"/>
        <v>56.771602588629086</v>
      </c>
      <c r="AI94" s="528">
        <f t="shared" si="111"/>
        <v>-54.999992058983651</v>
      </c>
      <c r="AJ94" s="529">
        <f t="shared" si="112"/>
        <v>41.986657865969143</v>
      </c>
      <c r="AK94" s="578">
        <f t="shared" si="238"/>
        <v>-3.3306690738754696E-16</v>
      </c>
      <c r="AL94" s="572">
        <f t="shared" si="113"/>
        <v>-0.81915196479307884</v>
      </c>
      <c r="AM94" s="577">
        <f t="shared" si="114"/>
        <v>-0.57357654988295925</v>
      </c>
      <c r="AN94" s="524">
        <f t="shared" si="115"/>
        <v>-54.999992058983658</v>
      </c>
      <c r="AO94" s="525">
        <f t="shared" si="525"/>
        <v>0</v>
      </c>
      <c r="AP94" s="528">
        <f t="shared" si="117"/>
        <v>-90.000000000000028</v>
      </c>
      <c r="AQ94" s="529">
        <f t="shared" si="533"/>
        <v>0.19573698909065065</v>
      </c>
      <c r="AS94" s="932">
        <f t="shared" si="632"/>
        <v>42.41954871184015</v>
      </c>
      <c r="AT94" s="928">
        <f t="shared" si="534"/>
        <v>-0.9900551153457573</v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>Taper</v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731"/>
        <v>6.23</v>
      </c>
      <c r="IJ94" s="674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0.13</v>
      </c>
      <c r="IK94" s="677" cm="1">
        <f t="array" ref="IK94">IFERROR(ROUND(VALUE(IF($IJ94&lt;1,$IJ94+LARGE((IF($M$9:$M$150="",0,$M$9:$M$150)-MOD(IF($M$9:$M$150="",0,$M$9:$M$150),1)),1),$IJ94)),4),"")</f>
        <v>6.13</v>
      </c>
      <c r="IL94" s="482">
        <f t="shared" si="596"/>
        <v>1613</v>
      </c>
      <c r="IM94" s="482" t="str">
        <f t="shared" si="732"/>
        <v>CPS-32193r1</v>
      </c>
      <c r="IN94" s="670">
        <f t="shared" si="597"/>
        <v>13.212128961235294</v>
      </c>
      <c r="IO94" s="702">
        <v>5.2371230364559297E-2</v>
      </c>
      <c r="IP94" s="5">
        <f t="shared" si="598"/>
        <v>2.16</v>
      </c>
      <c r="IQ94" s="714">
        <v>1080</v>
      </c>
      <c r="IR94" s="9">
        <f t="shared" si="599"/>
        <v>-4.6734295163530577</v>
      </c>
      <c r="IS94" s="5">
        <f t="shared" si="600"/>
        <v>-1.0446207994544796</v>
      </c>
      <c r="IT94" s="5">
        <f t="shared" si="601"/>
        <v>0.3125</v>
      </c>
      <c r="IU94" s="5">
        <f t="shared" si="602"/>
        <v>0.2873571476443329</v>
      </c>
      <c r="IV94" s="670">
        <f t="shared" si="603"/>
        <v>54.048010045486649</v>
      </c>
      <c r="IW94" s="9">
        <f t="shared" si="604"/>
        <v>-4.6587367544457434</v>
      </c>
      <c r="IX94" s="5">
        <f t="shared" si="605"/>
        <v>-1.077526991199758</v>
      </c>
      <c r="IY94" s="5">
        <f t="shared" si="606"/>
        <v>0.255</v>
      </c>
      <c r="IZ94" s="5">
        <f t="shared" si="607"/>
        <v>0.255</v>
      </c>
      <c r="JA94" s="705">
        <f t="shared" si="608"/>
        <v>54.999992058983658</v>
      </c>
    </row>
    <row r="95" spans="1:261" ht="15" customHeight="1" x14ac:dyDescent="0.25">
      <c r="A95" s="75">
        <f t="shared" si="256"/>
        <v>0</v>
      </c>
      <c r="B95" s="578">
        <f t="shared" si="515"/>
        <v>-3.3342933249960316</v>
      </c>
      <c r="C95" s="572">
        <f t="shared" si="516"/>
        <v>3.6571216924399015</v>
      </c>
      <c r="D95" s="576">
        <f t="shared" si="517"/>
        <v>-1.7777544182838394</v>
      </c>
      <c r="E95" s="580">
        <f t="shared" si="518"/>
        <v>-0.65372534475586086</v>
      </c>
      <c r="F95" s="572">
        <f t="shared" si="519"/>
        <v>0.71701944195544065</v>
      </c>
      <c r="G95" s="579">
        <f t="shared" si="520"/>
        <v>0.2419220814265195</v>
      </c>
      <c r="H95" s="580">
        <f t="shared" si="521"/>
        <v>0.255</v>
      </c>
      <c r="I95" s="572">
        <f t="shared" si="522"/>
        <v>0.41499999999999992</v>
      </c>
      <c r="J95" s="483">
        <f t="shared" si="523"/>
        <v>6.2359999999999998</v>
      </c>
      <c r="K95" s="806" t="str">
        <f t="shared" si="524"/>
        <v>CPS-32193r1</v>
      </c>
      <c r="L95" s="309"/>
      <c r="M95" s="164">
        <f t="shared" si="526"/>
        <v>6.2359999999999998</v>
      </c>
      <c r="N95" s="575">
        <f t="shared" si="527"/>
        <v>-3.3342933249960316</v>
      </c>
      <c r="O95" s="572">
        <f t="shared" si="528"/>
        <v>3.6571216924399015</v>
      </c>
      <c r="P95" s="576">
        <f t="shared" si="529"/>
        <v>-1.7777544182838394</v>
      </c>
      <c r="Q95" s="528">
        <f t="shared" si="609"/>
        <v>132.35624706451628</v>
      </c>
      <c r="R95" s="572">
        <f t="shared" si="101"/>
        <v>4.9489444380016616</v>
      </c>
      <c r="S95" s="577">
        <f t="shared" si="102"/>
        <v>-1.7777544182838394</v>
      </c>
      <c r="T95" s="578">
        <f t="shared" si="103"/>
        <v>3.6318257300953647</v>
      </c>
      <c r="U95" s="572">
        <f t="shared" si="104"/>
        <v>3.3618288053743681</v>
      </c>
      <c r="V95" s="579">
        <f t="shared" si="141"/>
        <v>-1.7777544182838394</v>
      </c>
      <c r="W95" s="528">
        <f t="shared" si="735"/>
        <v>42.789137910387268</v>
      </c>
      <c r="X95" s="572">
        <f t="shared" si="105"/>
        <v>4.9489444380016616</v>
      </c>
      <c r="Y95" s="573">
        <f t="shared" si="733"/>
        <v>-1.7777544182838394</v>
      </c>
      <c r="Z95" s="575">
        <f t="shared" si="530"/>
        <v>0.65372534475586086</v>
      </c>
      <c r="AA95" s="572">
        <f t="shared" si="531"/>
        <v>-0.71701944195544065</v>
      </c>
      <c r="AB95" s="572">
        <f t="shared" si="532"/>
        <v>-0.2419220814265195</v>
      </c>
      <c r="AC95" s="579">
        <f t="shared" si="106"/>
        <v>1</v>
      </c>
      <c r="AD95" s="580">
        <f t="shared" si="142"/>
        <v>0.65372534475586086</v>
      </c>
      <c r="AE95" s="572">
        <f t="shared" si="107"/>
        <v>-0.71701944195544065</v>
      </c>
      <c r="AF95" s="576">
        <f t="shared" si="108"/>
        <v>-0.2419220814265195</v>
      </c>
      <c r="AG95" s="545">
        <f t="shared" si="109"/>
        <v>-71.355625047212158</v>
      </c>
      <c r="AH95" s="546">
        <f t="shared" si="110"/>
        <v>49.176930635497932</v>
      </c>
      <c r="AI95" s="528">
        <f t="shared" si="111"/>
        <v>-75.999989026959213</v>
      </c>
      <c r="AJ95" s="529">
        <f t="shared" si="112"/>
        <v>42.35624706451636</v>
      </c>
      <c r="AK95" s="578">
        <f t="shared" si="238"/>
        <v>1.27675647831893E-15</v>
      </c>
      <c r="AL95" s="572">
        <f t="shared" si="113"/>
        <v>-0.9702956799441399</v>
      </c>
      <c r="AM95" s="577">
        <f t="shared" si="114"/>
        <v>-0.2419220814265195</v>
      </c>
      <c r="AN95" s="524">
        <f t="shared" si="115"/>
        <v>-75.999989026959227</v>
      </c>
      <c r="AO95" s="525">
        <f t="shared" si="525"/>
        <v>0</v>
      </c>
      <c r="AP95" s="528">
        <f t="shared" si="117"/>
        <v>-89.999999999999929</v>
      </c>
      <c r="AQ95" s="529">
        <f t="shared" si="533"/>
        <v>0.18425899109531665</v>
      </c>
      <c r="AS95" s="932">
        <f t="shared" si="632"/>
        <v>42.789137910387268</v>
      </c>
      <c r="AT95" s="928">
        <f t="shared" si="534"/>
        <v>-1.6903852060961018</v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>Taper</v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731"/>
        <v>6.2359999999999998</v>
      </c>
      <c r="IJ95" s="674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0.13600000000000001</v>
      </c>
      <c r="IK95" s="677" cm="1">
        <f t="array" ref="IK95">IFERROR(ROUND(VALUE(IF($IJ95&lt;1,$IJ95+LARGE((IF($M$9:$M$150="",0,$M$9:$M$150)-MOD(IF($M$9:$M$150="",0,$M$9:$M$150),1)),1),$IJ95)),4),"")</f>
        <v>6.1360000000000001</v>
      </c>
      <c r="IL95" s="482">
        <f t="shared" si="596"/>
        <v>1613</v>
      </c>
      <c r="IM95" s="482" t="str">
        <f t="shared" si="732"/>
        <v>CPS-32193r1</v>
      </c>
      <c r="IN95" s="670">
        <f t="shared" si="597"/>
        <v>12.399059166296439</v>
      </c>
      <c r="IO95" s="702">
        <v>4.94705443907393E-2</v>
      </c>
      <c r="IP95" s="5">
        <f t="shared" si="598"/>
        <v>2.48</v>
      </c>
      <c r="IQ95" s="714">
        <v>1240</v>
      </c>
      <c r="IR95" s="9">
        <f t="shared" si="599"/>
        <v>-4.9750965181077582</v>
      </c>
      <c r="IS95" s="5">
        <f t="shared" si="600"/>
        <v>-1.7486335618917748</v>
      </c>
      <c r="IT95" s="5">
        <f t="shared" si="601"/>
        <v>0.3125</v>
      </c>
      <c r="IU95" s="5">
        <f t="shared" si="602"/>
        <v>0.27813574552507969</v>
      </c>
      <c r="IV95" s="670">
        <f t="shared" si="603"/>
        <v>72.623499997444313</v>
      </c>
      <c r="IW95" s="9">
        <f t="shared" si="604"/>
        <v>-4.9489444380016616</v>
      </c>
      <c r="IX95" s="5">
        <f t="shared" si="605"/>
        <v>-1.7777544182838394</v>
      </c>
      <c r="IY95" s="5">
        <f t="shared" si="606"/>
        <v>0.255</v>
      </c>
      <c r="IZ95" s="5">
        <f t="shared" si="607"/>
        <v>0.255</v>
      </c>
      <c r="JA95" s="705">
        <f t="shared" si="608"/>
        <v>75.999989026959227</v>
      </c>
    </row>
    <row r="96" spans="1:261" ht="15" customHeight="1" x14ac:dyDescent="0.25">
      <c r="A96" s="75">
        <f t="shared" si="256"/>
        <v>0</v>
      </c>
      <c r="B96" s="578">
        <f t="shared" si="515"/>
        <v>-3.3671178074450063</v>
      </c>
      <c r="C96" s="572">
        <f t="shared" si="516"/>
        <v>3.6865252839574776</v>
      </c>
      <c r="D96" s="576">
        <f t="shared" si="517"/>
        <v>-2.5328581171971742</v>
      </c>
      <c r="E96" s="580">
        <f t="shared" si="518"/>
        <v>-0.67439605391200885</v>
      </c>
      <c r="F96" s="572">
        <f t="shared" si="519"/>
        <v>0.73836980062016311</v>
      </c>
      <c r="G96" s="579">
        <f t="shared" si="520"/>
        <v>2.2679489637689168E-7</v>
      </c>
      <c r="H96" s="580">
        <f t="shared" si="521"/>
        <v>0.255</v>
      </c>
      <c r="I96" s="572">
        <f t="shared" si="522"/>
        <v>0.41499999999999992</v>
      </c>
      <c r="J96" s="483">
        <f t="shared" si="523"/>
        <v>6.242</v>
      </c>
      <c r="K96" s="806" t="str">
        <f t="shared" si="524"/>
        <v>CPS-32193r1</v>
      </c>
      <c r="L96" s="309"/>
      <c r="M96" s="164">
        <f t="shared" si="526"/>
        <v>6.242</v>
      </c>
      <c r="N96" s="575">
        <f t="shared" si="527"/>
        <v>-3.3671178074450063</v>
      </c>
      <c r="O96" s="572">
        <f t="shared" si="528"/>
        <v>3.6865252839574776</v>
      </c>
      <c r="P96" s="576">
        <f t="shared" si="529"/>
        <v>-2.5328581171971742</v>
      </c>
      <c r="Q96" s="528">
        <f t="shared" si="609"/>
        <v>132.40726786826301</v>
      </c>
      <c r="R96" s="572">
        <f t="shared" si="101"/>
        <v>4.9927899012947687</v>
      </c>
      <c r="S96" s="577">
        <f t="shared" si="102"/>
        <v>-2.5328581171971742</v>
      </c>
      <c r="T96" s="578">
        <f t="shared" si="103"/>
        <v>3.6609804836161932</v>
      </c>
      <c r="U96" s="572">
        <f t="shared" si="104"/>
        <v>3.3948745038737989</v>
      </c>
      <c r="V96" s="579">
        <f t="shared" si="141"/>
        <v>-2.5328581171971742</v>
      </c>
      <c r="W96" s="528">
        <f t="shared" si="735"/>
        <v>42.840158714133992</v>
      </c>
      <c r="X96" s="572">
        <f t="shared" si="105"/>
        <v>4.9927899012947687</v>
      </c>
      <c r="Y96" s="573">
        <f t="shared" si="733"/>
        <v>-2.5328581171971742</v>
      </c>
      <c r="Z96" s="575">
        <f t="shared" si="530"/>
        <v>0.67439605391200885</v>
      </c>
      <c r="AA96" s="572">
        <f t="shared" si="531"/>
        <v>-0.73836980062016311</v>
      </c>
      <c r="AB96" s="572">
        <f t="shared" si="532"/>
        <v>-2.2679489637689168E-7</v>
      </c>
      <c r="AC96" s="579">
        <f t="shared" si="106"/>
        <v>1</v>
      </c>
      <c r="AD96" s="580">
        <f t="shared" si="142"/>
        <v>0.67439605391200885</v>
      </c>
      <c r="AE96" s="572">
        <f t="shared" si="107"/>
        <v>-0.73836980062016311</v>
      </c>
      <c r="AF96" s="576">
        <f t="shared" si="108"/>
        <v>-2.2679489637689168E-7</v>
      </c>
      <c r="AG96" s="545">
        <f t="shared" si="109"/>
        <v>-89.999982401243443</v>
      </c>
      <c r="AH96" s="546">
        <f t="shared" si="110"/>
        <v>47.59273213173833</v>
      </c>
      <c r="AI96" s="528">
        <f t="shared" si="111"/>
        <v>-89.999987005609626</v>
      </c>
      <c r="AJ96" s="529">
        <f t="shared" si="112"/>
        <v>42.407267868263013</v>
      </c>
      <c r="AK96" s="578">
        <f t="shared" si="238"/>
        <v>1.6653345369377348E-16</v>
      </c>
      <c r="AL96" s="572">
        <f t="shared" si="113"/>
        <v>-0.99999999999997424</v>
      </c>
      <c r="AM96" s="577">
        <f t="shared" si="114"/>
        <v>-2.2679489637689168E-7</v>
      </c>
      <c r="AN96" s="524">
        <f t="shared" si="115"/>
        <v>-89.999987005609626</v>
      </c>
      <c r="AO96" s="525">
        <f t="shared" si="525"/>
        <v>0</v>
      </c>
      <c r="AP96" s="528">
        <f t="shared" si="117"/>
        <v>-90</v>
      </c>
      <c r="AQ96" s="529">
        <f t="shared" si="533"/>
        <v>0.18264088458182831</v>
      </c>
      <c r="AS96" s="932">
        <f t="shared" si="632"/>
        <v>42.840158714133992</v>
      </c>
      <c r="AT96" s="928">
        <f t="shared" si="534"/>
        <v>-2.445503077454922</v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>Taper</v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731"/>
        <v>6.242</v>
      </c>
      <c r="IJ96" s="674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0.14199999999999999</v>
      </c>
      <c r="IK96" s="677" cm="1">
        <f t="array" ref="IK96">IFERROR(ROUND(VALUE(IF($IJ96&lt;1,$IJ96+LARGE((IF($M$9:$M$150="",0,$M$9:$M$150)-MOD(IF($M$9:$M$150="",0,$M$9:$M$150),1)),1),$IJ96)),4),"")</f>
        <v>6.1420000000000003</v>
      </c>
      <c r="IL96" s="482">
        <f t="shared" si="596"/>
        <v>1613</v>
      </c>
      <c r="IM96" s="482" t="str">
        <f t="shared" si="732"/>
        <v>CPS-32193r1</v>
      </c>
      <c r="IN96" s="670">
        <f t="shared" si="597"/>
        <v>12.271230721814703</v>
      </c>
      <c r="IO96" s="702">
        <v>4.8062200035361102E-2</v>
      </c>
      <c r="IP96" s="5">
        <f t="shared" si="598"/>
        <v>2.76</v>
      </c>
      <c r="IQ96" s="714">
        <v>1380</v>
      </c>
      <c r="IR96" s="9">
        <f t="shared" si="599"/>
        <v>-5.0270040657372705</v>
      </c>
      <c r="IS96" s="5">
        <f t="shared" si="600"/>
        <v>-2.5090861683839214</v>
      </c>
      <c r="IT96" s="5">
        <f t="shared" si="601"/>
        <v>0.3125</v>
      </c>
      <c r="IU96" s="5">
        <f t="shared" si="602"/>
        <v>0.27121974842239466</v>
      </c>
      <c r="IV96" s="670">
        <f t="shared" si="603"/>
        <v>84.96994937215598</v>
      </c>
      <c r="IW96" s="9">
        <f t="shared" si="604"/>
        <v>-4.9927899012947687</v>
      </c>
      <c r="IX96" s="5">
        <f t="shared" si="605"/>
        <v>-2.5328581171971742</v>
      </c>
      <c r="IY96" s="5">
        <f t="shared" si="606"/>
        <v>0.255</v>
      </c>
      <c r="IZ96" s="5">
        <f t="shared" si="607"/>
        <v>0.255</v>
      </c>
      <c r="JA96" s="705">
        <f t="shared" si="608"/>
        <v>89.999987005609626</v>
      </c>
    </row>
    <row r="97" spans="1:261" ht="15" customHeight="1" x14ac:dyDescent="0.25">
      <c r="A97" s="75">
        <f t="shared" si="256"/>
        <v>0</v>
      </c>
      <c r="B97" s="578">
        <f t="shared" si="515"/>
        <v>-3.3858148758125473</v>
      </c>
      <c r="C97" s="572">
        <f t="shared" si="516"/>
        <v>3.7074845017079396</v>
      </c>
      <c r="D97" s="576">
        <f t="shared" si="517"/>
        <v>-3.2842455827189281</v>
      </c>
      <c r="E97" s="580">
        <f t="shared" si="518"/>
        <v>-0.67434760161948892</v>
      </c>
      <c r="F97" s="572">
        <f t="shared" si="519"/>
        <v>0.73841405199927757</v>
      </c>
      <c r="G97" s="579">
        <f t="shared" si="520"/>
        <v>2.2679489684873658E-7</v>
      </c>
      <c r="H97" s="580">
        <f t="shared" si="521"/>
        <v>0.255</v>
      </c>
      <c r="I97" s="572">
        <f t="shared" si="522"/>
        <v>0.41499999999999992</v>
      </c>
      <c r="J97" s="483">
        <f t="shared" si="523"/>
        <v>6.2480000000000002</v>
      </c>
      <c r="K97" s="806" t="str">
        <f t="shared" si="524"/>
        <v>CPS-32193r1</v>
      </c>
      <c r="L97" s="309"/>
      <c r="M97" s="164">
        <f t="shared" si="526"/>
        <v>6.2480000000000002</v>
      </c>
      <c r="N97" s="575">
        <f t="shared" si="527"/>
        <v>-3.3858148758125473</v>
      </c>
      <c r="O97" s="572">
        <f t="shared" si="528"/>
        <v>3.7074845017079396</v>
      </c>
      <c r="P97" s="576">
        <f t="shared" si="529"/>
        <v>-3.2842455827189281</v>
      </c>
      <c r="Q97" s="528">
        <f t="shared" si="609"/>
        <v>132.40350819569721</v>
      </c>
      <c r="R97" s="572">
        <f t="shared" si="101"/>
        <v>5.02087479466259</v>
      </c>
      <c r="S97" s="577">
        <f t="shared" si="102"/>
        <v>-3.2842455827189281</v>
      </c>
      <c r="T97" s="578">
        <f t="shared" si="103"/>
        <v>3.6817978412194683</v>
      </c>
      <c r="U97" s="572">
        <f t="shared" si="104"/>
        <v>3.4137293917458904</v>
      </c>
      <c r="V97" s="579">
        <f t="shared" si="141"/>
        <v>-3.2842455827189281</v>
      </c>
      <c r="W97" s="528">
        <f t="shared" si="735"/>
        <v>42.8363990415682</v>
      </c>
      <c r="X97" s="572">
        <f t="shared" si="105"/>
        <v>5.02087479466259</v>
      </c>
      <c r="Y97" s="573">
        <f t="shared" si="733"/>
        <v>-3.2842455827189281</v>
      </c>
      <c r="Z97" s="575">
        <f t="shared" si="530"/>
        <v>0.67434760161948892</v>
      </c>
      <c r="AA97" s="572">
        <f t="shared" si="531"/>
        <v>-0.73841405199927757</v>
      </c>
      <c r="AB97" s="572">
        <f t="shared" si="532"/>
        <v>-2.2679489684873658E-7</v>
      </c>
      <c r="AC97" s="579">
        <f t="shared" si="106"/>
        <v>1</v>
      </c>
      <c r="AD97" s="580">
        <f t="shared" si="142"/>
        <v>0.67434760161948892</v>
      </c>
      <c r="AE97" s="572">
        <f t="shared" si="107"/>
        <v>-0.73841405199927757</v>
      </c>
      <c r="AF97" s="576">
        <f t="shared" si="108"/>
        <v>-2.2679489684873658E-7</v>
      </c>
      <c r="AG97" s="545">
        <f t="shared" si="109"/>
        <v>-89.999982402298045</v>
      </c>
      <c r="AH97" s="546">
        <f t="shared" si="110"/>
        <v>47.596491804304094</v>
      </c>
      <c r="AI97" s="528">
        <f t="shared" si="111"/>
        <v>-89.999987005609597</v>
      </c>
      <c r="AJ97" s="529">
        <f t="shared" si="112"/>
        <v>42.403508195697242</v>
      </c>
      <c r="AK97" s="578">
        <f t="shared" si="238"/>
        <v>5.5511151231257827E-16</v>
      </c>
      <c r="AL97" s="572">
        <f t="shared" si="113"/>
        <v>-0.99999999999997424</v>
      </c>
      <c r="AM97" s="577">
        <f t="shared" si="114"/>
        <v>-2.2679489684873658E-7</v>
      </c>
      <c r="AN97" s="524">
        <f t="shared" si="115"/>
        <v>-89.999987005609597</v>
      </c>
      <c r="AO97" s="525">
        <f t="shared" si="525"/>
        <v>0</v>
      </c>
      <c r="AP97" s="528">
        <f t="shared" si="117"/>
        <v>-89.999999999999972</v>
      </c>
      <c r="AQ97" s="529">
        <f t="shared" si="533"/>
        <v>0.18161926673217044</v>
      </c>
      <c r="AS97" s="932">
        <f t="shared" si="632"/>
        <v>42.8363990415682</v>
      </c>
      <c r="AT97" s="928">
        <f t="shared" si="534"/>
        <v>-3.1968894986231851</v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>Taper</v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>
        <f t="shared" si="731"/>
        <v>6.2480000000000002</v>
      </c>
      <c r="IJ97" s="674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0.14799999999999999</v>
      </c>
      <c r="IK97" s="677" cm="1">
        <f t="array" ref="IK97">IFERROR(ROUND(VALUE(IF($IJ97&lt;1,$IJ97+LARGE((IF($M$9:$M$150="",0,$M$9:$M$150)-MOD(IF($M$9:$M$150="",0,$M$9:$M$150),1)),1),$IJ97)),4),"")</f>
        <v>6.1479999999999997</v>
      </c>
      <c r="IL97" s="482">
        <f t="shared" si="596"/>
        <v>1613</v>
      </c>
      <c r="IM97" s="482" t="str">
        <f t="shared" si="732"/>
        <v>CPS-32193r1</v>
      </c>
      <c r="IN97" s="670">
        <f t="shared" si="597"/>
        <v>12.202087403953357</v>
      </c>
      <c r="IO97" s="702">
        <v>4.8104159123766699E-2</v>
      </c>
      <c r="IP97" s="5">
        <f t="shared" si="598"/>
        <v>2.78</v>
      </c>
      <c r="IQ97" s="714">
        <v>1390</v>
      </c>
      <c r="IR97" s="9">
        <f t="shared" si="599"/>
        <v>-5.0550887932628417</v>
      </c>
      <c r="IS97" s="5">
        <f t="shared" si="600"/>
        <v>-3.2605907014524296</v>
      </c>
      <c r="IT97" s="5">
        <f t="shared" si="601"/>
        <v>0.3125</v>
      </c>
      <c r="IU97" s="5">
        <f t="shared" si="602"/>
        <v>0.2712167877918456</v>
      </c>
      <c r="IV97" s="670">
        <f t="shared" si="603"/>
        <v>84.970117416838406</v>
      </c>
      <c r="IW97" s="9">
        <f t="shared" si="604"/>
        <v>-5.02087479466259</v>
      </c>
      <c r="IX97" s="5">
        <f t="shared" si="605"/>
        <v>-3.2842455827189281</v>
      </c>
      <c r="IY97" s="5">
        <f t="shared" si="606"/>
        <v>0.255</v>
      </c>
      <c r="IZ97" s="5">
        <f t="shared" si="607"/>
        <v>0.255</v>
      </c>
      <c r="JA97" s="705">
        <f t="shared" si="608"/>
        <v>89.999987005609597</v>
      </c>
    </row>
    <row r="98" spans="1:261" ht="15" customHeight="1" x14ac:dyDescent="0.25">
      <c r="A98" s="75">
        <f t="shared" si="256"/>
        <v>0.02</v>
      </c>
      <c r="B98" s="578">
        <f t="shared" si="515"/>
        <v>4.9739065424101296</v>
      </c>
      <c r="C98" s="572">
        <f t="shared" si="516"/>
        <v>1.2243404882263293</v>
      </c>
      <c r="D98" s="576">
        <f t="shared" si="517"/>
        <v>-9.4977962776039639</v>
      </c>
      <c r="E98" s="580">
        <f t="shared" si="518"/>
        <v>0.42889641180125504</v>
      </c>
      <c r="F98" s="572">
        <f t="shared" si="519"/>
        <v>0.89643132942197401</v>
      </c>
      <c r="G98" s="579">
        <f t="shared" si="520"/>
        <v>-0.11161872412261593</v>
      </c>
      <c r="H98" s="580">
        <f t="shared" si="521"/>
        <v>0.26450000000000001</v>
      </c>
      <c r="I98" s="572">
        <f t="shared" si="522"/>
        <v>0.52</v>
      </c>
      <c r="J98" s="483">
        <f t="shared" si="523"/>
        <v>6.2539999999999996</v>
      </c>
      <c r="K98" s="806">
        <f t="shared" si="524"/>
        <v>1313</v>
      </c>
      <c r="L98" s="309"/>
      <c r="M98" s="164">
        <f t="shared" si="526"/>
        <v>6.2539999999999996</v>
      </c>
      <c r="N98" s="575">
        <f t="shared" si="527"/>
        <v>4.9739065424101296</v>
      </c>
      <c r="O98" s="572">
        <f t="shared" si="528"/>
        <v>1.2243404882263293</v>
      </c>
      <c r="P98" s="576">
        <f t="shared" si="529"/>
        <v>-9.4977962776039639</v>
      </c>
      <c r="Q98" s="528">
        <f t="shared" si="609"/>
        <v>13.828588655215095</v>
      </c>
      <c r="R98" s="572">
        <f t="shared" si="101"/>
        <v>5.1223779559634774</v>
      </c>
      <c r="S98" s="577">
        <f t="shared" si="102"/>
        <v>-9.4977962776039639</v>
      </c>
      <c r="T98" s="578">
        <f t="shared" si="103"/>
        <v>1.2618848930359758</v>
      </c>
      <c r="U98" s="572">
        <f t="shared" si="104"/>
        <v>-4.9645143207033007</v>
      </c>
      <c r="V98" s="579">
        <f t="shared" si="141"/>
        <v>-9.4977962776039639</v>
      </c>
      <c r="W98" s="528">
        <f t="shared" si="735"/>
        <v>284.26147950108606</v>
      </c>
      <c r="X98" s="572">
        <f t="shared" si="105"/>
        <v>5.1223779559634774</v>
      </c>
      <c r="Y98" s="573">
        <f t="shared" si="733"/>
        <v>-9.4977962776039639</v>
      </c>
      <c r="Z98" s="575">
        <f t="shared" si="530"/>
        <v>-0.42889641180125504</v>
      </c>
      <c r="AA98" s="572">
        <f t="shared" si="531"/>
        <v>-0.89643132942197401</v>
      </c>
      <c r="AB98" s="572">
        <f t="shared" si="532"/>
        <v>0.11161872412261593</v>
      </c>
      <c r="AC98" s="579">
        <f t="shared" si="106"/>
        <v>1</v>
      </c>
      <c r="AD98" s="580">
        <f t="shared" si="142"/>
        <v>-0.42889641180125504</v>
      </c>
      <c r="AE98" s="572">
        <f t="shared" si="107"/>
        <v>-0.89643132942197401</v>
      </c>
      <c r="AF98" s="576">
        <f t="shared" si="108"/>
        <v>0.11161872412261593</v>
      </c>
      <c r="AG98" s="545">
        <f t="shared" si="109"/>
        <v>-97.097627164582363</v>
      </c>
      <c r="AH98" s="546">
        <f t="shared" si="110"/>
        <v>115.39754403286952</v>
      </c>
      <c r="AI98" s="528">
        <f t="shared" si="111"/>
        <v>-96.408636339561298</v>
      </c>
      <c r="AJ98" s="529">
        <f t="shared" si="112"/>
        <v>-25.568723450490616</v>
      </c>
      <c r="AK98" s="578">
        <f t="shared" si="238"/>
        <v>0.7679344331533634</v>
      </c>
      <c r="AL98" s="572">
        <f t="shared" si="113"/>
        <v>-0.63072812431558956</v>
      </c>
      <c r="AM98" s="577">
        <f t="shared" si="114"/>
        <v>0.11161872412261593</v>
      </c>
      <c r="AN98" s="524">
        <f t="shared" si="115"/>
        <v>-100.03561890671624</v>
      </c>
      <c r="AO98" s="525">
        <f t="shared" si="525"/>
        <v>39.831236627249652</v>
      </c>
      <c r="AP98" s="528">
        <f t="shared" si="117"/>
        <v>-39.397312105705694</v>
      </c>
      <c r="AQ98" s="529">
        <f t="shared" si="533"/>
        <v>0.17802038940560674</v>
      </c>
      <c r="AS98" s="932">
        <f t="shared" si="632"/>
        <v>-75.738520498913942</v>
      </c>
      <c r="AT98" s="928">
        <f t="shared" si="534"/>
        <v>-9.3775027158580873</v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>
        <f t="shared" si="731"/>
        <v>6.2539999999999996</v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>
        <f t="shared" si="596"/>
        <v>1313</v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264" t="s">
        <v>42</v>
      </c>
      <c r="C157" s="1265"/>
      <c r="D157" s="1265"/>
      <c r="E157" s="1265"/>
      <c r="F157" s="1265"/>
      <c r="G157" s="1265"/>
      <c r="H157" s="1265"/>
      <c r="I157" s="1265"/>
      <c r="J157" s="1265"/>
      <c r="K157" s="1265"/>
      <c r="L157" s="1265"/>
      <c r="M157" s="1265"/>
      <c r="N157" s="1265"/>
      <c r="O157" s="1266"/>
      <c r="BC157" t="s">
        <v>101</v>
      </c>
      <c r="BD157" s="219">
        <v>0</v>
      </c>
    </row>
    <row r="158" spans="1:261" ht="15" customHeight="1" x14ac:dyDescent="0.25">
      <c r="B158" s="1267"/>
      <c r="C158" s="1268"/>
      <c r="D158" s="1268"/>
      <c r="E158" s="1268"/>
      <c r="F158" s="1268"/>
      <c r="G158" s="1268"/>
      <c r="H158" s="1268"/>
      <c r="I158" s="1268"/>
      <c r="J158" s="1268"/>
      <c r="K158" s="1268"/>
      <c r="L158" s="1268"/>
      <c r="M158" s="1268"/>
      <c r="N158" s="1268"/>
      <c r="O158" s="1269"/>
      <c r="BC158" t="s">
        <v>102</v>
      </c>
      <c r="BD158" s="219">
        <v>0.01</v>
      </c>
    </row>
    <row r="159" spans="1:261" ht="15" customHeight="1" x14ac:dyDescent="0.25">
      <c r="B159" s="1267"/>
      <c r="C159" s="1268"/>
      <c r="D159" s="1268"/>
      <c r="E159" s="1268"/>
      <c r="F159" s="1268"/>
      <c r="G159" s="1268"/>
      <c r="H159" s="1268"/>
      <c r="I159" s="1268"/>
      <c r="J159" s="1268"/>
      <c r="K159" s="1268"/>
      <c r="L159" s="1268"/>
      <c r="M159" s="1268"/>
      <c r="N159" s="1268"/>
      <c r="O159" s="1269"/>
      <c r="AJ159" s="31" t="s">
        <v>349</v>
      </c>
      <c r="AU159"/>
    </row>
    <row r="160" spans="1:261" ht="15" customHeight="1" x14ac:dyDescent="0.25">
      <c r="B160" s="1270" t="str">
        <f>CONCATENATE(B162," ; ",E162," ; ",H163)</f>
        <v>Absolute-Point ; Incremental-Vector Point ; Radius</v>
      </c>
      <c r="C160" s="1271"/>
      <c r="D160" s="1271"/>
      <c r="E160" s="1271"/>
      <c r="F160" s="1271"/>
      <c r="G160" s="1271"/>
      <c r="H160" s="1271"/>
      <c r="I160" s="1271"/>
      <c r="J160" s="1271"/>
      <c r="K160" s="1271"/>
      <c r="L160" s="1271"/>
      <c r="M160" s="1271"/>
      <c r="N160" s="1271"/>
      <c r="O160" s="1272"/>
      <c r="AJ160" s="82">
        <f>COUNT(_xlfn.ANCHORARRAY($AJ$164))</f>
        <v>540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270"/>
      <c r="C161" s="1271"/>
      <c r="D161" s="1271"/>
      <c r="E161" s="1271"/>
      <c r="F161" s="1271"/>
      <c r="G161" s="1271"/>
      <c r="H161" s="1271"/>
      <c r="I161" s="1271"/>
      <c r="J161" s="1271"/>
      <c r="K161" s="1271"/>
      <c r="L161" s="1271"/>
      <c r="M161" s="1271"/>
      <c r="N161" s="1271"/>
      <c r="O161" s="1272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976" t="s">
        <v>40</v>
      </c>
      <c r="C162" s="977"/>
      <c r="D162" s="978"/>
      <c r="E162" s="979" t="s">
        <v>41</v>
      </c>
      <c r="F162" s="977"/>
      <c r="G162" s="980"/>
      <c r="H162" s="981" t="s">
        <v>305</v>
      </c>
      <c r="I162" s="982"/>
      <c r="J162" s="983"/>
      <c r="K162" s="981" t="s">
        <v>386</v>
      </c>
      <c r="L162" s="1052"/>
      <c r="M162" s="937"/>
      <c r="N162" s="984" t="s">
        <v>398</v>
      </c>
      <c r="O162" s="985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0</v>
      </c>
      <c r="C164" s="646">
        <v>0.34420207622379279</v>
      </c>
      <c r="D164" s="647">
        <v>-0.67270405774475717</v>
      </c>
      <c r="E164" s="648">
        <v>-0.93969265526075596</v>
      </c>
      <c r="F164" s="646">
        <v>-5.9391149678350096E-2</v>
      </c>
      <c r="G164" s="649">
        <v>0.33682399705020138</v>
      </c>
      <c r="H164" s="648">
        <v>0.314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40" t="s">
        <v>420</v>
      </c>
      <c r="M164" s="972">
        <f>AN9</f>
        <v>18.141294048916745</v>
      </c>
      <c r="N164" s="938"/>
      <c r="O164" s="939"/>
      <c r="P164" s="1"/>
      <c r="Q164" s="162">
        <f t="shared" ref="Q164:Q195" si="1059">IFERROR(INDEX(B$164:B$305,MATCH($Y164,$J$164:$J$305,0)),"")</f>
        <v>0</v>
      </c>
      <c r="R164" s="162">
        <f t="shared" ref="R164:R195" si="1060">IFERROR(INDEX(C$164:C$305,MATCH($Y164,$J$164:$J$305,0)),"")</f>
        <v>0.34420207622379279</v>
      </c>
      <c r="S164" s="162">
        <f t="shared" ref="S164:S195" si="1061">IFERROR(INDEX(D$164:D$305,MATCH($Y164,$J$164:$J$305,0)),"")</f>
        <v>-0.67270405774475717</v>
      </c>
      <c r="T164" s="162">
        <f t="shared" ref="T164:T195" si="1062">IFERROR(IF($N164="Y",-1*INDEX(E$164:E$305,MATCH($Y164,$J$164:$J$305,0)),INDEX(E$164:E$305,MATCH($Y164,$J$164:$J$305,0))),"")</f>
        <v>-0.93969265526075596</v>
      </c>
      <c r="U164" s="162">
        <f t="shared" ref="U164:U195" si="1063">IFERROR(IF($N164="Y",-1*INDEX(F$164:F$305,MATCH($Y164,$J$164:$J$305,0)),INDEX(F$164:F$305,MATCH($Y164,$J$164:$J$305,0))),"")</f>
        <v>-5.9391149678350096E-2</v>
      </c>
      <c r="V164" s="162">
        <f t="shared" ref="V164:V195" si="1064">IFERROR(IF($N164="Y",-1*INDEX(G$164:G$305,MATCH($Y164,$J$164:$J$305,0)),INDEX(G$164:G$305,MATCH($Y164,$J$164:$J$305,0))),"")</f>
        <v>0.33682399705020138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65">IFERROR(INDEX(I$164:I$305,MATCH($Y164,$J$164:$J$305,0)),"")</f>
        <v>0.52</v>
      </c>
      <c r="Y164" s="75" cm="1">
        <f t="array" ref="Y164:Y253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1613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703">ROUNDDOWN((_xlfn.ANCHORARRAY(AJ164)*1000),0)/1000</f>
        <v>6.2539999999999996</v>
      </c>
      <c r="AF164" s="166" cm="1">
        <f t="array" ref="AF164:AF703">ROUNDDOWN(_xlfn.ANCHORARRAY(AJ164),0)</f>
        <v>6</v>
      </c>
      <c r="AG164" s="82" cm="1">
        <f t="array" ref="AG164:AG703">VALUE(RIGHT(ROUNDDOWN(_xlfn.ANCHORARRAY(AJ164)*10,0),1))</f>
        <v>2</v>
      </c>
      <c r="AH164" s="82" cm="1">
        <f t="array" ref="AH164:AH703">VALUE(LEFT(RIGHT((_xlfn.ANCHORARRAY($AJ$164)*100000),2),1))</f>
        <v>1</v>
      </c>
      <c r="AI164" s="82" cm="1">
        <f t="array" ref="AI164:AI703">MOD(_xlfn.ANCHORARRAY($AJ$164)*10000,1)*10</f>
        <v>0.99999999998544808</v>
      </c>
      <c r="AJ164" s="166" cm="1">
        <f t="array" ref="AJ164:AJ703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6.2541099999999998</v>
      </c>
      <c r="AK164" s="82" t="str" cm="1">
        <f t="array" ref="AK164:AK703">IF(_xlfn.ANCHORARRAY($AH$164)=1,"Base",_xlfn.ANCHORARRAY($AJ$164)-0.0001)</f>
        <v>Base</v>
      </c>
      <c r="AL164" s="162" cm="1">
        <f t="array" ref="AL164:AL703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703">IF(_xlfn.ANCHORARRAY($AH$164)=1,-INDEX($R$9:$R$150,MATCH(_xlfn.ANCHORARRAY($AE$164),$M$9:$M$150,0)),0)</f>
        <v>-5.1223779559634774</v>
      </c>
      <c r="AN164" s="162" cm="1">
        <f t="array" ref="AN164:AN703">IF(_xlfn.ANCHORARRAY($AH$164)=1,INDEX($AT$9:$AT$150,MATCH(_xlfn.ANCHORARRAY($AE$164),$M$9:$M$150,0))+((_xlfn.ANCHORARRAY($AI$164)-1)*-AS5),0)</f>
        <v>-9.3775027158566324</v>
      </c>
      <c r="AO164" s="162" cm="1">
        <f t="array" ref="AO164:AO703">IF(_xlfn.ANCHORARRAY($AH$164)=1,-INDEX($AN$9:$AN$150,MATCH(_xlfn.ANCHORARRAY($AE$164),$M$9:$M$150,0)),IF(_xlfn.ANCHORARRAY($AH$164)=2,_xlfn.ANCHORARRAY($AY$164),0))</f>
        <v>100.03561890671624</v>
      </c>
      <c r="AP164" s="162" cm="1">
        <f t="array" ref="AP164:AP703">IF(_xlfn.ANCHORARRAY($AH$164)=1,-INDEX($AO$9:$AO$150,MATCH(_xlfn.ANCHORARRAY($AE$164),$M$9:$M$150,0)),0)</f>
        <v>-39.831236627249652</v>
      </c>
      <c r="AQ164" s="162" cm="1">
        <f t="array" ref="AQ164:AQ703">IF(_xlfn.ANCHORARRAY($AJ$164)="value",0,0)</f>
        <v>0</v>
      </c>
      <c r="AR164" s="710" t="str" cm="1">
        <f t="array" ref="AR164:AR703">INDEX($L$164:$L$305,MATCH(_xlfn.ANCHORARRAY($AE$164),$J$164:$J$305,0))</f>
        <v>1313.par</v>
      </c>
      <c r="AV164" s="82" t="str" cm="1">
        <f t="array" ref="AV164:AV703">INDEX(Settings!$C$3:$K$4,_xlfn.ANCHORARRAY(Assy.Model!$AG$164),_xlfn.ANCHORARRAY(Assy.Model!$AF$164))</f>
        <v>188,121,255</v>
      </c>
      <c r="AW164" s="947" cm="1">
        <f t="array" ref="AW164:AW703">-INDEX($M$164:$M$305,MATCH(_xlfn.ANCHORARRAY($AE$164),$J$164:$J$305,0))</f>
        <v>100.03561890671624</v>
      </c>
      <c r="AX164" s="947" cm="1">
        <f t="array" ref="AX164:AX703">-INDEX($AN$9:$AN$150,MATCH(_xlfn.ANCHORARRAY($AE$164),$M$9:$M$150,0))</f>
        <v>100.03561890671624</v>
      </c>
      <c r="AY164" s="947" cm="1">
        <f t="array" ref="AY164:AY703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0</v>
      </c>
      <c r="C165" s="651">
        <v>1.1168067365680765</v>
      </c>
      <c r="D165" s="652">
        <v>-0.46570280911510842</v>
      </c>
      <c r="E165" s="653">
        <v>-0.96592584585534391</v>
      </c>
      <c r="F165" s="651">
        <v>-4.4943436424344438E-2</v>
      </c>
      <c r="G165" s="654">
        <v>0.25488693146375618</v>
      </c>
      <c r="H165" s="653">
        <v>0.314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40" t="s">
        <v>422</v>
      </c>
      <c r="M165" s="973">
        <f t="shared" ref="M165:M228" si="1067">AN10</f>
        <v>13.592723484172373</v>
      </c>
      <c r="N165" s="941"/>
      <c r="O165" s="942"/>
      <c r="Q165" s="162">
        <f t="shared" si="1059"/>
        <v>0</v>
      </c>
      <c r="R165" s="162">
        <f t="shared" si="1060"/>
        <v>1.1168067365680765</v>
      </c>
      <c r="S165" s="162">
        <f t="shared" si="1061"/>
        <v>-0.46570280911510842</v>
      </c>
      <c r="T165" s="162">
        <f t="shared" si="1062"/>
        <v>-0.96592584585534391</v>
      </c>
      <c r="U165" s="162">
        <f t="shared" si="1063"/>
        <v>-4.4943436424344438E-2</v>
      </c>
      <c r="V165" s="162">
        <f t="shared" si="1064"/>
        <v>0.25488693146375618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65"/>
        <v>0.52</v>
      </c>
      <c r="Y165" s="75">
        <v>1.1040000000000001</v>
      </c>
      <c r="Z165" s="917">
        <f t="shared" si="1066"/>
        <v>1613</v>
      </c>
      <c r="AA165" s="82"/>
      <c r="AB165" s="75"/>
      <c r="AC165" s="166">
        <v>6.1000099999999993</v>
      </c>
      <c r="AD165" s="166">
        <v>-25.5</v>
      </c>
      <c r="AE165" s="75">
        <v>6.2480000000000002</v>
      </c>
      <c r="AF165" s="82">
        <v>6</v>
      </c>
      <c r="AG165" s="82">
        <v>2</v>
      </c>
      <c r="AH165" s="82">
        <v>1</v>
      </c>
      <c r="AI165" s="82">
        <v>1.0000000000582077</v>
      </c>
      <c r="AJ165" s="166">
        <v>6.2481100000000005</v>
      </c>
      <c r="AK165" s="82" t="str">
        <v>Base</v>
      </c>
      <c r="AL165" s="162">
        <v>-26.25</v>
      </c>
      <c r="AM165" s="162">
        <v>-5.02087479466259</v>
      </c>
      <c r="AN165" s="162">
        <v>-3.1968894986290057</v>
      </c>
      <c r="AO165" s="162">
        <v>89.999987005609597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47">
        <v>89.999987005609597</v>
      </c>
      <c r="AX165" s="947">
        <v>89.999987005609597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0</v>
      </c>
      <c r="C166" s="651">
        <v>1.8441111236615237</v>
      </c>
      <c r="D166" s="652">
        <v>-0.27080163347298997</v>
      </c>
      <c r="E166" s="653">
        <v>-0.96592584585534369</v>
      </c>
      <c r="F166" s="651">
        <v>-4.4943436424344438E-2</v>
      </c>
      <c r="G166" s="654">
        <v>0.25488693146375646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0" t="s">
        <v>422</v>
      </c>
      <c r="M166" s="973">
        <f t="shared" si="1067"/>
        <v>12.188363844259069</v>
      </c>
      <c r="N166" s="941"/>
      <c r="O166" s="942"/>
      <c r="Q166" s="162">
        <f t="shared" si="1059"/>
        <v>0</v>
      </c>
      <c r="R166" s="162">
        <f t="shared" si="1060"/>
        <v>1.8441111236615237</v>
      </c>
      <c r="S166" s="162">
        <f t="shared" si="1061"/>
        <v>-0.27080163347298997</v>
      </c>
      <c r="T166" s="162">
        <f t="shared" si="1062"/>
        <v>-0.96592584585534369</v>
      </c>
      <c r="U166" s="162">
        <f t="shared" si="1063"/>
        <v>-4.4943436424344438E-2</v>
      </c>
      <c r="V166" s="162">
        <f t="shared" si="1064"/>
        <v>0.25488693146375646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65"/>
        <v>0.52</v>
      </c>
      <c r="Y166" s="75">
        <v>1.107</v>
      </c>
      <c r="Z166" s="917">
        <f t="shared" si="1066"/>
        <v>1613</v>
      </c>
      <c r="AA166" s="82"/>
      <c r="AB166" s="75"/>
      <c r="AC166" s="166">
        <v>5.2000099999999998</v>
      </c>
      <c r="AD166" s="166">
        <v>-24.75</v>
      </c>
      <c r="AE166" s="75">
        <v>6.242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6.2421100000000003</v>
      </c>
      <c r="AK166" s="82" t="str">
        <v>Base</v>
      </c>
      <c r="AL166" s="162">
        <v>-26.25</v>
      </c>
      <c r="AM166" s="162">
        <v>-4.9927899012947687</v>
      </c>
      <c r="AN166" s="162">
        <v>-2.4455030774607427</v>
      </c>
      <c r="AO166" s="162">
        <v>89.999987005609626</v>
      </c>
      <c r="AP166" s="162">
        <v>0</v>
      </c>
      <c r="AQ166" s="162">
        <v>0</v>
      </c>
      <c r="AR166" s="710" t="str">
        <v>32193r1.par</v>
      </c>
      <c r="AV166" s="82" t="str">
        <v>188,121,255</v>
      </c>
      <c r="AW166" s="947">
        <v>89.999987005609626</v>
      </c>
      <c r="AX166" s="947">
        <v>89.999987005609626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0</v>
      </c>
      <c r="C167" s="651">
        <v>2.5541154064008995</v>
      </c>
      <c r="D167" s="652">
        <v>-8.9900542279253259E-2</v>
      </c>
      <c r="E167" s="653">
        <v>-0.96501651244339892</v>
      </c>
      <c r="F167" s="651">
        <v>-1.7700318061921998E-2</v>
      </c>
      <c r="G167" s="654">
        <v>0.26159095827663092</v>
      </c>
      <c r="H167" s="653">
        <v>0.314</v>
      </c>
      <c r="I167" s="920">
        <v>0.52</v>
      </c>
      <c r="J167" s="924">
        <v>1.111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0" t="s">
        <v>422</v>
      </c>
      <c r="M167" s="973">
        <f t="shared" si="1067"/>
        <v>5.4571267998021593</v>
      </c>
      <c r="N167" s="941"/>
      <c r="O167" s="942"/>
      <c r="Q167" s="162">
        <f t="shared" si="1059"/>
        <v>0</v>
      </c>
      <c r="R167" s="162">
        <f t="shared" si="1060"/>
        <v>2.5541154064008995</v>
      </c>
      <c r="S167" s="162">
        <f t="shared" si="1061"/>
        <v>-8.9900542279253259E-2</v>
      </c>
      <c r="T167" s="162">
        <f t="shared" si="1062"/>
        <v>-0.96501651244339892</v>
      </c>
      <c r="U167" s="162">
        <f t="shared" si="1063"/>
        <v>-1.7700318061921998E-2</v>
      </c>
      <c r="V167" s="162">
        <f t="shared" si="1064"/>
        <v>0.26159095827663092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65"/>
        <v>0.52</v>
      </c>
      <c r="Y167" s="75">
        <v>1.111</v>
      </c>
      <c r="Z167" s="917">
        <f t="shared" si="1066"/>
        <v>1613</v>
      </c>
      <c r="AA167" s="82"/>
      <c r="AB167" s="75"/>
      <c r="AC167" s="166">
        <v>5.1000099999999993</v>
      </c>
      <c r="AD167" s="166">
        <v>-24</v>
      </c>
      <c r="AE167" s="75">
        <v>6.2359999999999998</v>
      </c>
      <c r="AF167" s="82">
        <v>6</v>
      </c>
      <c r="AG167" s="82">
        <v>2</v>
      </c>
      <c r="AH167" s="82">
        <v>1</v>
      </c>
      <c r="AI167" s="82">
        <v>0.99999999998544808</v>
      </c>
      <c r="AJ167" s="166">
        <v>6.23611</v>
      </c>
      <c r="AK167" s="82" t="str">
        <v>Base</v>
      </c>
      <c r="AL167" s="162">
        <v>-26.25</v>
      </c>
      <c r="AM167" s="162">
        <v>-4.9489444380016616</v>
      </c>
      <c r="AN167" s="162">
        <v>-1.6903852060946465</v>
      </c>
      <c r="AO167" s="162">
        <v>75.999989026959227</v>
      </c>
      <c r="AP167" s="162">
        <v>0</v>
      </c>
      <c r="AQ167" s="162">
        <v>0</v>
      </c>
      <c r="AR167" s="710" t="str">
        <v>32193r1.par</v>
      </c>
      <c r="AV167" s="82" t="str">
        <v>188,121,255</v>
      </c>
      <c r="AW167" s="947">
        <v>75.999989026959227</v>
      </c>
      <c r="AX167" s="947">
        <v>75.999989026959227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6.61092891505207E-3</v>
      </c>
      <c r="C168" s="651">
        <v>3.3226134652124575</v>
      </c>
      <c r="D168" s="652">
        <v>-9.9500600186715388E-2</v>
      </c>
      <c r="E168" s="653">
        <v>-0.96208031115016845</v>
      </c>
      <c r="F168" s="651">
        <v>7.0162076877133495E-2</v>
      </c>
      <c r="G168" s="654">
        <v>0.2635882354458986</v>
      </c>
      <c r="H168" s="653">
        <v>0.314</v>
      </c>
      <c r="I168" s="920">
        <v>0.52</v>
      </c>
      <c r="J168" s="924">
        <v>1.117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0" t="s">
        <v>422</v>
      </c>
      <c r="M168" s="973">
        <f t="shared" si="1067"/>
        <v>-13.374429842880255</v>
      </c>
      <c r="N168" s="941"/>
      <c r="O168" s="942"/>
      <c r="Q168" s="162">
        <f t="shared" si="1059"/>
        <v>6.61092891505207E-3</v>
      </c>
      <c r="R168" s="162">
        <f t="shared" si="1060"/>
        <v>3.3226134652124575</v>
      </c>
      <c r="S168" s="162">
        <f t="shared" si="1061"/>
        <v>-9.9500600186715388E-2</v>
      </c>
      <c r="T168" s="162">
        <f t="shared" si="1062"/>
        <v>-0.96208031115016845</v>
      </c>
      <c r="U168" s="162">
        <f t="shared" si="1063"/>
        <v>7.0162076877133495E-2</v>
      </c>
      <c r="V168" s="162">
        <f t="shared" si="1064"/>
        <v>0.2635882354458986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65"/>
        <v>0.52</v>
      </c>
      <c r="Y168" s="75">
        <v>1.117</v>
      </c>
      <c r="Z168" s="917">
        <f t="shared" si="1066"/>
        <v>1613</v>
      </c>
      <c r="AA168" s="82"/>
      <c r="AB168" s="75"/>
      <c r="AC168" s="166">
        <v>4.2000099999999998</v>
      </c>
      <c r="AD168" s="166">
        <v>-23.25</v>
      </c>
      <c r="AE168" s="75">
        <v>6.23</v>
      </c>
      <c r="AF168" s="82">
        <v>6</v>
      </c>
      <c r="AG168" s="82">
        <v>2</v>
      </c>
      <c r="AH168" s="82">
        <v>1</v>
      </c>
      <c r="AI168" s="82">
        <v>1.0000000000582077</v>
      </c>
      <c r="AJ168" s="166">
        <v>6.2301100000000007</v>
      </c>
      <c r="AK168" s="82" t="str">
        <v>Base</v>
      </c>
      <c r="AL168" s="162">
        <v>-26.25</v>
      </c>
      <c r="AM168" s="162">
        <v>-4.6587367544457434</v>
      </c>
      <c r="AN168" s="162">
        <v>-0.99005511535157809</v>
      </c>
      <c r="AO168" s="162">
        <v>54.999992058983658</v>
      </c>
      <c r="AP168" s="162">
        <v>0</v>
      </c>
      <c r="AQ168" s="162">
        <v>0</v>
      </c>
      <c r="AR168" s="710" t="str">
        <v>32193r1.par</v>
      </c>
      <c r="AV168" s="82" t="str">
        <v>188,121,255</v>
      </c>
      <c r="AW168" s="947">
        <v>54.999992058983658</v>
      </c>
      <c r="AX168" s="947">
        <v>54.999992058983658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5.1651688724834777E-2</v>
      </c>
      <c r="C169" s="651">
        <v>4.0371939530693473</v>
      </c>
      <c r="D169" s="652">
        <v>-0.38190230363122141</v>
      </c>
      <c r="E169" s="653">
        <v>-0.9451157257678009</v>
      </c>
      <c r="F169" s="651">
        <v>0.18593768732828911</v>
      </c>
      <c r="G169" s="654">
        <v>0.26866976260348052</v>
      </c>
      <c r="H169" s="653">
        <v>0.314</v>
      </c>
      <c r="I169" s="920">
        <v>0.52</v>
      </c>
      <c r="J169" s="924">
        <v>1.123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0" t="s">
        <v>420</v>
      </c>
      <c r="M169" s="973">
        <f t="shared" si="1067"/>
        <v>-32.228901208944677</v>
      </c>
      <c r="N169" s="941"/>
      <c r="O169" s="942"/>
      <c r="Q169" s="162">
        <f t="shared" si="1059"/>
        <v>5.1651688724834777E-2</v>
      </c>
      <c r="R169" s="162">
        <f t="shared" si="1060"/>
        <v>4.0371939530693473</v>
      </c>
      <c r="S169" s="162">
        <f t="shared" si="1061"/>
        <v>-0.38190230363122141</v>
      </c>
      <c r="T169" s="162">
        <f t="shared" si="1062"/>
        <v>-0.9451157257678009</v>
      </c>
      <c r="U169" s="162">
        <f t="shared" si="1063"/>
        <v>0.18593768732828911</v>
      </c>
      <c r="V169" s="162">
        <f t="shared" si="1064"/>
        <v>0.26866976260348052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65"/>
        <v>0.52</v>
      </c>
      <c r="Y169" s="75">
        <v>1.123</v>
      </c>
      <c r="Z169" s="917">
        <f t="shared" si="1066"/>
        <v>1613</v>
      </c>
      <c r="AA169" s="82"/>
      <c r="AB169" s="75"/>
      <c r="AC169" s="166">
        <v>4.1000099999999993</v>
      </c>
      <c r="AD169" s="166">
        <v>-22.5</v>
      </c>
      <c r="AE169" s="75">
        <v>6.2240000000000002</v>
      </c>
      <c r="AF169" s="82">
        <v>6</v>
      </c>
      <c r="AG169" s="82">
        <v>2</v>
      </c>
      <c r="AH169" s="82">
        <v>1</v>
      </c>
      <c r="AI169" s="82">
        <v>1.0000000000582077</v>
      </c>
      <c r="AJ169" s="166">
        <v>6.2241100000000005</v>
      </c>
      <c r="AK169" s="82" t="str">
        <v>Base</v>
      </c>
      <c r="AL169" s="162">
        <v>-26.25</v>
      </c>
      <c r="AM169" s="162">
        <v>-4.1347966802298517</v>
      </c>
      <c r="AN169" s="162">
        <v>-0.43953428553653573</v>
      </c>
      <c r="AO169" s="162">
        <v>33.999995091008067</v>
      </c>
      <c r="AP169" s="162">
        <v>0</v>
      </c>
      <c r="AQ169" s="162">
        <v>0</v>
      </c>
      <c r="AR169" s="710" t="str">
        <v>32193r1.par</v>
      </c>
      <c r="AV169" s="82" t="str">
        <v>188,121,255</v>
      </c>
      <c r="AW169" s="947">
        <v>33.999995091008067</v>
      </c>
      <c r="AX169" s="947">
        <v>33.999995091008067</v>
      </c>
      <c r="AY169" s="947">
        <v>0</v>
      </c>
    </row>
    <row r="170" spans="2:58" x14ac:dyDescent="0.25">
      <c r="B170" s="650">
        <v>0.11797703187631134</v>
      </c>
      <c r="C170" s="651">
        <v>4.6036163255070868</v>
      </c>
      <c r="D170" s="652">
        <v>-0.90010542942776239</v>
      </c>
      <c r="E170" s="653">
        <v>-0.91482010490391252</v>
      </c>
      <c r="F170" s="651">
        <v>0.32414112389035665</v>
      </c>
      <c r="G170" s="654">
        <v>0.24090808925125587</v>
      </c>
      <c r="H170" s="653">
        <v>0.314</v>
      </c>
      <c r="I170" s="920">
        <v>0.52</v>
      </c>
      <c r="J170" s="924">
        <v>1.129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40" t="s">
        <v>420</v>
      </c>
      <c r="M170" s="973">
        <f t="shared" si="1067"/>
        <v>-50.943025181030578</v>
      </c>
      <c r="N170" s="941"/>
      <c r="O170" s="942"/>
      <c r="Q170" s="162">
        <f t="shared" si="1059"/>
        <v>0.11797703187631134</v>
      </c>
      <c r="R170" s="162">
        <f t="shared" si="1060"/>
        <v>4.6036163255070868</v>
      </c>
      <c r="S170" s="162">
        <f t="shared" si="1061"/>
        <v>-0.90010542942776239</v>
      </c>
      <c r="T170" s="162">
        <f t="shared" si="1062"/>
        <v>-0.91482010490391252</v>
      </c>
      <c r="U170" s="162">
        <f t="shared" si="1063"/>
        <v>0.32414112389035665</v>
      </c>
      <c r="V170" s="162">
        <f t="shared" si="1064"/>
        <v>0.24090808925125587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65"/>
        <v>0.52</v>
      </c>
      <c r="Y170" s="75">
        <v>1.129</v>
      </c>
      <c r="Z170" s="917">
        <f t="shared" si="1066"/>
        <v>1613</v>
      </c>
      <c r="AA170" s="82"/>
      <c r="AB170" s="75"/>
      <c r="AC170" s="166">
        <v>3.2000100000000002</v>
      </c>
      <c r="AD170" s="166">
        <v>-21.75</v>
      </c>
      <c r="AE170" s="75">
        <v>6.218</v>
      </c>
      <c r="AF170" s="82">
        <v>6</v>
      </c>
      <c r="AG170" s="82">
        <v>2</v>
      </c>
      <c r="AH170" s="82">
        <v>1</v>
      </c>
      <c r="AI170" s="82">
        <v>1.0000000000582077</v>
      </c>
      <c r="AJ170" s="166">
        <v>6.2181100000000002</v>
      </c>
      <c r="AK170" s="82" t="str">
        <v>Base</v>
      </c>
      <c r="AL170" s="162">
        <v>-26.25</v>
      </c>
      <c r="AM170" s="162">
        <v>-3.4452199378410095</v>
      </c>
      <c r="AN170" s="162">
        <v>-0.1137892207579082</v>
      </c>
      <c r="AO170" s="162">
        <v>12.999998123032499</v>
      </c>
      <c r="AP170" s="162">
        <v>0</v>
      </c>
      <c r="AQ170" s="162">
        <v>0</v>
      </c>
      <c r="AR170" s="710" t="str">
        <v>32193r1.par</v>
      </c>
      <c r="AV170" s="82" t="str">
        <v>188,121,255</v>
      </c>
      <c r="AW170" s="947">
        <v>12.999998123032499</v>
      </c>
      <c r="AX170" s="947">
        <v>12.999998123032499</v>
      </c>
      <c r="AY170" s="947">
        <v>0</v>
      </c>
    </row>
    <row r="171" spans="2:58" x14ac:dyDescent="0.25">
      <c r="B171" s="650">
        <v>0.17176249459594459</v>
      </c>
      <c r="C171" s="651">
        <v>4.9483497341158342</v>
      </c>
      <c r="D171" s="652">
        <v>-1.586309568604888</v>
      </c>
      <c r="E171" s="653">
        <v>-0.87861683332969831</v>
      </c>
      <c r="F171" s="651">
        <v>0.45139956533975029</v>
      </c>
      <c r="G171" s="654">
        <v>0.15579118267982281</v>
      </c>
      <c r="H171" s="653">
        <v>0.314</v>
      </c>
      <c r="I171" s="920">
        <v>0.52</v>
      </c>
      <c r="J171" s="924">
        <v>1.135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40" t="s">
        <v>420</v>
      </c>
      <c r="M171" s="973">
        <f t="shared" si="1067"/>
        <v>-69.53293472939626</v>
      </c>
      <c r="N171" s="941"/>
      <c r="O171" s="942"/>
      <c r="Q171" s="162">
        <f t="shared" si="1059"/>
        <v>0.17176249459594459</v>
      </c>
      <c r="R171" s="162">
        <f t="shared" si="1060"/>
        <v>4.9483497341158342</v>
      </c>
      <c r="S171" s="162">
        <f t="shared" si="1061"/>
        <v>-1.586309568604888</v>
      </c>
      <c r="T171" s="162">
        <f t="shared" si="1062"/>
        <v>-0.87861683332969831</v>
      </c>
      <c r="U171" s="162">
        <f t="shared" si="1063"/>
        <v>0.45139956533975029</v>
      </c>
      <c r="V171" s="162">
        <f t="shared" si="1064"/>
        <v>0.15579118267982281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65"/>
        <v>0.52</v>
      </c>
      <c r="Y171" s="75">
        <v>1.135</v>
      </c>
      <c r="Z171" s="917">
        <f t="shared" si="1066"/>
        <v>1613</v>
      </c>
      <c r="AA171" s="82"/>
      <c r="AB171" s="75"/>
      <c r="AC171" s="166">
        <v>3.1000100000000002</v>
      </c>
      <c r="AD171" s="166">
        <v>-21</v>
      </c>
      <c r="AE171" s="75">
        <v>6.1479999999999997</v>
      </c>
      <c r="AF171" s="82">
        <v>6</v>
      </c>
      <c r="AG171" s="82">
        <v>1</v>
      </c>
      <c r="AH171" s="82">
        <v>1</v>
      </c>
      <c r="AI171" s="82">
        <v>0.99999999998544808</v>
      </c>
      <c r="AJ171" s="166">
        <v>6.14811</v>
      </c>
      <c r="AK171" s="82" t="str">
        <v>Base</v>
      </c>
      <c r="AL171" s="162">
        <v>-25.5</v>
      </c>
      <c r="AM171" s="162">
        <v>-5.0550887932628417</v>
      </c>
      <c r="AN171" s="162">
        <v>-3.1766240860785517</v>
      </c>
      <c r="AO171" s="162">
        <v>84.970117416838406</v>
      </c>
      <c r="AP171" s="162">
        <v>-29.785208788526884</v>
      </c>
      <c r="AQ171" s="162">
        <v>0</v>
      </c>
      <c r="AR171" s="710" t="str">
        <v>1613.par</v>
      </c>
      <c r="AV171" s="82" t="str">
        <v>127,0,255</v>
      </c>
      <c r="AW171" s="947">
        <v>84.970117416838406</v>
      </c>
      <c r="AX171" s="947">
        <v>84.970117416838406</v>
      </c>
      <c r="AY171" s="947">
        <v>0</v>
      </c>
    </row>
    <row r="172" spans="2:58" x14ac:dyDescent="0.25">
      <c r="B172" s="650">
        <v>0.18668018705037731</v>
      </c>
      <c r="C172" s="651">
        <v>5.0334697960863011</v>
      </c>
      <c r="D172" s="652">
        <v>-2.3477141613904662</v>
      </c>
      <c r="E172" s="653">
        <v>-0.84714778051037243</v>
      </c>
      <c r="F172" s="651">
        <v>0.52956944831640185</v>
      </c>
      <c r="G172" s="654">
        <v>4.3552696658322988E-2</v>
      </c>
      <c r="H172" s="653">
        <v>0.314</v>
      </c>
      <c r="I172" s="920">
        <v>0.52</v>
      </c>
      <c r="J172" s="924">
        <v>1.141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40" t="s">
        <v>420</v>
      </c>
      <c r="M172" s="973">
        <f t="shared" si="1067"/>
        <v>-84.96994937215598</v>
      </c>
      <c r="N172" s="941"/>
      <c r="O172" s="942"/>
      <c r="Q172" s="162">
        <f t="shared" si="1059"/>
        <v>0.18668018705037731</v>
      </c>
      <c r="R172" s="162">
        <f t="shared" si="1060"/>
        <v>5.0334697960863011</v>
      </c>
      <c r="S172" s="162">
        <f t="shared" si="1061"/>
        <v>-2.3477141613904662</v>
      </c>
      <c r="T172" s="162">
        <f t="shared" si="1062"/>
        <v>-0.84714778051037243</v>
      </c>
      <c r="U172" s="162">
        <f t="shared" si="1063"/>
        <v>0.52956944831640185</v>
      </c>
      <c r="V172" s="162">
        <f t="shared" si="1064"/>
        <v>4.3552696658322988E-2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65"/>
        <v>0.52</v>
      </c>
      <c r="Y172" s="75">
        <v>1.141</v>
      </c>
      <c r="Z172" s="917">
        <f t="shared" si="1066"/>
        <v>1613</v>
      </c>
      <c r="AA172" s="82"/>
      <c r="AB172" s="75"/>
      <c r="AC172" s="166">
        <v>2.2000100000000002</v>
      </c>
      <c r="AD172" s="166">
        <v>-20.25</v>
      </c>
      <c r="AE172" s="75">
        <v>6.1420000000000003</v>
      </c>
      <c r="AF172" s="82">
        <v>6</v>
      </c>
      <c r="AG172" s="82">
        <v>1</v>
      </c>
      <c r="AH172" s="82">
        <v>1</v>
      </c>
      <c r="AI172" s="82">
        <v>1.0000000000582077</v>
      </c>
      <c r="AJ172" s="166">
        <v>6.1421100000000006</v>
      </c>
      <c r="AK172" s="82" t="str">
        <v>Base</v>
      </c>
      <c r="AL172" s="162">
        <v>-25.5</v>
      </c>
      <c r="AM172" s="162">
        <v>-5.0270040657372705</v>
      </c>
      <c r="AN172" s="162">
        <v>-2.4251398038479937</v>
      </c>
      <c r="AO172" s="162">
        <v>84.96994937215598</v>
      </c>
      <c r="AP172" s="162">
        <v>-29.78411602484832</v>
      </c>
      <c r="AQ172" s="162">
        <v>0</v>
      </c>
      <c r="AR172" s="710" t="str">
        <v>1613.par</v>
      </c>
      <c r="AV172" s="82" t="str">
        <v>127,0,255</v>
      </c>
      <c r="AW172" s="947">
        <v>84.96994937215598</v>
      </c>
      <c r="AX172" s="947">
        <v>84.96994937215598</v>
      </c>
      <c r="AY172" s="947">
        <v>0</v>
      </c>
    </row>
    <row r="173" spans="2:58" x14ac:dyDescent="0.25">
      <c r="B173" s="650">
        <v>0.1942581111897328</v>
      </c>
      <c r="C173" s="651">
        <v>5.0612887225707919</v>
      </c>
      <c r="D173" s="652">
        <v>-3.0992186944589748</v>
      </c>
      <c r="E173" s="653">
        <v>-0.84646311228494375</v>
      </c>
      <c r="F173" s="651">
        <v>0.53066313434671042</v>
      </c>
      <c r="G173" s="654">
        <v>4.355269665832287E-2</v>
      </c>
      <c r="H173" s="653">
        <v>0.314</v>
      </c>
      <c r="I173" s="920">
        <v>0.52</v>
      </c>
      <c r="J173" s="924">
        <v>1.147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940" t="s">
        <v>420</v>
      </c>
      <c r="M173" s="973">
        <f t="shared" si="1067"/>
        <v>-84.970117416838434</v>
      </c>
      <c r="N173" s="941"/>
      <c r="O173" s="942"/>
      <c r="Q173" s="162">
        <f t="shared" si="1059"/>
        <v>0.1942581111897328</v>
      </c>
      <c r="R173" s="162">
        <f t="shared" si="1060"/>
        <v>5.0612887225707919</v>
      </c>
      <c r="S173" s="162">
        <f t="shared" si="1061"/>
        <v>-3.0992186944589748</v>
      </c>
      <c r="T173" s="162">
        <f t="shared" si="1062"/>
        <v>-0.84646311228494375</v>
      </c>
      <c r="U173" s="162">
        <f t="shared" si="1063"/>
        <v>0.53066313434671042</v>
      </c>
      <c r="V173" s="162">
        <f t="shared" si="1064"/>
        <v>4.355269665832287E-2</v>
      </c>
      <c r="W173" s="162">
        <f>IFERROR(IF(ISNUMBER(MATCH($Z173,Settings!$AK$28:$AK$36,0)),INDEX(Settings!$AO$14:$AO$36,MATCH($Z173,Settings!$AK$14:$AK$36,0))/2,INDEX(Settings!$AM$14:$AM$36,MATCH($Z173,Settings!$AK$14:$AK$36,0))/2),"")</f>
        <v>0.3125</v>
      </c>
      <c r="X173" s="162">
        <f t="shared" si="1065"/>
        <v>0.52</v>
      </c>
      <c r="Y173" s="75">
        <v>1.147</v>
      </c>
      <c r="Z173" s="917">
        <f t="shared" si="1066"/>
        <v>1613</v>
      </c>
      <c r="AA173" s="82"/>
      <c r="AB173" s="75"/>
      <c r="AC173" s="166">
        <v>2.1000100000000002</v>
      </c>
      <c r="AD173" s="166">
        <v>-19.5</v>
      </c>
      <c r="AE173" s="75">
        <v>6.1360000000000001</v>
      </c>
      <c r="AF173" s="82">
        <v>6</v>
      </c>
      <c r="AG173" s="82">
        <v>1</v>
      </c>
      <c r="AH173" s="82">
        <v>1</v>
      </c>
      <c r="AI173" s="82">
        <v>1.0000000000582077</v>
      </c>
      <c r="AJ173" s="166">
        <v>6.1361100000000004</v>
      </c>
      <c r="AK173" s="82" t="str">
        <v>Base</v>
      </c>
      <c r="AL173" s="162">
        <v>-25.5</v>
      </c>
      <c r="AM173" s="162">
        <v>-4.9750965181077582</v>
      </c>
      <c r="AN173" s="162">
        <v>-1.6647085328116069</v>
      </c>
      <c r="AO173" s="162">
        <v>72.623499997444313</v>
      </c>
      <c r="AP173" s="162">
        <v>-27.122431911212644</v>
      </c>
      <c r="AQ173" s="162">
        <v>0</v>
      </c>
      <c r="AR173" s="710" t="str">
        <v>1613.par</v>
      </c>
      <c r="AV173" s="82" t="str">
        <v>127,0,255</v>
      </c>
      <c r="AW173" s="947">
        <v>72.623499997444313</v>
      </c>
      <c r="AX173" s="947">
        <v>72.623499997444313</v>
      </c>
      <c r="AY173" s="947">
        <v>0</v>
      </c>
    </row>
    <row r="174" spans="2:58" x14ac:dyDescent="0.25">
      <c r="B174" s="650">
        <v>1.0430133809359119</v>
      </c>
      <c r="C174" s="651">
        <v>3.1520927613063705</v>
      </c>
      <c r="D174" s="652">
        <v>-0.13926712580907585</v>
      </c>
      <c r="E174" s="653">
        <v>3.2836989647781638E-2</v>
      </c>
      <c r="F174" s="651">
        <v>9.923673009735301E-2</v>
      </c>
      <c r="G174" s="654">
        <v>0.99452189694870807</v>
      </c>
      <c r="H174" s="653">
        <v>0.25700000000000001</v>
      </c>
      <c r="I174" s="920">
        <v>0.41499999999999992</v>
      </c>
      <c r="J174" s="924">
        <v>1.2170000000000001</v>
      </c>
      <c r="K174" s="790" t="str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CPS-32193r1</v>
      </c>
      <c r="L174" s="940" t="s">
        <v>423</v>
      </c>
      <c r="M174" s="973">
        <f t="shared" si="1067"/>
        <v>-5.9999991337073153</v>
      </c>
      <c r="N174" s="941"/>
      <c r="O174" s="942"/>
      <c r="Q174" s="162">
        <f t="shared" si="1059"/>
        <v>1.0430133809359119</v>
      </c>
      <c r="R174" s="162">
        <f t="shared" si="1060"/>
        <v>3.1520927613063705</v>
      </c>
      <c r="S174" s="162">
        <f t="shared" si="1061"/>
        <v>-0.13926712580907585</v>
      </c>
      <c r="T174" s="162">
        <f t="shared" si="1062"/>
        <v>3.2836989647781638E-2</v>
      </c>
      <c r="U174" s="162">
        <f t="shared" si="1063"/>
        <v>9.923673009735301E-2</v>
      </c>
      <c r="V174" s="162">
        <f t="shared" si="1064"/>
        <v>0.99452189694870807</v>
      </c>
      <c r="W174" s="162">
        <f>IFERROR(IF(ISNUMBER(MATCH($Z174,Settings!$AK$28:$AK$36,0)),INDEX(Settings!$AO$14:$AO$36,MATCH($Z174,Settings!$AK$14:$AK$36,0))/2,INDEX(Settings!$AM$14:$AM$36,MATCH($Z174,Settings!$AK$14:$AK$36,0))/2),"")</f>
        <v>0.255</v>
      </c>
      <c r="X174" s="162">
        <f t="shared" si="1065"/>
        <v>0.41499999999999992</v>
      </c>
      <c r="Y174" s="75">
        <v>1.2170000000000001</v>
      </c>
      <c r="Z174" s="917" t="str">
        <f t="shared" si="1066"/>
        <v>CPS-32193r1</v>
      </c>
      <c r="AA174" s="82"/>
      <c r="AB174" s="75"/>
      <c r="AC174" s="166">
        <v>1.20001</v>
      </c>
      <c r="AD174" s="166">
        <v>-18.75</v>
      </c>
      <c r="AE174" s="75">
        <v>6.13</v>
      </c>
      <c r="AF174" s="82">
        <v>6</v>
      </c>
      <c r="AG174" s="82">
        <v>1</v>
      </c>
      <c r="AH174" s="82">
        <v>1</v>
      </c>
      <c r="AI174" s="82">
        <v>0.99999999998544808</v>
      </c>
      <c r="AJ174" s="166">
        <v>6.1301100000000002</v>
      </c>
      <c r="AK174" s="82" t="str">
        <v>Base</v>
      </c>
      <c r="AL174" s="162">
        <v>-25.5</v>
      </c>
      <c r="AM174" s="162">
        <v>-4.6734295163530577</v>
      </c>
      <c r="AN174" s="162">
        <v>-0.96081895942158912</v>
      </c>
      <c r="AO174" s="162">
        <v>54.048010045486649</v>
      </c>
      <c r="AP174" s="162">
        <v>-23.140655756290503</v>
      </c>
      <c r="AQ174" s="162">
        <v>0</v>
      </c>
      <c r="AR174" s="710" t="str">
        <v>1613.par</v>
      </c>
      <c r="AV174" s="82" t="str">
        <v>127,0,255</v>
      </c>
      <c r="AW174" s="947">
        <v>54.048010045486649</v>
      </c>
      <c r="AX174" s="947">
        <v>54.048010045486649</v>
      </c>
      <c r="AY174" s="947">
        <v>0</v>
      </c>
    </row>
    <row r="175" spans="2:58" x14ac:dyDescent="0.25">
      <c r="B175" s="650">
        <v>0.88599752940412335</v>
      </c>
      <c r="C175" s="651">
        <v>3.9532730771290243</v>
      </c>
      <c r="D175" s="652">
        <v>-0.38038060343536761</v>
      </c>
      <c r="E175" s="653">
        <v>-0.84607041262505911</v>
      </c>
      <c r="F175" s="651">
        <v>0.41305318949291936</v>
      </c>
      <c r="G175" s="654">
        <v>0.33697465710374852</v>
      </c>
      <c r="H175" s="653">
        <v>0.26600000000000001</v>
      </c>
      <c r="I175" s="920">
        <v>0.52</v>
      </c>
      <c r="J175" s="924">
        <v>1.2230000000000001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40" t="s">
        <v>424</v>
      </c>
      <c r="M175" s="973">
        <f t="shared" si="1067"/>
        <v>-32.403257224374144</v>
      </c>
      <c r="N175" s="941"/>
      <c r="O175" s="942"/>
      <c r="Q175" s="162">
        <f t="shared" si="1059"/>
        <v>0.88599752940412335</v>
      </c>
      <c r="R175" s="162">
        <f t="shared" si="1060"/>
        <v>3.9532730771290243</v>
      </c>
      <c r="S175" s="162">
        <f t="shared" si="1061"/>
        <v>-0.38038060343536761</v>
      </c>
      <c r="T175" s="162">
        <f t="shared" si="1062"/>
        <v>-0.84607041262505911</v>
      </c>
      <c r="U175" s="162">
        <f t="shared" si="1063"/>
        <v>0.41305318949291936</v>
      </c>
      <c r="V175" s="162">
        <f t="shared" si="1064"/>
        <v>0.33697465710374852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65"/>
        <v>0.52</v>
      </c>
      <c r="Y175" s="75">
        <v>1.2230000000000001</v>
      </c>
      <c r="Z175" s="917">
        <f t="shared" si="1066"/>
        <v>1313</v>
      </c>
      <c r="AA175" s="82"/>
      <c r="AB175" s="75"/>
      <c r="AC175" s="166">
        <v>1.1000100000000002</v>
      </c>
      <c r="AD175" s="166">
        <v>-18</v>
      </c>
      <c r="AE175" s="75">
        <v>6.1239999999999997</v>
      </c>
      <c r="AF175" s="82">
        <v>6</v>
      </c>
      <c r="AG175" s="82">
        <v>1</v>
      </c>
      <c r="AH175" s="82">
        <v>1</v>
      </c>
      <c r="AI175" s="82">
        <v>0.99999999998544808</v>
      </c>
      <c r="AJ175" s="166">
        <v>6.1241099999999999</v>
      </c>
      <c r="AK175" s="82" t="str">
        <v>Base</v>
      </c>
      <c r="AL175" s="162">
        <v>-25.5</v>
      </c>
      <c r="AM175" s="162">
        <v>-4.1407800265276293</v>
      </c>
      <c r="AN175" s="162">
        <v>-0.41014823193333827</v>
      </c>
      <c r="AO175" s="162">
        <v>35.360276952469491</v>
      </c>
      <c r="AP175" s="162">
        <v>-19.176506828006705</v>
      </c>
      <c r="AQ175" s="162">
        <v>0</v>
      </c>
      <c r="AR175" s="710" t="str">
        <v>1613.par</v>
      </c>
      <c r="AV175" s="82" t="str">
        <v>127,0,255</v>
      </c>
      <c r="AW175" s="947">
        <v>35.360276952469491</v>
      </c>
      <c r="AX175" s="947">
        <v>35.360276952469491</v>
      </c>
      <c r="AY175" s="947">
        <v>0</v>
      </c>
    </row>
    <row r="176" spans="2:58" x14ac:dyDescent="0.25">
      <c r="B176" s="650">
        <v>0.95238933441480822</v>
      </c>
      <c r="C176" s="651">
        <v>4.5260523247386155</v>
      </c>
      <c r="D176" s="652">
        <v>-0.9014016790366165</v>
      </c>
      <c r="E176" s="653">
        <v>-0.79217119160184946</v>
      </c>
      <c r="F176" s="651">
        <v>0.53683945664133548</v>
      </c>
      <c r="G176" s="654">
        <v>0.29028985684853303</v>
      </c>
      <c r="H176" s="653">
        <v>0.26600000000000001</v>
      </c>
      <c r="I176" s="920">
        <v>0.52</v>
      </c>
      <c r="J176" s="924">
        <v>1.2290000000000001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1313</v>
      </c>
      <c r="L176" s="940" t="s">
        <v>424</v>
      </c>
      <c r="M176" s="973">
        <f t="shared" si="1067"/>
        <v>-51.026324417745535</v>
      </c>
      <c r="N176" s="941"/>
      <c r="O176" s="942"/>
      <c r="Q176" s="162">
        <f t="shared" si="1059"/>
        <v>0.95238933441480822</v>
      </c>
      <c r="R176" s="162">
        <f t="shared" si="1060"/>
        <v>4.5260523247386155</v>
      </c>
      <c r="S176" s="162">
        <f t="shared" si="1061"/>
        <v>-0.9014016790366165</v>
      </c>
      <c r="T176" s="162">
        <f t="shared" si="1062"/>
        <v>-0.79217119160184946</v>
      </c>
      <c r="U176" s="162">
        <f t="shared" si="1063"/>
        <v>0.53683945664133548</v>
      </c>
      <c r="V176" s="162">
        <f t="shared" si="1064"/>
        <v>0.29028985684853303</v>
      </c>
      <c r="W176" s="162">
        <f>IFERROR(IF(ISNUMBER(MATCH($Z176,Settings!$AK$28:$AK$36,0)),INDEX(Settings!$AO$14:$AO$36,MATCH($Z176,Settings!$AK$14:$AK$36,0))/2,INDEX(Settings!$AM$14:$AM$36,MATCH($Z176,Settings!$AK$14:$AK$36,0))/2),"")</f>
        <v>0.26450000000000001</v>
      </c>
      <c r="X176" s="162">
        <f t="shared" si="1065"/>
        <v>0.52</v>
      </c>
      <c r="Y176" s="75">
        <v>1.2290000000000001</v>
      </c>
      <c r="Z176" s="917">
        <f t="shared" si="1066"/>
        <v>1313</v>
      </c>
      <c r="AA176" s="82"/>
      <c r="AB176" s="75"/>
      <c r="AC176" s="166">
        <v>6.2000200000000003</v>
      </c>
      <c r="AD176" s="166">
        <v>-17.25</v>
      </c>
      <c r="AE176" s="75">
        <v>6.1180000000000003</v>
      </c>
      <c r="AF176" s="82">
        <v>6</v>
      </c>
      <c r="AG176" s="82">
        <v>1</v>
      </c>
      <c r="AH176" s="82">
        <v>1</v>
      </c>
      <c r="AI176" s="82">
        <v>1.0000000000582077</v>
      </c>
      <c r="AJ176" s="166">
        <v>6.1181100000000006</v>
      </c>
      <c r="AK176" s="82" t="str">
        <v>Base</v>
      </c>
      <c r="AL176" s="162">
        <v>-25.5</v>
      </c>
      <c r="AM176" s="162">
        <v>-3.4466194971855479</v>
      </c>
      <c r="AN176" s="162">
        <v>-8.4981119013972622E-2</v>
      </c>
      <c r="AO176" s="162">
        <v>16.504059297615232</v>
      </c>
      <c r="AP176" s="162">
        <v>-15.806279282856705</v>
      </c>
      <c r="AQ176" s="162">
        <v>0</v>
      </c>
      <c r="AR176" s="710" t="str">
        <v>1613 Ripper.par</v>
      </c>
      <c r="AV176" s="82" t="str">
        <v>127,0,255</v>
      </c>
      <c r="AW176" s="947">
        <v>16.504059297615232</v>
      </c>
      <c r="AX176" s="947">
        <v>16.504059297615232</v>
      </c>
      <c r="AY176" s="947">
        <v>0</v>
      </c>
    </row>
    <row r="177" spans="2:51" x14ac:dyDescent="0.25">
      <c r="B177" s="650">
        <v>1.0061855614519621</v>
      </c>
      <c r="C177" s="651">
        <v>4.8725927030482774</v>
      </c>
      <c r="D177" s="652">
        <v>-1.5935289032137043</v>
      </c>
      <c r="E177" s="653">
        <v>-0.73414441929273966</v>
      </c>
      <c r="F177" s="651">
        <v>0.65407664994514347</v>
      </c>
      <c r="G177" s="654">
        <v>0.18225176986209024</v>
      </c>
      <c r="H177" s="653">
        <v>0.26600000000000001</v>
      </c>
      <c r="I177" s="920">
        <v>0.52</v>
      </c>
      <c r="J177" s="924">
        <v>1.2350000000000001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940" t="s">
        <v>424</v>
      </c>
      <c r="M177" s="973">
        <f t="shared" si="1067"/>
        <v>-69.566043588691343</v>
      </c>
      <c r="N177" s="941"/>
      <c r="O177" s="942"/>
      <c r="Q177" s="162">
        <f t="shared" si="1059"/>
        <v>1.0061855614519621</v>
      </c>
      <c r="R177" s="162">
        <f t="shared" si="1060"/>
        <v>4.8725927030482774</v>
      </c>
      <c r="S177" s="162">
        <f t="shared" si="1061"/>
        <v>-1.5935289032137043</v>
      </c>
      <c r="T177" s="162">
        <f t="shared" si="1062"/>
        <v>-0.73414441929273966</v>
      </c>
      <c r="U177" s="162">
        <f t="shared" si="1063"/>
        <v>0.65407664994514347</v>
      </c>
      <c r="V177" s="162">
        <f t="shared" si="1064"/>
        <v>0.18225176986209024</v>
      </c>
      <c r="W177" s="162">
        <f>IFERROR(IF(ISNUMBER(MATCH($Z177,Settings!$AK$28:$AK$36,0)),INDEX(Settings!$AO$14:$AO$36,MATCH($Z177,Settings!$AK$14:$AK$36,0))/2,INDEX(Settings!$AM$14:$AM$36,MATCH($Z177,Settings!$AK$14:$AK$36,0))/2),"")</f>
        <v>0.26450000000000001</v>
      </c>
      <c r="X177" s="162">
        <f t="shared" si="1065"/>
        <v>0.52</v>
      </c>
      <c r="Y177" s="75">
        <v>1.2350000000000001</v>
      </c>
      <c r="Z177" s="917">
        <f t="shared" si="1066"/>
        <v>1313</v>
      </c>
      <c r="AA177" s="82"/>
      <c r="AB177" s="75"/>
      <c r="AC177" s="166">
        <v>6.1000199999999998</v>
      </c>
      <c r="AD177" s="166">
        <v>-16.5</v>
      </c>
      <c r="AE177" s="75">
        <v>6.1120000000000001</v>
      </c>
      <c r="AF177" s="82">
        <v>6</v>
      </c>
      <c r="AG177" s="82">
        <v>1</v>
      </c>
      <c r="AH177" s="82">
        <v>1</v>
      </c>
      <c r="AI177" s="82">
        <v>1.0000000000582077</v>
      </c>
      <c r="AJ177" s="166">
        <v>6.1121100000000004</v>
      </c>
      <c r="AK177" s="82" t="str">
        <v>Base</v>
      </c>
      <c r="AL177" s="162">
        <v>-25.5</v>
      </c>
      <c r="AM177" s="162">
        <v>-2.6817598405224108</v>
      </c>
      <c r="AN177" s="162">
        <v>-2.8961562110879267E-2</v>
      </c>
      <c r="AO177" s="162">
        <v>-2.3119637600075813</v>
      </c>
      <c r="AP177" s="162">
        <v>-15.311212110967897</v>
      </c>
      <c r="AQ177" s="162">
        <v>0</v>
      </c>
      <c r="AR177" s="710" t="str">
        <v>1613 Ripper.par</v>
      </c>
      <c r="AV177" s="82" t="str">
        <v>127,0,255</v>
      </c>
      <c r="AW177" s="947">
        <v>-2.3119637600075813</v>
      </c>
      <c r="AX177" s="947">
        <v>-2.3119637600075813</v>
      </c>
      <c r="AY177" s="947">
        <v>0</v>
      </c>
    </row>
    <row r="178" spans="2:51" x14ac:dyDescent="0.25">
      <c r="B178" s="650">
        <v>1.2579121378462765</v>
      </c>
      <c r="C178" s="651">
        <v>4.8317293024268277</v>
      </c>
      <c r="D178" s="652">
        <v>-2.3723571641368855</v>
      </c>
      <c r="E178" s="653">
        <v>0.25194573829754657</v>
      </c>
      <c r="F178" s="651">
        <v>0.96774136263448662</v>
      </c>
      <c r="G178" s="654">
        <v>2.2679489666832531E-7</v>
      </c>
      <c r="H178" s="653">
        <v>0.25700000000000001</v>
      </c>
      <c r="I178" s="920">
        <v>0.41499999999999992</v>
      </c>
      <c r="J178" s="924">
        <v>1.2410000000000001</v>
      </c>
      <c r="K178" s="790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40" t="s">
        <v>423</v>
      </c>
      <c r="M178" s="973">
        <f t="shared" si="1067"/>
        <v>-89.999987005609611</v>
      </c>
      <c r="N178" s="941"/>
      <c r="O178" s="942"/>
      <c r="Q178" s="162">
        <f t="shared" si="1059"/>
        <v>1.2579121378462765</v>
      </c>
      <c r="R178" s="162">
        <f t="shared" si="1060"/>
        <v>4.8317293024268277</v>
      </c>
      <c r="S178" s="162">
        <f t="shared" si="1061"/>
        <v>-2.3723571641368855</v>
      </c>
      <c r="T178" s="162">
        <f t="shared" si="1062"/>
        <v>0.25194573829754657</v>
      </c>
      <c r="U178" s="162">
        <f t="shared" si="1063"/>
        <v>0.96774136263448662</v>
      </c>
      <c r="V178" s="162">
        <f t="shared" si="1064"/>
        <v>2.2679489666832531E-7</v>
      </c>
      <c r="W178" s="162">
        <f>IFERROR(IF(ISNUMBER(MATCH($Z178,Settings!$AK$28:$AK$36,0)),INDEX(Settings!$AO$14:$AO$36,MATCH($Z178,Settings!$AK$14:$AK$36,0))/2,INDEX(Settings!$AM$14:$AM$36,MATCH($Z178,Settings!$AK$14:$AK$36,0))/2),"")</f>
        <v>0.255</v>
      </c>
      <c r="X178" s="162">
        <f t="shared" si="1065"/>
        <v>0.41499999999999992</v>
      </c>
      <c r="Y178" s="75">
        <v>1.2410000000000001</v>
      </c>
      <c r="Z178" s="917" t="str">
        <f t="shared" si="1066"/>
        <v>CPS-32193r1</v>
      </c>
      <c r="AA178" s="82"/>
      <c r="AB178" s="75"/>
      <c r="AC178" s="166">
        <v>5.2000200000000003</v>
      </c>
      <c r="AD178" s="166">
        <v>-15.75</v>
      </c>
      <c r="AE178" s="75">
        <v>5.2549999999999999</v>
      </c>
      <c r="AF178" s="82">
        <v>5</v>
      </c>
      <c r="AG178" s="82">
        <v>2</v>
      </c>
      <c r="AH178" s="82">
        <v>1</v>
      </c>
      <c r="AI178" s="82">
        <v>0.99999999998544808</v>
      </c>
      <c r="AJ178" s="166">
        <v>5.2551100000000002</v>
      </c>
      <c r="AK178" s="82" t="str">
        <v>Base</v>
      </c>
      <c r="AL178" s="162">
        <v>-24.75</v>
      </c>
      <c r="AM178" s="162">
        <v>-5.1223779559634766</v>
      </c>
      <c r="AN178" s="162">
        <v>-9.460836051596333</v>
      </c>
      <c r="AO178" s="162">
        <v>100.03561890671617</v>
      </c>
      <c r="AP178" s="162">
        <v>-39.831236627249673</v>
      </c>
      <c r="AQ178" s="162">
        <v>0</v>
      </c>
      <c r="AR178" s="710" t="str">
        <v>1313.par</v>
      </c>
      <c r="AV178" s="82" t="str">
        <v>121,188,255</v>
      </c>
      <c r="AW178" s="947">
        <v>100.03561890671617</v>
      </c>
      <c r="AX178" s="947">
        <v>100.03561890671617</v>
      </c>
      <c r="AY178" s="947">
        <v>0</v>
      </c>
    </row>
    <row r="179" spans="2:51" x14ac:dyDescent="0.25">
      <c r="B179" s="650">
        <v>1.2653068393880056</v>
      </c>
      <c r="C179" s="651">
        <v>4.8588251981189892</v>
      </c>
      <c r="D179" s="652">
        <v>-3.1237446296586411</v>
      </c>
      <c r="E179" s="653">
        <v>0.25200923965143501</v>
      </c>
      <c r="F179" s="651">
        <v>0.96772482820802641</v>
      </c>
      <c r="G179" s="654">
        <v>2.2679489701527003E-7</v>
      </c>
      <c r="H179" s="653">
        <v>0.25700000000000001</v>
      </c>
      <c r="I179" s="920">
        <v>0.41499999999999992</v>
      </c>
      <c r="J179" s="924">
        <v>1.2470000000000001</v>
      </c>
      <c r="K179" s="790" t="str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CPS-32193r1</v>
      </c>
      <c r="L179" s="940" t="s">
        <v>423</v>
      </c>
      <c r="M179" s="973">
        <f t="shared" si="1067"/>
        <v>-89.999987005609597</v>
      </c>
      <c r="N179" s="941"/>
      <c r="O179" s="942"/>
      <c r="Q179" s="162">
        <f t="shared" si="1059"/>
        <v>1.2653068393880056</v>
      </c>
      <c r="R179" s="162">
        <f t="shared" si="1060"/>
        <v>4.8588251981189892</v>
      </c>
      <c r="S179" s="162">
        <f t="shared" si="1061"/>
        <v>-3.1237446296586411</v>
      </c>
      <c r="T179" s="162">
        <f t="shared" si="1062"/>
        <v>0.25200923965143501</v>
      </c>
      <c r="U179" s="162">
        <f t="shared" si="1063"/>
        <v>0.96772482820802641</v>
      </c>
      <c r="V179" s="162">
        <f t="shared" si="1064"/>
        <v>2.2679489701527003E-7</v>
      </c>
      <c r="W179" s="162">
        <f>IFERROR(IF(ISNUMBER(MATCH($Z179,Settings!$AK$28:$AK$36,0)),INDEX(Settings!$AO$14:$AO$36,MATCH($Z179,Settings!$AK$14:$AK$36,0))/2,INDEX(Settings!$AM$14:$AM$36,MATCH($Z179,Settings!$AK$14:$AK$36,0))/2),"")</f>
        <v>0.255</v>
      </c>
      <c r="X179" s="162">
        <f t="shared" si="1065"/>
        <v>0.41499999999999992</v>
      </c>
      <c r="Y179" s="75">
        <v>1.2470000000000001</v>
      </c>
      <c r="Z179" s="917" t="str">
        <f t="shared" si="1066"/>
        <v>CPS-32193r1</v>
      </c>
      <c r="AA179" s="82"/>
      <c r="AB179" s="75"/>
      <c r="AC179" s="166">
        <v>5.1000199999999998</v>
      </c>
      <c r="AD179" s="166">
        <v>-15</v>
      </c>
      <c r="AE179" s="75">
        <v>5.2489999999999997</v>
      </c>
      <c r="AF179" s="82">
        <v>5</v>
      </c>
      <c r="AG179" s="82">
        <v>2</v>
      </c>
      <c r="AH179" s="82">
        <v>1</v>
      </c>
      <c r="AI179" s="82">
        <v>0.99999999998544808</v>
      </c>
      <c r="AJ179" s="166">
        <v>5.2491099999999999</v>
      </c>
      <c r="AK179" s="82" t="str">
        <v>Base</v>
      </c>
      <c r="AL179" s="162">
        <v>-24.75</v>
      </c>
      <c r="AM179" s="162">
        <v>-5.0208747946625891</v>
      </c>
      <c r="AN179" s="162">
        <v>-3.3048900642124974</v>
      </c>
      <c r="AO179" s="162">
        <v>89.999987005609597</v>
      </c>
      <c r="AP179" s="162">
        <v>0</v>
      </c>
      <c r="AQ179" s="162">
        <v>0</v>
      </c>
      <c r="AR179" s="710" t="str">
        <v>32193r1.par</v>
      </c>
      <c r="AV179" s="82" t="str">
        <v>121,188,255</v>
      </c>
      <c r="AW179" s="947">
        <v>89.999987005609597</v>
      </c>
      <c r="AX179" s="947">
        <v>89.999987005609597</v>
      </c>
      <c r="AY179" s="947">
        <v>0</v>
      </c>
    </row>
    <row r="180" spans="2:51" x14ac:dyDescent="0.25">
      <c r="B180" s="650">
        <v>0.97980700663266063</v>
      </c>
      <c r="C180" s="651">
        <v>5.0406708168264984</v>
      </c>
      <c r="D180" s="652">
        <v>-9.5000286520864154</v>
      </c>
      <c r="E180" s="653">
        <v>-0.63118380896787529</v>
      </c>
      <c r="F180" s="651">
        <v>0.76755993884650098</v>
      </c>
      <c r="G180" s="654">
        <v>-0.1116187241226157</v>
      </c>
      <c r="H180" s="653">
        <v>0.26600000000000001</v>
      </c>
      <c r="I180" s="920">
        <v>0.52</v>
      </c>
      <c r="J180" s="924">
        <v>1.2529999999999999</v>
      </c>
      <c r="K180" s="790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1313</v>
      </c>
      <c r="L180" s="940" t="s">
        <v>424</v>
      </c>
      <c r="M180" s="973">
        <f t="shared" si="1067"/>
        <v>-100.03561890671624</v>
      </c>
      <c r="N180" s="941"/>
      <c r="O180" s="942"/>
      <c r="Q180" s="162">
        <f t="shared" si="1059"/>
        <v>0.97980700663266063</v>
      </c>
      <c r="R180" s="162">
        <f t="shared" si="1060"/>
        <v>5.0406708168264984</v>
      </c>
      <c r="S180" s="162">
        <f t="shared" si="1061"/>
        <v>-9.5000286520864154</v>
      </c>
      <c r="T180" s="162">
        <f t="shared" si="1062"/>
        <v>-0.63118380896787529</v>
      </c>
      <c r="U180" s="162">
        <f t="shared" si="1063"/>
        <v>0.76755993884650098</v>
      </c>
      <c r="V180" s="162">
        <f t="shared" si="1064"/>
        <v>-0.1116187241226157</v>
      </c>
      <c r="W180" s="162">
        <f>IFERROR(IF(ISNUMBER(MATCH($Z180,Settings!$AK$28:$AK$36,0)),INDEX(Settings!$AO$14:$AO$36,MATCH($Z180,Settings!$AK$14:$AK$36,0))/2,INDEX(Settings!$AM$14:$AM$36,MATCH($Z180,Settings!$AK$14:$AK$36,0))/2),"")</f>
        <v>0.26450000000000001</v>
      </c>
      <c r="X180" s="162">
        <f t="shared" si="1065"/>
        <v>0.52</v>
      </c>
      <c r="Y180" s="75">
        <v>1.2529999999999999</v>
      </c>
      <c r="Z180" s="917">
        <f t="shared" si="1066"/>
        <v>1313</v>
      </c>
      <c r="AA180" s="82"/>
      <c r="AB180" s="75"/>
      <c r="AC180" s="166">
        <v>4.2000200000000003</v>
      </c>
      <c r="AD180" s="166">
        <v>-14.25</v>
      </c>
      <c r="AE180" s="75">
        <v>5.2430000000000003</v>
      </c>
      <c r="AF180" s="82">
        <v>5</v>
      </c>
      <c r="AG180" s="82">
        <v>2</v>
      </c>
      <c r="AH180" s="82">
        <v>1</v>
      </c>
      <c r="AI180" s="82">
        <v>1.0000000000582077</v>
      </c>
      <c r="AJ180" s="166">
        <v>5.2431100000000006</v>
      </c>
      <c r="AK180" s="82" t="str">
        <v>Base</v>
      </c>
      <c r="AL180" s="162">
        <v>-24.75</v>
      </c>
      <c r="AM180" s="162">
        <v>-4.9927899012947661</v>
      </c>
      <c r="AN180" s="162">
        <v>-2.5535036430515081</v>
      </c>
      <c r="AO180" s="162">
        <v>89.999987005609597</v>
      </c>
      <c r="AP180" s="162">
        <v>0</v>
      </c>
      <c r="AQ180" s="162">
        <v>0</v>
      </c>
      <c r="AR180" s="710" t="str">
        <v>32193r1.par</v>
      </c>
      <c r="AV180" s="82" t="str">
        <v>121,188,255</v>
      </c>
      <c r="AW180" s="947">
        <v>89.999987005609597</v>
      </c>
      <c r="AX180" s="947">
        <v>89.999987005609597</v>
      </c>
      <c r="AY180" s="947">
        <v>0</v>
      </c>
    </row>
    <row r="181" spans="2:51" x14ac:dyDescent="0.25">
      <c r="B181" s="650">
        <v>2.2004391721864147</v>
      </c>
      <c r="C181" s="651">
        <v>1.0260784442163222</v>
      </c>
      <c r="D181" s="652">
        <v>-0.15050089274001549</v>
      </c>
      <c r="E181" s="653">
        <v>-0.43653446620756692</v>
      </c>
      <c r="F181" s="651">
        <v>0.86172187971823322</v>
      </c>
      <c r="G181" s="654">
        <v>0.25859826338888969</v>
      </c>
      <c r="H181" s="653">
        <v>0.314</v>
      </c>
      <c r="I181" s="920">
        <v>0.52</v>
      </c>
      <c r="J181" s="924">
        <v>2.11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940" t="s">
        <v>422</v>
      </c>
      <c r="M181" s="973">
        <f t="shared" si="1067"/>
        <v>8.604830320611164</v>
      </c>
      <c r="N181" s="941"/>
      <c r="O181" s="942"/>
      <c r="Q181" s="162">
        <f t="shared" si="1059"/>
        <v>2.2004391721864147</v>
      </c>
      <c r="R181" s="162">
        <f t="shared" si="1060"/>
        <v>1.0260784442163222</v>
      </c>
      <c r="S181" s="162">
        <f t="shared" si="1061"/>
        <v>-0.15050089274001549</v>
      </c>
      <c r="T181" s="162">
        <f t="shared" si="1062"/>
        <v>-0.43653446620756692</v>
      </c>
      <c r="U181" s="162">
        <f t="shared" si="1063"/>
        <v>0.86172187971823322</v>
      </c>
      <c r="V181" s="162">
        <f t="shared" si="1064"/>
        <v>0.25859826338888969</v>
      </c>
      <c r="W181" s="162">
        <f>IFERROR(IF(ISNUMBER(MATCH($Z181,Settings!$AK$28:$AK$36,0)),INDEX(Settings!$AO$14:$AO$36,MATCH($Z181,Settings!$AK$14:$AK$36,0))/2,INDEX(Settings!$AM$14:$AM$36,MATCH($Z181,Settings!$AK$14:$AK$36,0))/2),"")</f>
        <v>0.3125</v>
      </c>
      <c r="X181" s="162">
        <f t="shared" si="1065"/>
        <v>0.52</v>
      </c>
      <c r="Y181" s="75">
        <v>2.11</v>
      </c>
      <c r="Z181" s="917">
        <f t="shared" si="1066"/>
        <v>1613</v>
      </c>
      <c r="AA181" s="82"/>
      <c r="AB181" s="75"/>
      <c r="AC181" s="166">
        <v>4.1000199999999998</v>
      </c>
      <c r="AD181" s="166">
        <v>-13.5</v>
      </c>
      <c r="AE181" s="75">
        <v>5.2370000000000001</v>
      </c>
      <c r="AF181" s="82">
        <v>5</v>
      </c>
      <c r="AG181" s="82">
        <v>2</v>
      </c>
      <c r="AH181" s="82">
        <v>1</v>
      </c>
      <c r="AI181" s="82">
        <v>1.0000000000582077</v>
      </c>
      <c r="AJ181" s="166">
        <v>5.2371100000000004</v>
      </c>
      <c r="AK181" s="82" t="str">
        <v>Base</v>
      </c>
      <c r="AL181" s="162">
        <v>-24.75</v>
      </c>
      <c r="AM181" s="162">
        <v>-5.023018431596987</v>
      </c>
      <c r="AN181" s="162">
        <v>-1.7805605453391782</v>
      </c>
      <c r="AO181" s="162">
        <v>75.733702256223253</v>
      </c>
      <c r="AP181" s="162">
        <v>-32.798058394827343</v>
      </c>
      <c r="AQ181" s="162">
        <v>0</v>
      </c>
      <c r="AR181" s="710" t="str">
        <v>1313.par</v>
      </c>
      <c r="AV181" s="82" t="str">
        <v>121,188,255</v>
      </c>
      <c r="AW181" s="947">
        <v>75.733702256223253</v>
      </c>
      <c r="AX181" s="947">
        <v>75.733702256223253</v>
      </c>
      <c r="AY181" s="947">
        <v>0</v>
      </c>
    </row>
    <row r="182" spans="2:51" x14ac:dyDescent="0.25">
      <c r="B182" s="650">
        <v>2.8975113185736379</v>
      </c>
      <c r="C182" s="651">
        <v>1.3477428224768591</v>
      </c>
      <c r="D182" s="652">
        <v>-0.1135006695550064</v>
      </c>
      <c r="E182" s="653">
        <v>-0.35729909986825681</v>
      </c>
      <c r="F182" s="651">
        <v>0.89554405939127635</v>
      </c>
      <c r="G182" s="654">
        <v>0.2652134817884032</v>
      </c>
      <c r="H182" s="653">
        <v>0.314</v>
      </c>
      <c r="I182" s="920">
        <v>0.52</v>
      </c>
      <c r="J182" s="924">
        <v>2.1160000000000001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40" t="s">
        <v>422</v>
      </c>
      <c r="M182" s="973">
        <f t="shared" si="1067"/>
        <v>-10.242376499105918</v>
      </c>
      <c r="N182" s="941"/>
      <c r="O182" s="942"/>
      <c r="Q182" s="162">
        <f t="shared" si="1059"/>
        <v>2.8975113185736379</v>
      </c>
      <c r="R182" s="162">
        <f t="shared" si="1060"/>
        <v>1.3477428224768591</v>
      </c>
      <c r="S182" s="162">
        <f t="shared" si="1061"/>
        <v>-0.1135006695550064</v>
      </c>
      <c r="T182" s="162">
        <f t="shared" si="1062"/>
        <v>-0.35729909986825681</v>
      </c>
      <c r="U182" s="162">
        <f t="shared" si="1063"/>
        <v>0.89554405939127635</v>
      </c>
      <c r="V182" s="162">
        <f t="shared" si="1064"/>
        <v>0.2652134817884032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65"/>
        <v>0.52</v>
      </c>
      <c r="Y182" s="75">
        <v>2.1160000000000001</v>
      </c>
      <c r="Z182" s="917">
        <f t="shared" si="1066"/>
        <v>1613</v>
      </c>
      <c r="AA182" s="82"/>
      <c r="AB182" s="75"/>
      <c r="AC182" s="75">
        <v>3.2000200000000003</v>
      </c>
      <c r="AD182" s="166">
        <v>-12.75</v>
      </c>
      <c r="AE182" s="75">
        <v>5.2309999999999999</v>
      </c>
      <c r="AF182" s="82">
        <v>5</v>
      </c>
      <c r="AG182" s="82">
        <v>2</v>
      </c>
      <c r="AH182" s="82">
        <v>1</v>
      </c>
      <c r="AI182" s="82">
        <v>0.99999999998544808</v>
      </c>
      <c r="AJ182" s="166">
        <v>5.2311100000000001</v>
      </c>
      <c r="AK182" s="82" t="str">
        <v>Base</v>
      </c>
      <c r="AL182" s="162">
        <v>-24.75</v>
      </c>
      <c r="AM182" s="162">
        <v>-4.7615552860265158</v>
      </c>
      <c r="AN182" s="162">
        <v>-1.053382603775342</v>
      </c>
      <c r="AO182" s="162">
        <v>57.213428741154814</v>
      </c>
      <c r="AP182" s="162">
        <v>-28.811854872966187</v>
      </c>
      <c r="AQ182" s="162">
        <v>0</v>
      </c>
      <c r="AR182" s="710" t="str">
        <v>1313.par</v>
      </c>
      <c r="AV182" s="82" t="str">
        <v>121,188,255</v>
      </c>
      <c r="AW182" s="947">
        <v>57.213428741154814</v>
      </c>
      <c r="AX182" s="947">
        <v>57.213428741154814</v>
      </c>
      <c r="AY182" s="947">
        <v>0</v>
      </c>
    </row>
    <row r="183" spans="2:51" x14ac:dyDescent="0.25">
      <c r="B183" s="650">
        <v>3.5758327117840323</v>
      </c>
      <c r="C183" s="651">
        <v>1.6213120692382808</v>
      </c>
      <c r="D183" s="652">
        <v>-0.35210210879671711</v>
      </c>
      <c r="E183" s="653">
        <v>-0.25272732194607628</v>
      </c>
      <c r="F183" s="651">
        <v>0.92967683750431518</v>
      </c>
      <c r="G183" s="654">
        <v>0.26801096721951434</v>
      </c>
      <c r="H183" s="653">
        <v>0.314</v>
      </c>
      <c r="I183" s="920">
        <v>0.52</v>
      </c>
      <c r="J183" s="924">
        <v>2.1219999999999999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40" t="s">
        <v>420</v>
      </c>
      <c r="M183" s="973">
        <f t="shared" si="1067"/>
        <v>-29.091158349317926</v>
      </c>
      <c r="N183" s="941"/>
      <c r="O183" s="942"/>
      <c r="Q183" s="162">
        <f t="shared" si="1059"/>
        <v>3.5758327117840323</v>
      </c>
      <c r="R183" s="162">
        <f t="shared" si="1060"/>
        <v>1.6213120692382808</v>
      </c>
      <c r="S183" s="162">
        <f t="shared" si="1061"/>
        <v>-0.35210210879671711</v>
      </c>
      <c r="T183" s="162">
        <f t="shared" si="1062"/>
        <v>-0.25272732194607628</v>
      </c>
      <c r="U183" s="162">
        <f t="shared" si="1063"/>
        <v>0.92967683750431518</v>
      </c>
      <c r="V183" s="162">
        <f t="shared" si="1064"/>
        <v>0.26801096721951434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65"/>
        <v>0.52</v>
      </c>
      <c r="Y183" s="75">
        <v>2.1219999999999999</v>
      </c>
      <c r="Z183" s="917">
        <f t="shared" si="1066"/>
        <v>1613</v>
      </c>
      <c r="AA183" s="82"/>
      <c r="AB183" s="75"/>
      <c r="AC183" s="75">
        <v>3.1000200000000002</v>
      </c>
      <c r="AD183" s="166">
        <v>-12</v>
      </c>
      <c r="AE183" s="75">
        <v>5.2249999999999996</v>
      </c>
      <c r="AF183" s="82">
        <v>5</v>
      </c>
      <c r="AG183" s="82">
        <v>2</v>
      </c>
      <c r="AH183" s="82">
        <v>1</v>
      </c>
      <c r="AI183" s="82">
        <v>0.99999999998544808</v>
      </c>
      <c r="AJ183" s="166">
        <v>5.2251099999999999</v>
      </c>
      <c r="AK183" s="82" t="str">
        <v>Base</v>
      </c>
      <c r="AL183" s="162">
        <v>-24.75</v>
      </c>
      <c r="AM183" s="162">
        <v>-4.258030881484971</v>
      </c>
      <c r="AN183" s="162">
        <v>-0.46747963542050214</v>
      </c>
      <c r="AO183" s="162">
        <v>38.623227592362632</v>
      </c>
      <c r="AP183" s="162">
        <v>-24.841583228699903</v>
      </c>
      <c r="AQ183" s="162">
        <v>0</v>
      </c>
      <c r="AR183" s="710" t="str">
        <v>1313.par</v>
      </c>
      <c r="AV183" s="82" t="str">
        <v>121,188,255</v>
      </c>
      <c r="AW183" s="947">
        <v>38.623227592362632</v>
      </c>
      <c r="AX183" s="947">
        <v>38.623227592362632</v>
      </c>
      <c r="AY183" s="947">
        <v>0</v>
      </c>
    </row>
    <row r="184" spans="2:51" x14ac:dyDescent="0.25">
      <c r="B184" s="650">
        <v>4.1443799024515906</v>
      </c>
      <c r="C184" s="651">
        <v>1.8145930112897455</v>
      </c>
      <c r="D184" s="652">
        <v>-0.8349050210594926</v>
      </c>
      <c r="E184" s="653">
        <v>-0.11607374711675919</v>
      </c>
      <c r="F184" s="651">
        <v>0.96140007413286788</v>
      </c>
      <c r="G184" s="654">
        <v>0.24947300993813104</v>
      </c>
      <c r="H184" s="653">
        <v>0.314</v>
      </c>
      <c r="I184" s="920">
        <v>0.52</v>
      </c>
      <c r="J184" s="924">
        <v>2.1280000000000001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40" t="s">
        <v>420</v>
      </c>
      <c r="M184" s="973">
        <f t="shared" si="1067"/>
        <v>-47.834713669325687</v>
      </c>
      <c r="N184" s="941"/>
      <c r="O184" s="942"/>
      <c r="Q184" s="162">
        <f t="shared" si="1059"/>
        <v>4.1443799024515906</v>
      </c>
      <c r="R184" s="162">
        <f t="shared" si="1060"/>
        <v>1.8145930112897455</v>
      </c>
      <c r="S184" s="162">
        <f t="shared" si="1061"/>
        <v>-0.8349050210594926</v>
      </c>
      <c r="T184" s="162">
        <f t="shared" si="1062"/>
        <v>-0.11607374711675919</v>
      </c>
      <c r="U184" s="162">
        <f t="shared" si="1063"/>
        <v>0.96140007413286788</v>
      </c>
      <c r="V184" s="162">
        <f t="shared" si="1064"/>
        <v>0.24947300993813104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65"/>
        <v>0.52</v>
      </c>
      <c r="Y184" s="75">
        <v>2.1280000000000001</v>
      </c>
      <c r="Z184" s="917">
        <f t="shared" si="1066"/>
        <v>1613</v>
      </c>
      <c r="AA184" s="82"/>
      <c r="AB184" s="75"/>
      <c r="AC184" s="75">
        <v>2.2000200000000003</v>
      </c>
      <c r="AD184" s="166">
        <v>-11.25</v>
      </c>
      <c r="AE184" s="75">
        <v>5.2190000000000003</v>
      </c>
      <c r="AF184" s="82">
        <v>5</v>
      </c>
      <c r="AG184" s="82">
        <v>2</v>
      </c>
      <c r="AH184" s="82">
        <v>1</v>
      </c>
      <c r="AI184" s="82">
        <v>1.0000000000582077</v>
      </c>
      <c r="AJ184" s="166">
        <v>5.2191100000000006</v>
      </c>
      <c r="AK184" s="82" t="str">
        <v>Base</v>
      </c>
      <c r="AL184" s="162">
        <v>-24.75</v>
      </c>
      <c r="AM184" s="162">
        <v>-3.5682539723265454</v>
      </c>
      <c r="AN184" s="162">
        <v>-0.1318345192262233</v>
      </c>
      <c r="AO184" s="162">
        <v>12.999998123032507</v>
      </c>
      <c r="AP184" s="162">
        <v>0</v>
      </c>
      <c r="AQ184" s="162">
        <v>0</v>
      </c>
      <c r="AR184" s="710" t="str">
        <v>32193r1.par</v>
      </c>
      <c r="AV184" s="82" t="str">
        <v>121,188,255</v>
      </c>
      <c r="AW184" s="947">
        <v>12.999998123032507</v>
      </c>
      <c r="AX184" s="947">
        <v>12.999998123032507</v>
      </c>
      <c r="AY184" s="947">
        <v>0</v>
      </c>
    </row>
    <row r="185" spans="2:51" x14ac:dyDescent="0.25">
      <c r="B185" s="650">
        <v>4.5184227781158555</v>
      </c>
      <c r="C185" s="651">
        <v>1.9248413660729857</v>
      </c>
      <c r="D185" s="652">
        <v>-1.4989090263256117</v>
      </c>
      <c r="E185" s="653">
        <v>1.769100782323986E-2</v>
      </c>
      <c r="F185" s="651">
        <v>0.98460046155635728</v>
      </c>
      <c r="G185" s="654">
        <v>0.17392227961134338</v>
      </c>
      <c r="H185" s="653">
        <v>0.314</v>
      </c>
      <c r="I185" s="920">
        <v>0.52</v>
      </c>
      <c r="J185" s="924">
        <v>2.1339999999999999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940" t="s">
        <v>420</v>
      </c>
      <c r="M185" s="973">
        <f t="shared" si="1067"/>
        <v>-66.440489504246187</v>
      </c>
      <c r="N185" s="941"/>
      <c r="O185" s="942"/>
      <c r="Q185" s="162">
        <f t="shared" si="1059"/>
        <v>4.5184227781158555</v>
      </c>
      <c r="R185" s="162">
        <f t="shared" si="1060"/>
        <v>1.9248413660729857</v>
      </c>
      <c r="S185" s="162">
        <f t="shared" si="1061"/>
        <v>-1.4989090263256117</v>
      </c>
      <c r="T185" s="162">
        <f t="shared" si="1062"/>
        <v>1.769100782323986E-2</v>
      </c>
      <c r="U185" s="162">
        <f t="shared" si="1063"/>
        <v>0.98460046155635728</v>
      </c>
      <c r="V185" s="162">
        <f t="shared" si="1064"/>
        <v>0.17392227961134338</v>
      </c>
      <c r="W185" s="162">
        <f>IFERROR(IF(ISNUMBER(MATCH($Z185,Settings!$AK$28:$AK$36,0)),INDEX(Settings!$AO$14:$AO$36,MATCH($Z185,Settings!$AK$14:$AK$36,0))/2,INDEX(Settings!$AM$14:$AM$36,MATCH($Z185,Settings!$AK$14:$AK$36,0))/2),"")</f>
        <v>0.3125</v>
      </c>
      <c r="X185" s="162">
        <f t="shared" si="1065"/>
        <v>0.52</v>
      </c>
      <c r="Y185" s="75">
        <v>2.1339999999999999</v>
      </c>
      <c r="Z185" s="917">
        <f t="shared" si="1066"/>
        <v>1613</v>
      </c>
      <c r="AA185" s="82"/>
      <c r="AB185" s="75"/>
      <c r="AC185" s="75">
        <v>2.1000200000000002</v>
      </c>
      <c r="AD185" s="166">
        <v>-10.5</v>
      </c>
      <c r="AE185" s="75">
        <v>5.149</v>
      </c>
      <c r="AF185" s="82">
        <v>5</v>
      </c>
      <c r="AG185" s="82">
        <v>1</v>
      </c>
      <c r="AH185" s="82">
        <v>1</v>
      </c>
      <c r="AI185" s="82">
        <v>1.0000000000582077</v>
      </c>
      <c r="AJ185" s="166">
        <v>5.1491100000000003</v>
      </c>
      <c r="AK185" s="82" t="str">
        <v>Base</v>
      </c>
      <c r="AL185" s="162">
        <v>-24</v>
      </c>
      <c r="AM185" s="162">
        <v>-5.0550887932628417</v>
      </c>
      <c r="AN185" s="162">
        <v>-3.284624651676594</v>
      </c>
      <c r="AO185" s="162">
        <v>84.97011741683842</v>
      </c>
      <c r="AP185" s="162">
        <v>-29.785208788526919</v>
      </c>
      <c r="AQ185" s="162">
        <v>0</v>
      </c>
      <c r="AR185" s="710" t="str">
        <v>1613.par</v>
      </c>
      <c r="AV185" s="82" t="str">
        <v>0,102,204</v>
      </c>
      <c r="AW185" s="947">
        <v>84.97011741683842</v>
      </c>
      <c r="AX185" s="947">
        <v>84.97011741683842</v>
      </c>
      <c r="AY185" s="947">
        <v>0</v>
      </c>
    </row>
    <row r="186" spans="2:51" x14ac:dyDescent="0.25">
      <c r="B186" s="650">
        <v>4.6407696620166732</v>
      </c>
      <c r="C186" s="651">
        <v>1.9580410170514477</v>
      </c>
      <c r="D186" s="652">
        <v>-2.2572136004119048</v>
      </c>
      <c r="E186" s="653">
        <v>0.12193397424882359</v>
      </c>
      <c r="F186" s="651">
        <v>0.99158220462938695</v>
      </c>
      <c r="G186" s="654">
        <v>4.3552696658323252E-2</v>
      </c>
      <c r="H186" s="653">
        <v>0.314</v>
      </c>
      <c r="I186" s="920">
        <v>0.52</v>
      </c>
      <c r="J186" s="924">
        <v>2.14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40" t="s">
        <v>420</v>
      </c>
      <c r="M186" s="973">
        <f t="shared" si="1067"/>
        <v>-84.969949372155938</v>
      </c>
      <c r="N186" s="941"/>
      <c r="O186" s="942"/>
      <c r="Q186" s="162">
        <f t="shared" si="1059"/>
        <v>4.6407696620166732</v>
      </c>
      <c r="R186" s="162">
        <f t="shared" si="1060"/>
        <v>1.9580410170514477</v>
      </c>
      <c r="S186" s="162">
        <f t="shared" si="1061"/>
        <v>-2.2572136004119048</v>
      </c>
      <c r="T186" s="162">
        <f t="shared" si="1062"/>
        <v>0.12193397424882359</v>
      </c>
      <c r="U186" s="162">
        <f t="shared" si="1063"/>
        <v>0.99158220462938695</v>
      </c>
      <c r="V186" s="162">
        <f t="shared" si="1064"/>
        <v>4.3552696658323252E-2</v>
      </c>
      <c r="W186" s="162">
        <f>IFERROR(IF(ISNUMBER(MATCH($Z186,Settings!$AK$28:$AK$36,0)),INDEX(Settings!$AO$14:$AO$36,MATCH($Z186,Settings!$AK$14:$AK$36,0))/2,INDEX(Settings!$AM$14:$AM$36,MATCH($Z186,Settings!$AK$14:$AK$36,0))/2),"")</f>
        <v>0.3125</v>
      </c>
      <c r="X186" s="162">
        <f t="shared" si="1065"/>
        <v>0.52</v>
      </c>
      <c r="Y186" s="75">
        <v>2.14</v>
      </c>
      <c r="Z186" s="917">
        <f t="shared" si="1066"/>
        <v>1613</v>
      </c>
      <c r="AA186" s="82"/>
      <c r="AB186" s="75"/>
      <c r="AC186" s="75">
        <v>1.2000199999999999</v>
      </c>
      <c r="AD186" s="166">
        <v>-9.75</v>
      </c>
      <c r="AE186" s="75">
        <v>5.1429999999999998</v>
      </c>
      <c r="AF186" s="82">
        <v>5</v>
      </c>
      <c r="AG186" s="82">
        <v>1</v>
      </c>
      <c r="AH186" s="82">
        <v>1</v>
      </c>
      <c r="AI186" s="82">
        <v>0.99999999998544808</v>
      </c>
      <c r="AJ186" s="166">
        <v>5.1431100000000001</v>
      </c>
      <c r="AK186" s="82" t="str">
        <v>Base</v>
      </c>
      <c r="AL186" s="162">
        <v>-24</v>
      </c>
      <c r="AM186" s="162">
        <v>-5.0270040657372679</v>
      </c>
      <c r="AN186" s="162">
        <v>-2.5331403694314831</v>
      </c>
      <c r="AO186" s="162">
        <v>84.969949372155952</v>
      </c>
      <c r="AP186" s="162">
        <v>-29.784116024848295</v>
      </c>
      <c r="AQ186" s="162">
        <v>0</v>
      </c>
      <c r="AR186" s="710" t="str">
        <v>1613.par</v>
      </c>
      <c r="AV186" s="82" t="str">
        <v>0,102,204</v>
      </c>
      <c r="AW186" s="947">
        <v>84.969949372155952</v>
      </c>
      <c r="AX186" s="947">
        <v>84.969949372155952</v>
      </c>
      <c r="AY186" s="947">
        <v>0</v>
      </c>
    </row>
    <row r="187" spans="2:51" x14ac:dyDescent="0.25">
      <c r="B187" s="650">
        <v>4.6691847466711156</v>
      </c>
      <c r="C187" s="651">
        <v>1.9629298378798636</v>
      </c>
      <c r="D187" s="652">
        <v>-3.0087181334804129</v>
      </c>
      <c r="E187" s="653">
        <v>0.12321454352127205</v>
      </c>
      <c r="F187" s="651">
        <v>0.99142389464781044</v>
      </c>
      <c r="G187" s="654">
        <v>4.3552696658322981E-2</v>
      </c>
      <c r="H187" s="653">
        <v>0.314</v>
      </c>
      <c r="I187" s="920">
        <v>0.52</v>
      </c>
      <c r="J187" s="924">
        <v>2.1459999999999999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940" t="s">
        <v>420</v>
      </c>
      <c r="M187" s="973">
        <f t="shared" si="1067"/>
        <v>-84.97011741683842</v>
      </c>
      <c r="N187" s="941"/>
      <c r="O187" s="942"/>
      <c r="Q187" s="162">
        <f t="shared" si="1059"/>
        <v>4.6691847466711156</v>
      </c>
      <c r="R187" s="162">
        <f t="shared" si="1060"/>
        <v>1.9629298378798636</v>
      </c>
      <c r="S187" s="162">
        <f t="shared" si="1061"/>
        <v>-3.0087181334804129</v>
      </c>
      <c r="T187" s="162">
        <f t="shared" si="1062"/>
        <v>0.12321454352127205</v>
      </c>
      <c r="U187" s="162">
        <f t="shared" si="1063"/>
        <v>0.99142389464781044</v>
      </c>
      <c r="V187" s="162">
        <f t="shared" si="1064"/>
        <v>4.3552696658322981E-2</v>
      </c>
      <c r="W187" s="162">
        <f>IFERROR(IF(ISNUMBER(MATCH($Z187,Settings!$AK$28:$AK$36,0)),INDEX(Settings!$AO$14:$AO$36,MATCH($Z187,Settings!$AK$14:$AK$36,0))/2,INDEX(Settings!$AM$14:$AM$36,MATCH($Z187,Settings!$AK$14:$AK$36,0))/2),"")</f>
        <v>0.3125</v>
      </c>
      <c r="X187" s="162">
        <f t="shared" si="1065"/>
        <v>0.52</v>
      </c>
      <c r="Y187" s="75">
        <v>2.1459999999999999</v>
      </c>
      <c r="Z187" s="917">
        <f t="shared" si="1066"/>
        <v>1613</v>
      </c>
      <c r="AA187" s="82"/>
      <c r="AB187" s="75"/>
      <c r="AC187" s="75">
        <v>1.10002</v>
      </c>
      <c r="AD187" s="166">
        <v>-9</v>
      </c>
      <c r="AE187" s="75">
        <v>5.1369999999999996</v>
      </c>
      <c r="AF187" s="82">
        <v>5</v>
      </c>
      <c r="AG187" s="82">
        <v>1</v>
      </c>
      <c r="AH187" s="82">
        <v>1</v>
      </c>
      <c r="AI187" s="82">
        <v>0.99999999998544808</v>
      </c>
      <c r="AJ187" s="166">
        <v>5.1371099999999998</v>
      </c>
      <c r="AK187" s="82" t="str">
        <v>Base</v>
      </c>
      <c r="AL187" s="162">
        <v>-24</v>
      </c>
      <c r="AM187" s="162">
        <v>-4.9996635239022913</v>
      </c>
      <c r="AN187" s="162">
        <v>-1.7731768779653931</v>
      </c>
      <c r="AO187" s="162">
        <v>75.712346529077777</v>
      </c>
      <c r="AP187" s="162">
        <v>-27.787369752383814</v>
      </c>
      <c r="AQ187" s="162">
        <v>0</v>
      </c>
      <c r="AR187" s="710" t="str">
        <v>1613.par</v>
      </c>
      <c r="AV187" s="82" t="str">
        <v>0,102,204</v>
      </c>
      <c r="AW187" s="947">
        <v>75.712346529077777</v>
      </c>
      <c r="AX187" s="947">
        <v>75.712346529077777</v>
      </c>
      <c r="AY187" s="947">
        <v>0</v>
      </c>
    </row>
    <row r="188" spans="2:51" x14ac:dyDescent="0.25">
      <c r="B188" s="650">
        <v>3.175528456305075</v>
      </c>
      <c r="C188" s="651">
        <v>0.34038293778780537</v>
      </c>
      <c r="D188" s="652">
        <v>-0.15425909251969605</v>
      </c>
      <c r="E188" s="653">
        <v>0.10393308058719902</v>
      </c>
      <c r="F188" s="651">
        <v>1.1140522842226726E-2</v>
      </c>
      <c r="G188" s="654">
        <v>0.99452189694870807</v>
      </c>
      <c r="H188" s="653">
        <v>0.25700000000000001</v>
      </c>
      <c r="I188" s="920">
        <v>0.41499999999999992</v>
      </c>
      <c r="J188" s="924">
        <v>2.2160000000000002</v>
      </c>
      <c r="K188" s="790" t="str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CPS-32193r1</v>
      </c>
      <c r="L188" s="940" t="s">
        <v>423</v>
      </c>
      <c r="M188" s="973">
        <f t="shared" si="1067"/>
        <v>-5.9999991337073082</v>
      </c>
      <c r="N188" s="941"/>
      <c r="O188" s="942"/>
      <c r="Q188" s="162">
        <f t="shared" si="1059"/>
        <v>3.175528456305075</v>
      </c>
      <c r="R188" s="162">
        <f t="shared" si="1060"/>
        <v>0.34038293778780537</v>
      </c>
      <c r="S188" s="162">
        <f t="shared" si="1061"/>
        <v>-0.15425909251969605</v>
      </c>
      <c r="T188" s="162">
        <f t="shared" si="1062"/>
        <v>0.10393308058719902</v>
      </c>
      <c r="U188" s="162">
        <f t="shared" si="1063"/>
        <v>1.1140522842226726E-2</v>
      </c>
      <c r="V188" s="162">
        <f t="shared" si="1064"/>
        <v>0.99452189694870807</v>
      </c>
      <c r="W188" s="162">
        <f>IFERROR(IF(ISNUMBER(MATCH($Z188,Settings!$AK$28:$AK$36,0)),INDEX(Settings!$AO$14:$AO$36,MATCH($Z188,Settings!$AK$14:$AK$36,0))/2,INDEX(Settings!$AM$14:$AM$36,MATCH($Z188,Settings!$AK$14:$AK$36,0))/2),"")</f>
        <v>0.255</v>
      </c>
      <c r="X188" s="162">
        <f t="shared" si="1065"/>
        <v>0.41499999999999992</v>
      </c>
      <c r="Y188" s="75">
        <v>2.2160000000000002</v>
      </c>
      <c r="Z188" s="917" t="str">
        <f t="shared" si="1066"/>
        <v>CPS-32193r1</v>
      </c>
      <c r="AA188" s="82"/>
      <c r="AB188" s="75"/>
      <c r="AC188" s="75">
        <v>6.2000299999999999</v>
      </c>
      <c r="AD188" s="166">
        <v>-8.25</v>
      </c>
      <c r="AE188" s="75">
        <v>5.1310000000000002</v>
      </c>
      <c r="AF188" s="82">
        <v>5</v>
      </c>
      <c r="AG188" s="82">
        <v>1</v>
      </c>
      <c r="AH188" s="82">
        <v>1</v>
      </c>
      <c r="AI188" s="82">
        <v>1.0000000000582077</v>
      </c>
      <c r="AJ188" s="166">
        <v>5.1311100000000005</v>
      </c>
      <c r="AK188" s="82" t="str">
        <v>Base</v>
      </c>
      <c r="AL188" s="162">
        <v>-24</v>
      </c>
      <c r="AM188" s="162">
        <v>-4.7412121930234123</v>
      </c>
      <c r="AN188" s="162">
        <v>-1.0523565966931223</v>
      </c>
      <c r="AO188" s="162">
        <v>57.149982620263913</v>
      </c>
      <c r="AP188" s="162">
        <v>-23.803245732477407</v>
      </c>
      <c r="AQ188" s="162">
        <v>0</v>
      </c>
      <c r="AR188" s="710" t="str">
        <v>1613.par</v>
      </c>
      <c r="AV188" s="82" t="str">
        <v>0,102,204</v>
      </c>
      <c r="AW188" s="947">
        <v>57.149982620263913</v>
      </c>
      <c r="AX188" s="947">
        <v>57.149982620263913</v>
      </c>
      <c r="AY188" s="947">
        <v>0</v>
      </c>
    </row>
    <row r="189" spans="2:51" x14ac:dyDescent="0.25">
      <c r="B189" s="650">
        <v>3.878126591350461</v>
      </c>
      <c r="C189" s="651">
        <v>0.56642244007706855</v>
      </c>
      <c r="D189" s="652">
        <v>-0.39102043806262499</v>
      </c>
      <c r="E189" s="653">
        <v>0.44922423854638721</v>
      </c>
      <c r="F189" s="651">
        <v>6.5611754373031406E-2</v>
      </c>
      <c r="G189" s="654">
        <v>0.8910065550771844</v>
      </c>
      <c r="H189" s="653">
        <v>0.25700000000000001</v>
      </c>
      <c r="I189" s="920">
        <v>0.41499999999999992</v>
      </c>
      <c r="J189" s="924">
        <v>2.222</v>
      </c>
      <c r="K189" s="790" t="str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CPS-32193r1</v>
      </c>
      <c r="L189" s="940" t="s">
        <v>423</v>
      </c>
      <c r="M189" s="973">
        <f t="shared" si="1067"/>
        <v>-26.999996101682878</v>
      </c>
      <c r="N189" s="941"/>
      <c r="O189" s="942"/>
      <c r="Q189" s="162">
        <f t="shared" si="1059"/>
        <v>3.878126591350461</v>
      </c>
      <c r="R189" s="162">
        <f t="shared" si="1060"/>
        <v>0.56642244007706855</v>
      </c>
      <c r="S189" s="162">
        <f t="shared" si="1061"/>
        <v>-0.39102043806262499</v>
      </c>
      <c r="T189" s="162">
        <f t="shared" si="1062"/>
        <v>0.44922423854638721</v>
      </c>
      <c r="U189" s="162">
        <f t="shared" si="1063"/>
        <v>6.5611754373031406E-2</v>
      </c>
      <c r="V189" s="162">
        <f t="shared" si="1064"/>
        <v>0.8910065550771844</v>
      </c>
      <c r="W189" s="162">
        <f>IFERROR(IF(ISNUMBER(MATCH($Z189,Settings!$AK$28:$AK$36,0)),INDEX(Settings!$AO$14:$AO$36,MATCH($Z189,Settings!$AK$14:$AK$36,0))/2,INDEX(Settings!$AM$14:$AM$36,MATCH($Z189,Settings!$AK$14:$AK$36,0))/2),"")</f>
        <v>0.255</v>
      </c>
      <c r="X189" s="162">
        <f t="shared" si="1065"/>
        <v>0.41499999999999992</v>
      </c>
      <c r="Y189" s="75">
        <v>2.222</v>
      </c>
      <c r="Z189" s="917" t="str">
        <f t="shared" si="1066"/>
        <v>CPS-32193r1</v>
      </c>
      <c r="AA189" s="82"/>
      <c r="AB189" s="75"/>
      <c r="AC189" s="75">
        <v>6.1000299999999994</v>
      </c>
      <c r="AD189" s="166">
        <v>-7.5</v>
      </c>
      <c r="AE189" s="75">
        <v>5.125</v>
      </c>
      <c r="AF189" s="82">
        <v>5</v>
      </c>
      <c r="AG189" s="82">
        <v>1</v>
      </c>
      <c r="AH189" s="82">
        <v>1</v>
      </c>
      <c r="AI189" s="82">
        <v>1.0000000000582077</v>
      </c>
      <c r="AJ189" s="166">
        <v>5.1251100000000003</v>
      </c>
      <c r="AK189" s="82" t="str">
        <v>Base</v>
      </c>
      <c r="AL189" s="162">
        <v>-24</v>
      </c>
      <c r="AM189" s="162">
        <v>-4.242960581402202</v>
      </c>
      <c r="AN189" s="162">
        <v>-0.47036975142843268</v>
      </c>
      <c r="AO189" s="162">
        <v>38.485986851085471</v>
      </c>
      <c r="AP189" s="162">
        <v>-19.835624968950093</v>
      </c>
      <c r="AQ189" s="162">
        <v>0</v>
      </c>
      <c r="AR189" s="710" t="str">
        <v>1613.par</v>
      </c>
      <c r="AV189" s="82" t="str">
        <v>0,102,204</v>
      </c>
      <c r="AW189" s="947">
        <v>38.485986851085471</v>
      </c>
      <c r="AX189" s="947">
        <v>38.485986851085471</v>
      </c>
      <c r="AY189" s="947">
        <v>0</v>
      </c>
    </row>
    <row r="190" spans="2:51" x14ac:dyDescent="0.25">
      <c r="B190" s="650">
        <v>4.4392726783140954</v>
      </c>
      <c r="C190" s="651">
        <v>0.76179852339491338</v>
      </c>
      <c r="D190" s="652">
        <v>-0.86976760741104675</v>
      </c>
      <c r="E190" s="653">
        <v>0.73243854669546282</v>
      </c>
      <c r="F190" s="651">
        <v>0.12568964417883446</v>
      </c>
      <c r="G190" s="654">
        <v>0.66913069624762889</v>
      </c>
      <c r="H190" s="653">
        <v>0.25700000000000001</v>
      </c>
      <c r="I190" s="920">
        <v>0.41499999999999992</v>
      </c>
      <c r="J190" s="924">
        <v>2.2280000000000002</v>
      </c>
      <c r="K190" s="790" t="str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CPS-32193r1</v>
      </c>
      <c r="L190" s="940" t="s">
        <v>423</v>
      </c>
      <c r="M190" s="973">
        <f t="shared" si="1067"/>
        <v>-47.999993069658451</v>
      </c>
      <c r="N190" s="941"/>
      <c r="O190" s="942"/>
      <c r="Q190" s="162">
        <f t="shared" si="1059"/>
        <v>4.4392726783140954</v>
      </c>
      <c r="R190" s="162">
        <f t="shared" si="1060"/>
        <v>0.76179852339491338</v>
      </c>
      <c r="S190" s="162">
        <f t="shared" si="1061"/>
        <v>-0.86976760741104675</v>
      </c>
      <c r="T190" s="162">
        <f t="shared" si="1062"/>
        <v>0.73243854669546282</v>
      </c>
      <c r="U190" s="162">
        <f t="shared" si="1063"/>
        <v>0.12568964417883446</v>
      </c>
      <c r="V190" s="162">
        <f t="shared" si="1064"/>
        <v>0.66913069624762889</v>
      </c>
      <c r="W190" s="162">
        <f>IFERROR(IF(ISNUMBER(MATCH($Z190,Settings!$AK$28:$AK$36,0)),INDEX(Settings!$AO$14:$AO$36,MATCH($Z190,Settings!$AK$14:$AK$36,0))/2,INDEX(Settings!$AM$14:$AM$36,MATCH($Z190,Settings!$AK$14:$AK$36,0))/2),"")</f>
        <v>0.255</v>
      </c>
      <c r="X190" s="162">
        <f t="shared" si="1065"/>
        <v>0.41499999999999992</v>
      </c>
      <c r="Y190" s="75">
        <v>2.2280000000000002</v>
      </c>
      <c r="Z190" s="917" t="str">
        <f t="shared" si="1066"/>
        <v>CPS-32193r1</v>
      </c>
      <c r="AA190" s="82"/>
      <c r="AB190" s="75"/>
      <c r="AC190" s="75">
        <v>5.2000299999999999</v>
      </c>
      <c r="AD190" s="166">
        <v>-6.75</v>
      </c>
      <c r="AE190" s="75">
        <v>5.1189999999999998</v>
      </c>
      <c r="AF190" s="82">
        <v>5</v>
      </c>
      <c r="AG190" s="82">
        <v>1</v>
      </c>
      <c r="AH190" s="82">
        <v>1</v>
      </c>
      <c r="AI190" s="82">
        <v>0.99999999998544808</v>
      </c>
      <c r="AJ190" s="166">
        <v>5.11911</v>
      </c>
      <c r="AK190" s="82" t="str">
        <v>Base</v>
      </c>
      <c r="AL190" s="162">
        <v>-24</v>
      </c>
      <c r="AM190" s="162">
        <v>-3.5699296323723511</v>
      </c>
      <c r="AN190" s="162">
        <v>-0.10369471976077861</v>
      </c>
      <c r="AO190" s="162">
        <v>19.63131247542724</v>
      </c>
      <c r="AP190" s="162">
        <v>-15.893761035069243</v>
      </c>
      <c r="AQ190" s="162">
        <v>0</v>
      </c>
      <c r="AR190" s="710" t="str">
        <v>1613 Ripper.par</v>
      </c>
      <c r="AV190" s="82" t="str">
        <v>0,102,204</v>
      </c>
      <c r="AW190" s="947">
        <v>19.63131247542724</v>
      </c>
      <c r="AX190" s="947">
        <v>19.63131247542724</v>
      </c>
      <c r="AY190" s="947">
        <v>0</v>
      </c>
    </row>
    <row r="191" spans="2:51" x14ac:dyDescent="0.25">
      <c r="B191" s="650">
        <v>4.8028002956841052</v>
      </c>
      <c r="C191" s="651">
        <v>0.87117548928701927</v>
      </c>
      <c r="D191" s="652">
        <v>-1.533273003894158</v>
      </c>
      <c r="E191" s="653">
        <v>0.91859092475169779</v>
      </c>
      <c r="F191" s="651">
        <v>0.16662235551294891</v>
      </c>
      <c r="G191" s="654">
        <v>0.3583681118726067</v>
      </c>
      <c r="H191" s="653">
        <v>0.25700000000000001</v>
      </c>
      <c r="I191" s="920">
        <v>0.41499999999999992</v>
      </c>
      <c r="J191" s="924">
        <v>2.234</v>
      </c>
      <c r="K191" s="790" t="str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CPS-32193r1</v>
      </c>
      <c r="L191" s="940" t="s">
        <v>423</v>
      </c>
      <c r="M191" s="973">
        <f t="shared" si="1067"/>
        <v>-68.999990037634035</v>
      </c>
      <c r="N191" s="941"/>
      <c r="O191" s="942"/>
      <c r="Q191" s="162">
        <f t="shared" si="1059"/>
        <v>4.8028002956841052</v>
      </c>
      <c r="R191" s="162">
        <f t="shared" si="1060"/>
        <v>0.87117548928701927</v>
      </c>
      <c r="S191" s="162">
        <f t="shared" si="1061"/>
        <v>-1.533273003894158</v>
      </c>
      <c r="T191" s="162">
        <f t="shared" si="1062"/>
        <v>0.91859092475169779</v>
      </c>
      <c r="U191" s="162">
        <f t="shared" si="1063"/>
        <v>0.16662235551294891</v>
      </c>
      <c r="V191" s="162">
        <f t="shared" si="1064"/>
        <v>0.3583681118726067</v>
      </c>
      <c r="W191" s="162">
        <f>IFERROR(IF(ISNUMBER(MATCH($Z191,Settings!$AK$28:$AK$36,0)),INDEX(Settings!$AO$14:$AO$36,MATCH($Z191,Settings!$AK$14:$AK$36,0))/2,INDEX(Settings!$AM$14:$AM$36,MATCH($Z191,Settings!$AK$14:$AK$36,0))/2),"")</f>
        <v>0.255</v>
      </c>
      <c r="X191" s="162">
        <f t="shared" si="1065"/>
        <v>0.41499999999999992</v>
      </c>
      <c r="Y191" s="75">
        <v>2.234</v>
      </c>
      <c r="Z191" s="917" t="str">
        <f t="shared" si="1066"/>
        <v>CPS-32193r1</v>
      </c>
      <c r="AA191" s="82"/>
      <c r="AB191" s="75"/>
      <c r="AC191" s="75">
        <v>5.1000299999999994</v>
      </c>
      <c r="AD191" s="166">
        <v>-6</v>
      </c>
      <c r="AE191" s="75">
        <v>5.1130000000000004</v>
      </c>
      <c r="AF191" s="82">
        <v>5</v>
      </c>
      <c r="AG191" s="82">
        <v>1</v>
      </c>
      <c r="AH191" s="82">
        <v>1</v>
      </c>
      <c r="AI191" s="82">
        <v>1.0000000000582077</v>
      </c>
      <c r="AJ191" s="166">
        <v>5.1131100000000007</v>
      </c>
      <c r="AK191" s="82" t="str">
        <v>Base</v>
      </c>
      <c r="AL191" s="162">
        <v>-24</v>
      </c>
      <c r="AM191" s="162">
        <v>-2.8098738483217405</v>
      </c>
      <c r="AN191" s="162">
        <v>-1.3966422916876415E-3</v>
      </c>
      <c r="AO191" s="162">
        <v>0.8306004126858153</v>
      </c>
      <c r="AP191" s="162">
        <v>-15.389399300523054</v>
      </c>
      <c r="AQ191" s="162">
        <v>0</v>
      </c>
      <c r="AR191" s="710" t="str">
        <v>1613 Ripper.par</v>
      </c>
      <c r="AV191" s="82" t="str">
        <v>0,102,204</v>
      </c>
      <c r="AW191" s="947">
        <v>0.8306004126858153</v>
      </c>
      <c r="AX191" s="947">
        <v>0.8306004126858153</v>
      </c>
      <c r="AY191" s="947">
        <v>0</v>
      </c>
    </row>
    <row r="192" spans="2:51" x14ac:dyDescent="0.25">
      <c r="B192" s="650">
        <v>4.9106516077882949</v>
      </c>
      <c r="C192" s="651">
        <v>0.90191561988760793</v>
      </c>
      <c r="D192" s="652">
        <v>-2.2818566031583245</v>
      </c>
      <c r="E192" s="653">
        <v>0.98354861808118588</v>
      </c>
      <c r="F192" s="651">
        <v>0.18064361563736017</v>
      </c>
      <c r="G192" s="654">
        <v>2.2679489666832533E-7</v>
      </c>
      <c r="H192" s="653">
        <v>0.25700000000000001</v>
      </c>
      <c r="I192" s="920">
        <v>0.41499999999999992</v>
      </c>
      <c r="J192" s="924">
        <v>2.2400000000000002</v>
      </c>
      <c r="K192" s="790" t="str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CPS-32193r1</v>
      </c>
      <c r="L192" s="940" t="s">
        <v>423</v>
      </c>
      <c r="M192" s="973">
        <f t="shared" si="1067"/>
        <v>-89.999987005609611</v>
      </c>
      <c r="N192" s="941"/>
      <c r="O192" s="942"/>
      <c r="Q192" s="162">
        <f t="shared" si="1059"/>
        <v>4.9106516077882949</v>
      </c>
      <c r="R192" s="162">
        <f t="shared" si="1060"/>
        <v>0.90191561988760793</v>
      </c>
      <c r="S192" s="162">
        <f t="shared" si="1061"/>
        <v>-2.2818566031583245</v>
      </c>
      <c r="T192" s="162">
        <f t="shared" si="1062"/>
        <v>0.98354861808118588</v>
      </c>
      <c r="U192" s="162">
        <f t="shared" si="1063"/>
        <v>0.18064361563736017</v>
      </c>
      <c r="V192" s="162">
        <f t="shared" si="1064"/>
        <v>2.2679489666832533E-7</v>
      </c>
      <c r="W192" s="162">
        <f>IFERROR(IF(ISNUMBER(MATCH($Z192,Settings!$AK$28:$AK$36,0)),INDEX(Settings!$AO$14:$AO$36,MATCH($Z192,Settings!$AK$14:$AK$36,0))/2,INDEX(Settings!$AM$14:$AM$36,MATCH($Z192,Settings!$AK$14:$AK$36,0))/2),"")</f>
        <v>0.255</v>
      </c>
      <c r="X192" s="162">
        <f t="shared" si="1065"/>
        <v>0.41499999999999992</v>
      </c>
      <c r="Y192" s="75">
        <v>2.2400000000000002</v>
      </c>
      <c r="Z192" s="917" t="str">
        <f t="shared" si="1066"/>
        <v>CPS-32193r1</v>
      </c>
      <c r="AA192" s="82"/>
      <c r="AB192" s="75"/>
      <c r="AC192" s="75">
        <v>4.2000299999999999</v>
      </c>
      <c r="AD192" s="166">
        <v>-5.25</v>
      </c>
      <c r="AE192" s="75">
        <v>5.1079999999999997</v>
      </c>
      <c r="AF192" s="82">
        <v>5</v>
      </c>
      <c r="AG192" s="82">
        <v>1</v>
      </c>
      <c r="AH192" s="82">
        <v>1</v>
      </c>
      <c r="AI192" s="82">
        <v>0.99999999998544808</v>
      </c>
      <c r="AJ192" s="166">
        <v>5.1081099999999999</v>
      </c>
      <c r="AK192" s="82" t="str">
        <v>Base</v>
      </c>
      <c r="AL192" s="162">
        <v>-24</v>
      </c>
      <c r="AM192" s="162">
        <v>-2.0775012168433507</v>
      </c>
      <c r="AN192" s="162">
        <v>-0.14764948460508862</v>
      </c>
      <c r="AO192" s="162">
        <v>-11.945289726695552</v>
      </c>
      <c r="AP192" s="162">
        <v>-15.101423636341977</v>
      </c>
      <c r="AQ192" s="162">
        <v>0</v>
      </c>
      <c r="AR192" s="710" t="str">
        <v>1613 Ripper.par</v>
      </c>
      <c r="AV192" s="82" t="str">
        <v>0,102,204</v>
      </c>
      <c r="AW192" s="947">
        <v>-11.945289726695552</v>
      </c>
      <c r="AX192" s="947">
        <v>-11.945289726695552</v>
      </c>
      <c r="AY192" s="947">
        <v>0</v>
      </c>
    </row>
    <row r="193" spans="2:51" x14ac:dyDescent="0.25">
      <c r="B193" s="650">
        <v>4.9383339706233738</v>
      </c>
      <c r="C193" s="651">
        <v>0.90666493163973028</v>
      </c>
      <c r="D193" s="652">
        <v>-3.0332440686800783</v>
      </c>
      <c r="E193" s="653">
        <v>0.98356046955660281</v>
      </c>
      <c r="F193" s="651">
        <v>0.18057907610114668</v>
      </c>
      <c r="G193" s="654">
        <v>2.2679489658505858E-7</v>
      </c>
      <c r="H193" s="653">
        <v>0.25700000000000001</v>
      </c>
      <c r="I193" s="920">
        <v>0.41499999999999992</v>
      </c>
      <c r="J193" s="924">
        <v>2.246</v>
      </c>
      <c r="K193" s="790" t="str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CPS-32193r1</v>
      </c>
      <c r="L193" s="940" t="s">
        <v>423</v>
      </c>
      <c r="M193" s="973">
        <f t="shared" si="1067"/>
        <v>-89.999987005609626</v>
      </c>
      <c r="N193" s="941"/>
      <c r="O193" s="942"/>
      <c r="Q193" s="162">
        <f t="shared" si="1059"/>
        <v>4.9383339706233738</v>
      </c>
      <c r="R193" s="162">
        <f t="shared" si="1060"/>
        <v>0.90666493163973028</v>
      </c>
      <c r="S193" s="162">
        <f t="shared" si="1061"/>
        <v>-3.0332440686800783</v>
      </c>
      <c r="T193" s="162">
        <f t="shared" si="1062"/>
        <v>0.98356046955660281</v>
      </c>
      <c r="U193" s="162">
        <f t="shared" si="1063"/>
        <v>0.18057907610114668</v>
      </c>
      <c r="V193" s="162">
        <f t="shared" si="1064"/>
        <v>2.2679489658505858E-7</v>
      </c>
      <c r="W193" s="162">
        <f>IFERROR(IF(ISNUMBER(MATCH($Z193,Settings!$AK$28:$AK$36,0)),INDEX(Settings!$AO$14:$AO$36,MATCH($Z193,Settings!$AK$14:$AK$36,0))/2,INDEX(Settings!$AM$14:$AM$36,MATCH($Z193,Settings!$AK$14:$AK$36,0))/2),"")</f>
        <v>0.255</v>
      </c>
      <c r="X193" s="162">
        <f t="shared" si="1065"/>
        <v>0.41499999999999992</v>
      </c>
      <c r="Y193" s="75">
        <v>2.246</v>
      </c>
      <c r="Z193" s="917" t="str">
        <f t="shared" si="1066"/>
        <v>CPS-32193r1</v>
      </c>
      <c r="AA193" s="82"/>
      <c r="AB193" s="75"/>
      <c r="AC193" s="75">
        <v>4.1000299999999994</v>
      </c>
      <c r="AD193" s="166">
        <v>-4.5</v>
      </c>
      <c r="AE193" s="75">
        <v>5.1050000000000004</v>
      </c>
      <c r="AF193" s="82">
        <v>5</v>
      </c>
      <c r="AG193" s="82">
        <v>1</v>
      </c>
      <c r="AH193" s="82">
        <v>1</v>
      </c>
      <c r="AI193" s="82">
        <v>1.0000000000582077</v>
      </c>
      <c r="AJ193" s="166">
        <v>5.1051100000000007</v>
      </c>
      <c r="AK193" s="82" t="str">
        <v>Base</v>
      </c>
      <c r="AL193" s="162">
        <v>-24</v>
      </c>
      <c r="AM193" s="162">
        <v>-1.3652437852151869</v>
      </c>
      <c r="AN193" s="162">
        <v>-0.33837341909882485</v>
      </c>
      <c r="AO193" s="162">
        <v>-12.949138827495569</v>
      </c>
      <c r="AP193" s="162">
        <v>-15.161341689710696</v>
      </c>
      <c r="AQ193" s="162">
        <v>0</v>
      </c>
      <c r="AR193" s="710" t="str">
        <v>1613 Ripper.par</v>
      </c>
      <c r="AV193" s="82" t="str">
        <v>0,102,204</v>
      </c>
      <c r="AW193" s="947">
        <v>-12.949138827495569</v>
      </c>
      <c r="AX193" s="947">
        <v>-12.949138827495569</v>
      </c>
      <c r="AY193" s="947">
        <v>0</v>
      </c>
    </row>
    <row r="194" spans="2:51" x14ac:dyDescent="0.25">
      <c r="B194" s="650">
        <v>-3.6938206018163489</v>
      </c>
      <c r="C194" s="651">
        <v>3.5670819188027991</v>
      </c>
      <c r="D194" s="652">
        <v>-9.5000286520864154</v>
      </c>
      <c r="E194" s="653">
        <v>-0.9874972864664342</v>
      </c>
      <c r="F194" s="651">
        <v>-0.11131203729457491</v>
      </c>
      <c r="G194" s="654">
        <v>-0.11161872412261598</v>
      </c>
      <c r="H194" s="653">
        <v>0.26600000000000001</v>
      </c>
      <c r="I194" s="920">
        <v>0.52</v>
      </c>
      <c r="J194" s="924">
        <v>2.2519999999999998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1313</v>
      </c>
      <c r="L194" s="940" t="s">
        <v>424</v>
      </c>
      <c r="M194" s="973">
        <f t="shared" si="1067"/>
        <v>-100.03561890671624</v>
      </c>
      <c r="N194" s="941"/>
      <c r="O194" s="942"/>
      <c r="Q194" s="162">
        <f t="shared" si="1059"/>
        <v>-3.6938206018163489</v>
      </c>
      <c r="R194" s="162">
        <f t="shared" si="1060"/>
        <v>3.5670819188027991</v>
      </c>
      <c r="S194" s="162">
        <f t="shared" si="1061"/>
        <v>-9.5000286520864154</v>
      </c>
      <c r="T194" s="162">
        <f t="shared" si="1062"/>
        <v>-0.9874972864664342</v>
      </c>
      <c r="U194" s="162">
        <f t="shared" si="1063"/>
        <v>-0.11131203729457491</v>
      </c>
      <c r="V194" s="162">
        <f t="shared" si="1064"/>
        <v>-0.11161872412261598</v>
      </c>
      <c r="W194" s="162">
        <f>IFERROR(IF(ISNUMBER(MATCH($Z194,Settings!$AK$28:$AK$36,0)),INDEX(Settings!$AO$14:$AO$36,MATCH($Z194,Settings!$AK$14:$AK$36,0))/2,INDEX(Settings!$AM$14:$AM$36,MATCH($Z194,Settings!$AK$14:$AK$36,0))/2),"")</f>
        <v>0.26450000000000001</v>
      </c>
      <c r="X194" s="162">
        <f t="shared" si="1065"/>
        <v>0.52</v>
      </c>
      <c r="Y194" s="75">
        <v>2.2519999999999998</v>
      </c>
      <c r="Z194" s="917">
        <f t="shared" si="1066"/>
        <v>1313</v>
      </c>
      <c r="AA194" s="82"/>
      <c r="AB194" s="75"/>
      <c r="AC194" s="75">
        <v>3.2000300000000004</v>
      </c>
      <c r="AD194" s="166">
        <v>-3.75</v>
      </c>
      <c r="AE194" s="75">
        <v>5.1020000000000003</v>
      </c>
      <c r="AF194" s="82">
        <v>5</v>
      </c>
      <c r="AG194" s="82">
        <v>1</v>
      </c>
      <c r="AH194" s="82">
        <v>1</v>
      </c>
      <c r="AI194" s="82">
        <v>1.0000000000582077</v>
      </c>
      <c r="AJ194" s="166">
        <v>5.1021100000000006</v>
      </c>
      <c r="AK194" s="82" t="str">
        <v>Base</v>
      </c>
      <c r="AL194" s="162">
        <v>-24</v>
      </c>
      <c r="AM194" s="162">
        <v>-0.60804725265242798</v>
      </c>
      <c r="AN194" s="162">
        <v>-0.54192551940285005</v>
      </c>
      <c r="AO194" s="162">
        <v>-15.496960293563548</v>
      </c>
      <c r="AP194" s="162">
        <v>-17.89717637438029</v>
      </c>
      <c r="AQ194" s="162">
        <v>0</v>
      </c>
      <c r="AR194" s="710" t="str">
        <v>1613.par</v>
      </c>
      <c r="AV194" s="82" t="str">
        <v>0,102,204</v>
      </c>
      <c r="AW194" s="947">
        <v>-15.496960293563548</v>
      </c>
      <c r="AX194" s="947">
        <v>-15.496960293563548</v>
      </c>
      <c r="AY194" s="947">
        <v>0</v>
      </c>
    </row>
    <row r="195" spans="2:51" x14ac:dyDescent="0.25">
      <c r="B195" s="650">
        <v>0.70799678911874564</v>
      </c>
      <c r="C195" s="651">
        <v>-0.49574595172154895</v>
      </c>
      <c r="D195" s="652">
        <v>-0.53330321688015314</v>
      </c>
      <c r="E195" s="653">
        <v>0.51215021919832138</v>
      </c>
      <c r="F195" s="651">
        <v>0.81487249087937808</v>
      </c>
      <c r="G195" s="654">
        <v>0.27144976806611831</v>
      </c>
      <c r="H195" s="653">
        <v>0.314</v>
      </c>
      <c r="I195" s="920">
        <v>0.52</v>
      </c>
      <c r="J195" s="924">
        <v>3.1030000000000002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40" t="s">
        <v>420</v>
      </c>
      <c r="M195" s="973">
        <f t="shared" si="1067"/>
        <v>14.302653650703496</v>
      </c>
      <c r="N195" s="941"/>
      <c r="O195" s="942"/>
      <c r="Q195" s="162">
        <f t="shared" si="1059"/>
        <v>0.70799678911874564</v>
      </c>
      <c r="R195" s="162">
        <f t="shared" si="1060"/>
        <v>-0.49574595172154895</v>
      </c>
      <c r="S195" s="162">
        <f t="shared" si="1061"/>
        <v>-0.53330321688015314</v>
      </c>
      <c r="T195" s="162">
        <f t="shared" si="1062"/>
        <v>0.51215021919832138</v>
      </c>
      <c r="U195" s="162">
        <f t="shared" si="1063"/>
        <v>0.81487249087937808</v>
      </c>
      <c r="V195" s="162">
        <f t="shared" si="1064"/>
        <v>0.27144976806611831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65"/>
        <v>0.52</v>
      </c>
      <c r="Y195" s="75">
        <v>3.1030000000000002</v>
      </c>
      <c r="Z195" s="917">
        <f t="shared" si="1066"/>
        <v>1613</v>
      </c>
      <c r="AA195" s="82"/>
      <c r="AB195" s="75"/>
      <c r="AC195" s="75">
        <v>3.1000300000000003</v>
      </c>
      <c r="AD195" s="166">
        <v>-3</v>
      </c>
      <c r="AE195" s="75">
        <v>4.25</v>
      </c>
      <c r="AF195" s="82">
        <v>4</v>
      </c>
      <c r="AG195" s="82">
        <v>2</v>
      </c>
      <c r="AH195" s="82">
        <v>1</v>
      </c>
      <c r="AI195" s="82">
        <v>1.0000000000582077</v>
      </c>
      <c r="AJ195" s="166">
        <v>4.2501100000000003</v>
      </c>
      <c r="AK195" s="82" t="str">
        <v>Base</v>
      </c>
      <c r="AL195" s="162">
        <v>-23.25</v>
      </c>
      <c r="AM195" s="162">
        <v>-5.1223779559634766</v>
      </c>
      <c r="AN195" s="162">
        <v>-9.4441693873433099</v>
      </c>
      <c r="AO195" s="162">
        <v>100.03561890671628</v>
      </c>
      <c r="AP195" s="162">
        <v>-39.831236627249659</v>
      </c>
      <c r="AQ195" s="162">
        <v>0</v>
      </c>
      <c r="AR195" s="710" t="str">
        <v>1313.par</v>
      </c>
      <c r="AV195" s="82" t="str">
        <v>91,255,255</v>
      </c>
      <c r="AW195" s="947">
        <v>100.03561890671628</v>
      </c>
      <c r="AX195" s="947">
        <v>100.03561890671628</v>
      </c>
      <c r="AY195" s="947">
        <v>0</v>
      </c>
    </row>
    <row r="196" spans="2:51" x14ac:dyDescent="0.25">
      <c r="B196" s="650">
        <v>1.3161384254044766</v>
      </c>
      <c r="C196" s="651">
        <v>-0.9215723945748151</v>
      </c>
      <c r="D196" s="652">
        <v>-0.33440201710992529</v>
      </c>
      <c r="E196" s="653">
        <v>0.51721777456955287</v>
      </c>
      <c r="F196" s="651">
        <v>0.81701800827050908</v>
      </c>
      <c r="G196" s="654">
        <v>0.25488693146375618</v>
      </c>
      <c r="H196" s="653">
        <v>0.314</v>
      </c>
      <c r="I196" s="920">
        <v>0.52</v>
      </c>
      <c r="J196" s="924">
        <v>3.1059999999999999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940" t="s">
        <v>422</v>
      </c>
      <c r="M196" s="973">
        <f t="shared" si="1067"/>
        <v>12.508515021959289</v>
      </c>
      <c r="N196" s="941"/>
      <c r="O196" s="942"/>
      <c r="Q196" s="162">
        <f t="shared" ref="Q196:Q209" si="1068">IFERROR(INDEX(B$164:B$305,MATCH($Y196,$J$164:$J$305,0)),"")</f>
        <v>1.3161384254044766</v>
      </c>
      <c r="R196" s="162">
        <f t="shared" ref="R196:R209" si="1069">IFERROR(INDEX(C$164:C$305,MATCH($Y196,$J$164:$J$305,0)),"")</f>
        <v>-0.9215723945748151</v>
      </c>
      <c r="S196" s="162">
        <f t="shared" ref="S196:S209" si="1070">IFERROR(INDEX(D$164:D$305,MATCH($Y196,$J$164:$J$305,0)),"")</f>
        <v>-0.33440201710992529</v>
      </c>
      <c r="T196" s="162">
        <f t="shared" ref="T196:T209" si="1071">IFERROR(IF($N196="Y",-1*INDEX(E$164:E$305,MATCH($Y196,$J$164:$J$305,0)),INDEX(E$164:E$305,MATCH($Y196,$J$164:$J$305,0))),"")</f>
        <v>0.51721777456955287</v>
      </c>
      <c r="U196" s="162">
        <f t="shared" ref="U196:U209" si="1072">IFERROR(IF($N196="Y",-1*INDEX(F$164:F$305,MATCH($Y196,$J$164:$J$305,0)),INDEX(F$164:F$305,MATCH($Y196,$J$164:$J$305,0))),"")</f>
        <v>0.81701800827050908</v>
      </c>
      <c r="V196" s="162">
        <f t="shared" ref="V196:V209" si="1073">IFERROR(IF($N196="Y",-1*INDEX(G$164:G$305,MATCH($Y196,$J$164:$J$305,0)),INDEX(G$164:G$305,MATCH($Y196,$J$164:$J$305,0))),"")</f>
        <v>0.25488693146375618</v>
      </c>
      <c r="W196" s="162">
        <f>IFERROR(IF(ISNUMBER(MATCH($Z196,Settings!$AK$28:$AK$36,0)),INDEX(Settings!$AO$14:$AO$36,MATCH($Z196,Settings!$AK$14:$AK$36,0))/2,INDEX(Settings!$AM$14:$AM$36,MATCH($Z196,Settings!$AK$14:$AK$36,0))/2),"")</f>
        <v>0.3125</v>
      </c>
      <c r="X196" s="162">
        <f t="shared" ref="X196:X209" si="1074">IFERROR(INDEX(I$164:I$305,MATCH($Y196,$J$164:$J$305,0)),"")</f>
        <v>0.52</v>
      </c>
      <c r="Y196" s="75">
        <v>3.1059999999999999</v>
      </c>
      <c r="Z196" s="917">
        <f t="shared" ref="Z196:Z209" si="1075">IFERROR(INDEX(K$164:K$305,MATCH($Y196,$J$164:$J$305,0)),"")</f>
        <v>1613</v>
      </c>
      <c r="AA196" s="82"/>
      <c r="AB196" s="75"/>
      <c r="AC196" s="75">
        <v>2.2000300000000004</v>
      </c>
      <c r="AD196" s="166">
        <v>-2.25</v>
      </c>
      <c r="AE196" s="75">
        <v>4.2439999999999998</v>
      </c>
      <c r="AF196" s="82">
        <v>4</v>
      </c>
      <c r="AG196" s="82">
        <v>2</v>
      </c>
      <c r="AH196" s="82">
        <v>1</v>
      </c>
      <c r="AI196" s="82">
        <v>0.99999999998544808</v>
      </c>
      <c r="AJ196" s="166">
        <v>4.24411</v>
      </c>
      <c r="AK196" s="82" t="str">
        <v>Base</v>
      </c>
      <c r="AL196" s="162">
        <v>-23.25</v>
      </c>
      <c r="AM196" s="162">
        <v>-5.02087479466259</v>
      </c>
      <c r="AN196" s="162">
        <v>-2.7276642532147566</v>
      </c>
      <c r="AO196" s="162">
        <v>89.999987005609597</v>
      </c>
      <c r="AP196" s="162">
        <v>0</v>
      </c>
      <c r="AQ196" s="162">
        <v>0</v>
      </c>
      <c r="AR196" s="710" t="str">
        <v>32193r1.par</v>
      </c>
      <c r="AV196" s="82" t="str">
        <v>91,255,255</v>
      </c>
      <c r="AW196" s="947">
        <v>89.999987005609597</v>
      </c>
      <c r="AX196" s="947">
        <v>89.999987005609597</v>
      </c>
      <c r="AY196" s="947">
        <v>0</v>
      </c>
    </row>
    <row r="197" spans="2:51" x14ac:dyDescent="0.25">
      <c r="B197" s="650">
        <v>1.8872541969809999</v>
      </c>
      <c r="C197" s="651">
        <v>-1.3214729818017779</v>
      </c>
      <c r="D197" s="652">
        <v>-0.1476008903272277</v>
      </c>
      <c r="E197" s="653">
        <v>0.51721777456955287</v>
      </c>
      <c r="F197" s="651">
        <v>0.8170180082705093</v>
      </c>
      <c r="G197" s="654">
        <v>0.25488693146375579</v>
      </c>
      <c r="H197" s="653">
        <v>0.314</v>
      </c>
      <c r="I197" s="920">
        <v>0.52</v>
      </c>
      <c r="J197" s="924">
        <v>3.109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940" t="s">
        <v>422</v>
      </c>
      <c r="M197" s="973">
        <f t="shared" si="1067"/>
        <v>11.754573914654843</v>
      </c>
      <c r="N197" s="941"/>
      <c r="O197" s="942"/>
      <c r="Q197" s="162">
        <f t="shared" si="1068"/>
        <v>1.8872541969809999</v>
      </c>
      <c r="R197" s="162">
        <f t="shared" si="1069"/>
        <v>-1.3214729818017779</v>
      </c>
      <c r="S197" s="162">
        <f t="shared" si="1070"/>
        <v>-0.1476008903272277</v>
      </c>
      <c r="T197" s="162">
        <f t="shared" si="1071"/>
        <v>0.51721777456955287</v>
      </c>
      <c r="U197" s="162">
        <f t="shared" si="1072"/>
        <v>0.8170180082705093</v>
      </c>
      <c r="V197" s="162">
        <f t="shared" si="1073"/>
        <v>0.25488693146375579</v>
      </c>
      <c r="W197" s="162">
        <f>IFERROR(IF(ISNUMBER(MATCH($Z197,Settings!$AK$28:$AK$36,0)),INDEX(Settings!$AO$14:$AO$36,MATCH($Z197,Settings!$AK$14:$AK$36,0))/2,INDEX(Settings!$AM$14:$AM$36,MATCH($Z197,Settings!$AK$14:$AK$36,0))/2),"")</f>
        <v>0.3125</v>
      </c>
      <c r="X197" s="162">
        <f t="shared" si="1074"/>
        <v>0.52</v>
      </c>
      <c r="Y197" s="75">
        <v>3.109</v>
      </c>
      <c r="Z197" s="917">
        <f t="shared" si="1075"/>
        <v>1613</v>
      </c>
      <c r="AA197" s="82"/>
      <c r="AB197" s="75"/>
      <c r="AC197" s="75">
        <v>2.1000300000000003</v>
      </c>
      <c r="AD197" s="166">
        <v>-1.5</v>
      </c>
      <c r="AE197" s="75">
        <v>4.2380000000000004</v>
      </c>
      <c r="AF197" s="82">
        <v>4</v>
      </c>
      <c r="AG197" s="82">
        <v>2</v>
      </c>
      <c r="AH197" s="82">
        <v>1</v>
      </c>
      <c r="AI197" s="82">
        <v>1.0000000000582077</v>
      </c>
      <c r="AJ197" s="166">
        <v>4.2381100000000007</v>
      </c>
      <c r="AK197" s="82" t="str">
        <v>Base</v>
      </c>
      <c r="AL197" s="162">
        <v>-23.25</v>
      </c>
      <c r="AM197" s="162">
        <v>-4.9862408383831154</v>
      </c>
      <c r="AN197" s="162">
        <v>-1.9739478476116015</v>
      </c>
      <c r="AO197" s="162">
        <v>82.999988016284419</v>
      </c>
      <c r="AP197" s="162">
        <v>0</v>
      </c>
      <c r="AQ197" s="162">
        <v>0</v>
      </c>
      <c r="AR197" s="710" t="str">
        <v>32193r1.par</v>
      </c>
      <c r="AV197" s="82" t="str">
        <v>91,255,255</v>
      </c>
      <c r="AW197" s="947">
        <v>82.999988016284419</v>
      </c>
      <c r="AX197" s="947">
        <v>82.999988016284419</v>
      </c>
      <c r="AY197" s="947">
        <v>0</v>
      </c>
    </row>
    <row r="198" spans="2:51" x14ac:dyDescent="0.25">
      <c r="B198" s="650">
        <v>2.5122705152396576</v>
      </c>
      <c r="C198" s="651">
        <v>-1.7601609659346455</v>
      </c>
      <c r="D198" s="652">
        <v>-6.5200393288179059E-2</v>
      </c>
      <c r="E198" s="653">
        <v>0.58479328609228853</v>
      </c>
      <c r="F198" s="651">
        <v>0.76631426161541749</v>
      </c>
      <c r="G198" s="654">
        <v>0.26604372758289291</v>
      </c>
      <c r="H198" s="653">
        <v>0.314</v>
      </c>
      <c r="I198" s="920">
        <v>0.52</v>
      </c>
      <c r="J198" s="924">
        <v>3.1150000000000002</v>
      </c>
      <c r="K198" s="790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940" t="s">
        <v>422</v>
      </c>
      <c r="M198" s="973">
        <f t="shared" si="1067"/>
        <v>-7.1077563806310833</v>
      </c>
      <c r="N198" s="941"/>
      <c r="O198" s="942"/>
      <c r="Q198" s="162">
        <f t="shared" si="1068"/>
        <v>2.5122705152396576</v>
      </c>
      <c r="R198" s="162">
        <f t="shared" si="1069"/>
        <v>-1.7601609659346455</v>
      </c>
      <c r="S198" s="162">
        <f t="shared" si="1070"/>
        <v>-6.5200393288179059E-2</v>
      </c>
      <c r="T198" s="162">
        <f t="shared" si="1071"/>
        <v>0.58479328609228853</v>
      </c>
      <c r="U198" s="162">
        <f t="shared" si="1072"/>
        <v>0.76631426161541749</v>
      </c>
      <c r="V198" s="162">
        <f t="shared" si="1073"/>
        <v>0.26604372758289291</v>
      </c>
      <c r="W198" s="162">
        <f>IFERROR(IF(ISNUMBER(MATCH($Z198,Settings!$AK$28:$AK$36,0)),INDEX(Settings!$AO$14:$AO$36,MATCH($Z198,Settings!$AK$14:$AK$36,0))/2,INDEX(Settings!$AM$14:$AM$36,MATCH($Z198,Settings!$AK$14:$AK$36,0))/2),"")</f>
        <v>0.3125</v>
      </c>
      <c r="X198" s="162">
        <f t="shared" si="1074"/>
        <v>0.52</v>
      </c>
      <c r="Y198" s="75">
        <v>3.1150000000000002</v>
      </c>
      <c r="Z198" s="917">
        <f t="shared" si="1075"/>
        <v>1613</v>
      </c>
      <c r="AA198" s="82"/>
      <c r="AB198" s="75"/>
      <c r="AC198" s="75">
        <v>1.2000299999999999</v>
      </c>
      <c r="AD198" s="166">
        <v>-0.75</v>
      </c>
      <c r="AE198" s="75">
        <v>4.2320000000000002</v>
      </c>
      <c r="AF198" s="82">
        <v>4</v>
      </c>
      <c r="AG198" s="82">
        <v>2</v>
      </c>
      <c r="AH198" s="82">
        <v>1</v>
      </c>
      <c r="AI198" s="82">
        <v>1.0000000000582077</v>
      </c>
      <c r="AJ198" s="166">
        <v>4.2321100000000005</v>
      </c>
      <c r="AK198" s="82" t="str">
        <v>Base</v>
      </c>
      <c r="AL198" s="162">
        <v>-23.25</v>
      </c>
      <c r="AM198" s="162">
        <v>-4.7840043854517713</v>
      </c>
      <c r="AN198" s="162">
        <v>-1.2439934667749035</v>
      </c>
      <c r="AO198" s="162">
        <v>61.99999104830885</v>
      </c>
      <c r="AP198" s="162">
        <v>0</v>
      </c>
      <c r="AQ198" s="162">
        <v>0</v>
      </c>
      <c r="AR198" s="710" t="str">
        <v>32193r1.par</v>
      </c>
      <c r="AV198" s="82" t="str">
        <v>91,255,255</v>
      </c>
      <c r="AW198" s="947">
        <v>61.99999104830885</v>
      </c>
      <c r="AX198" s="947">
        <v>61.99999104830885</v>
      </c>
      <c r="AY198" s="947">
        <v>0</v>
      </c>
    </row>
    <row r="199" spans="2:51" x14ac:dyDescent="0.25">
      <c r="B199" s="650">
        <v>3.1030821255091929</v>
      </c>
      <c r="C199" s="651">
        <v>-2.2127589105520755</v>
      </c>
      <c r="D199" s="652">
        <v>-0.25910156289827074</v>
      </c>
      <c r="E199" s="653">
        <v>0.66349206264603788</v>
      </c>
      <c r="F199" s="651">
        <v>0.69931588179575666</v>
      </c>
      <c r="G199" s="654">
        <v>0.26596161428659121</v>
      </c>
      <c r="H199" s="653">
        <v>0.314</v>
      </c>
      <c r="I199" s="920">
        <v>0.52</v>
      </c>
      <c r="J199" s="924">
        <v>3.121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940" t="s">
        <v>422</v>
      </c>
      <c r="M199" s="973">
        <f t="shared" si="1067"/>
        <v>-25.946275176386688</v>
      </c>
      <c r="N199" s="941"/>
      <c r="O199" s="942"/>
      <c r="Q199" s="162">
        <f t="shared" si="1068"/>
        <v>3.1030821255091929</v>
      </c>
      <c r="R199" s="162">
        <f t="shared" si="1069"/>
        <v>-2.2127589105520755</v>
      </c>
      <c r="S199" s="162">
        <f t="shared" si="1070"/>
        <v>-0.25910156289827074</v>
      </c>
      <c r="T199" s="162">
        <f t="shared" si="1071"/>
        <v>0.66349206264603788</v>
      </c>
      <c r="U199" s="162">
        <f t="shared" si="1072"/>
        <v>0.69931588179575666</v>
      </c>
      <c r="V199" s="162">
        <f t="shared" si="1073"/>
        <v>0.26596161428659121</v>
      </c>
      <c r="W199" s="162">
        <f>IFERROR(IF(ISNUMBER(MATCH($Z199,Settings!$AK$28:$AK$36,0)),INDEX(Settings!$AO$14:$AO$36,MATCH($Z199,Settings!$AK$14:$AK$36,0))/2,INDEX(Settings!$AM$14:$AM$36,MATCH($Z199,Settings!$AK$14:$AK$36,0))/2),"")</f>
        <v>0.3125</v>
      </c>
      <c r="X199" s="162">
        <f t="shared" si="1074"/>
        <v>0.52</v>
      </c>
      <c r="Y199" s="75">
        <v>3.121</v>
      </c>
      <c r="Z199" s="917">
        <f t="shared" si="1075"/>
        <v>1613</v>
      </c>
      <c r="AA199" s="82"/>
      <c r="AB199" s="75"/>
      <c r="AC199" s="75">
        <v>1.1000300000000001</v>
      </c>
      <c r="AD199" s="166">
        <v>0</v>
      </c>
      <c r="AE199" s="75">
        <v>4.226</v>
      </c>
      <c r="AF199" s="82">
        <v>4</v>
      </c>
      <c r="AG199" s="82">
        <v>2</v>
      </c>
      <c r="AH199" s="82">
        <v>1</v>
      </c>
      <c r="AI199" s="82">
        <v>1.0000000000582077</v>
      </c>
      <c r="AJ199" s="166">
        <v>4.2261100000000003</v>
      </c>
      <c r="AK199" s="82" t="str">
        <v>Base</v>
      </c>
      <c r="AL199" s="162">
        <v>-23.25</v>
      </c>
      <c r="AM199" s="162">
        <v>-4.3146862511636366</v>
      </c>
      <c r="AN199" s="162">
        <v>-0.61915320316808098</v>
      </c>
      <c r="AO199" s="162">
        <v>40.999994080333266</v>
      </c>
      <c r="AP199" s="162">
        <v>0</v>
      </c>
      <c r="AQ199" s="162">
        <v>0</v>
      </c>
      <c r="AR199" s="710" t="str">
        <v>32193r1.par</v>
      </c>
      <c r="AV199" s="82" t="str">
        <v>91,255,255</v>
      </c>
      <c r="AW199" s="947">
        <v>40.999994080333266</v>
      </c>
      <c r="AX199" s="947">
        <v>40.999994080333266</v>
      </c>
      <c r="AY199" s="947">
        <v>0</v>
      </c>
    </row>
    <row r="200" spans="2:51" x14ac:dyDescent="0.25">
      <c r="B200" s="650">
        <v>3.5792683391527707</v>
      </c>
      <c r="C200" s="651">
        <v>-2.622898104110793</v>
      </c>
      <c r="D200" s="652">
        <v>-0.70480425137283365</v>
      </c>
      <c r="E200" s="653">
        <v>0.75861937676280589</v>
      </c>
      <c r="F200" s="651">
        <v>0.59894860257996829</v>
      </c>
      <c r="G200" s="654">
        <v>0.25643169201078753</v>
      </c>
      <c r="H200" s="653">
        <v>0.314</v>
      </c>
      <c r="I200" s="920">
        <v>0.52</v>
      </c>
      <c r="J200" s="924">
        <v>3.1269999999999998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940" t="s">
        <v>420</v>
      </c>
      <c r="M200" s="973">
        <f t="shared" si="1067"/>
        <v>-44.722719194276351</v>
      </c>
      <c r="N200" s="941"/>
      <c r="O200" s="942"/>
      <c r="Q200" s="162">
        <f t="shared" si="1068"/>
        <v>3.5792683391527707</v>
      </c>
      <c r="R200" s="162">
        <f t="shared" si="1069"/>
        <v>-2.622898104110793</v>
      </c>
      <c r="S200" s="162">
        <f t="shared" si="1070"/>
        <v>-0.70480425137283365</v>
      </c>
      <c r="T200" s="162">
        <f t="shared" si="1071"/>
        <v>0.75861937676280589</v>
      </c>
      <c r="U200" s="162">
        <f t="shared" si="1072"/>
        <v>0.59894860257996829</v>
      </c>
      <c r="V200" s="162">
        <f t="shared" si="1073"/>
        <v>0.25643169201078753</v>
      </c>
      <c r="W200" s="162">
        <f>IFERROR(IF(ISNUMBER(MATCH($Z200,Settings!$AK$28:$AK$36,0)),INDEX(Settings!$AO$14:$AO$36,MATCH($Z200,Settings!$AK$14:$AK$36,0))/2,INDEX(Settings!$AM$14:$AM$36,MATCH($Z200,Settings!$AK$14:$AK$36,0))/2),"")</f>
        <v>0.3125</v>
      </c>
      <c r="X200" s="162">
        <f t="shared" si="1074"/>
        <v>0.52</v>
      </c>
      <c r="Y200" s="75">
        <v>3.1269999999999998</v>
      </c>
      <c r="Z200" s="917">
        <f t="shared" si="1075"/>
        <v>1613</v>
      </c>
      <c r="AA200" s="82"/>
      <c r="AB200" s="75"/>
      <c r="AC200" s="75"/>
      <c r="AD200" s="166"/>
      <c r="AE200" s="75">
        <v>4.22</v>
      </c>
      <c r="AF200" s="82">
        <v>4</v>
      </c>
      <c r="AG200" s="82">
        <v>2</v>
      </c>
      <c r="AH200" s="82">
        <v>1</v>
      </c>
      <c r="AI200" s="82">
        <v>0.99999999998544808</v>
      </c>
      <c r="AJ200" s="166">
        <v>4.22011</v>
      </c>
      <c r="AK200" s="82" t="str">
        <v>Base</v>
      </c>
      <c r="AL200" s="162">
        <v>-23.25</v>
      </c>
      <c r="AM200" s="162">
        <v>-3.6883533304226974</v>
      </c>
      <c r="AN200" s="162">
        <v>-0.225958439769186</v>
      </c>
      <c r="AO200" s="162">
        <v>19.99999711235769</v>
      </c>
      <c r="AP200" s="162">
        <v>0</v>
      </c>
      <c r="AQ200" s="162">
        <v>0</v>
      </c>
      <c r="AR200" s="710" t="str">
        <v>32193r1.par</v>
      </c>
      <c r="AV200" s="82" t="str">
        <v>91,255,255</v>
      </c>
      <c r="AW200" s="947">
        <v>19.99999711235769</v>
      </c>
      <c r="AX200" s="947">
        <v>19.99999711235769</v>
      </c>
      <c r="AY200" s="947">
        <v>0</v>
      </c>
    </row>
    <row r="201" spans="2:51" x14ac:dyDescent="0.25">
      <c r="B201" s="650">
        <v>3.8920805363591531</v>
      </c>
      <c r="C201" s="651">
        <v>-2.9172745014382953</v>
      </c>
      <c r="D201" s="652">
        <v>-1.3441081076478782</v>
      </c>
      <c r="E201" s="653">
        <v>0.84853921380445774</v>
      </c>
      <c r="F201" s="651">
        <v>0.49364774256483834</v>
      </c>
      <c r="G201" s="654">
        <v>0.19050750351823986</v>
      </c>
      <c r="H201" s="653">
        <v>0.314</v>
      </c>
      <c r="I201" s="920">
        <v>0.52</v>
      </c>
      <c r="J201" s="924">
        <v>3.133</v>
      </c>
      <c r="K201" s="790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940" t="s">
        <v>420</v>
      </c>
      <c r="M201" s="973">
        <f t="shared" si="1067"/>
        <v>-63.345987496311885</v>
      </c>
      <c r="N201" s="941"/>
      <c r="O201" s="942"/>
      <c r="Q201" s="162">
        <f t="shared" si="1068"/>
        <v>3.8920805363591531</v>
      </c>
      <c r="R201" s="162">
        <f t="shared" si="1069"/>
        <v>-2.9172745014382953</v>
      </c>
      <c r="S201" s="162">
        <f t="shared" si="1070"/>
        <v>-1.3441081076478782</v>
      </c>
      <c r="T201" s="162">
        <f t="shared" si="1071"/>
        <v>0.84853921380445774</v>
      </c>
      <c r="U201" s="162">
        <f t="shared" si="1072"/>
        <v>0.49364774256483834</v>
      </c>
      <c r="V201" s="162">
        <f t="shared" si="1073"/>
        <v>0.19050750351823986</v>
      </c>
      <c r="W201" s="162">
        <f>IFERROR(IF(ISNUMBER(MATCH($Z201,Settings!$AK$28:$AK$36,0)),INDEX(Settings!$AO$14:$AO$36,MATCH($Z201,Settings!$AK$14:$AK$36,0))/2,INDEX(Settings!$AM$14:$AM$36,MATCH($Z201,Settings!$AK$14:$AK$36,0))/2),"")</f>
        <v>0.3125</v>
      </c>
      <c r="X201" s="162">
        <f t="shared" si="1074"/>
        <v>0.52</v>
      </c>
      <c r="Y201" s="75">
        <v>3.133</v>
      </c>
      <c r="Z201" s="917">
        <f t="shared" si="1075"/>
        <v>1613</v>
      </c>
      <c r="AA201" s="82"/>
      <c r="AB201" s="75"/>
      <c r="AC201" s="75"/>
      <c r="AD201" s="166"/>
      <c r="AE201" s="75">
        <v>4.1440000000000001</v>
      </c>
      <c r="AF201" s="82">
        <v>4</v>
      </c>
      <c r="AG201" s="82">
        <v>1</v>
      </c>
      <c r="AH201" s="82">
        <v>1</v>
      </c>
      <c r="AI201" s="82">
        <v>1.0000000000582077</v>
      </c>
      <c r="AJ201" s="166">
        <v>4.1441100000000004</v>
      </c>
      <c r="AK201" s="82" t="str">
        <v>Base</v>
      </c>
      <c r="AL201" s="162">
        <v>-22.5</v>
      </c>
      <c r="AM201" s="162">
        <v>-5.0550887932628399</v>
      </c>
      <c r="AN201" s="162">
        <v>-2.7073988406788518</v>
      </c>
      <c r="AO201" s="162">
        <v>84.970117416838406</v>
      </c>
      <c r="AP201" s="162">
        <v>-29.785208788526909</v>
      </c>
      <c r="AQ201" s="162">
        <v>0</v>
      </c>
      <c r="AR201" s="710" t="str">
        <v>1613.par</v>
      </c>
      <c r="AV201" s="82" t="str">
        <v>0,204,204</v>
      </c>
      <c r="AW201" s="947">
        <v>84.970117416838406</v>
      </c>
      <c r="AX201" s="947">
        <v>84.970117416838406</v>
      </c>
      <c r="AY201" s="947">
        <v>0</v>
      </c>
    </row>
    <row r="202" spans="2:51" x14ac:dyDescent="0.25">
      <c r="B202" s="650">
        <v>4.0149814597772249</v>
      </c>
      <c r="C202" s="651">
        <v>-3.0388280378422681</v>
      </c>
      <c r="D202" s="652">
        <v>-2.0934126274459262</v>
      </c>
      <c r="E202" s="653">
        <v>0.91275421350097286</v>
      </c>
      <c r="F202" s="651">
        <v>0.40269327432650104</v>
      </c>
      <c r="G202" s="654">
        <v>6.868677127673023E-2</v>
      </c>
      <c r="H202" s="653">
        <v>0.314</v>
      </c>
      <c r="I202" s="920">
        <v>0.52</v>
      </c>
      <c r="J202" s="924">
        <v>3.1389999999999998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940" t="s">
        <v>420</v>
      </c>
      <c r="M202" s="973">
        <f t="shared" si="1067"/>
        <v>-81.885446807640747</v>
      </c>
      <c r="N202" s="941"/>
      <c r="O202" s="942"/>
      <c r="Q202" s="162">
        <f t="shared" si="1068"/>
        <v>4.0149814597772249</v>
      </c>
      <c r="R202" s="162">
        <f t="shared" si="1069"/>
        <v>-3.0388280378422681</v>
      </c>
      <c r="S202" s="162">
        <f t="shared" si="1070"/>
        <v>-2.0934126274459262</v>
      </c>
      <c r="T202" s="162">
        <f t="shared" si="1071"/>
        <v>0.91275421350097286</v>
      </c>
      <c r="U202" s="162">
        <f t="shared" si="1072"/>
        <v>0.40269327432650104</v>
      </c>
      <c r="V202" s="162">
        <f t="shared" si="1073"/>
        <v>6.868677127673023E-2</v>
      </c>
      <c r="W202" s="162">
        <f>IFERROR(IF(ISNUMBER(MATCH($Z202,Settings!$AK$28:$AK$36,0)),INDEX(Settings!$AO$14:$AO$36,MATCH($Z202,Settings!$AK$14:$AK$36,0))/2,INDEX(Settings!$AM$14:$AM$36,MATCH($Z202,Settings!$AK$14:$AK$36,0))/2),"")</f>
        <v>0.3125</v>
      </c>
      <c r="X202" s="162">
        <f t="shared" si="1074"/>
        <v>0.52</v>
      </c>
      <c r="Y202" s="75">
        <v>3.1389999999999998</v>
      </c>
      <c r="Z202" s="917">
        <f t="shared" si="1075"/>
        <v>1613</v>
      </c>
      <c r="AA202" s="82"/>
      <c r="AB202" s="75"/>
      <c r="AC202" s="75"/>
      <c r="AD202" s="166"/>
      <c r="AE202" s="75">
        <v>4.1379999999999999</v>
      </c>
      <c r="AF202" s="82">
        <v>4</v>
      </c>
      <c r="AG202" s="82">
        <v>1</v>
      </c>
      <c r="AH202" s="82">
        <v>1</v>
      </c>
      <c r="AI202" s="82">
        <v>0.99999999998544808</v>
      </c>
      <c r="AJ202" s="166">
        <v>4.1381100000000002</v>
      </c>
      <c r="AK202" s="82" t="str">
        <v>Base</v>
      </c>
      <c r="AL202" s="162">
        <v>-22.5</v>
      </c>
      <c r="AM202" s="162">
        <v>-5.0164523963688259</v>
      </c>
      <c r="AN202" s="162">
        <v>-1.9505984811070143</v>
      </c>
      <c r="AO202" s="162">
        <v>78.799617313561896</v>
      </c>
      <c r="AP202" s="162">
        <v>-28.452633559226971</v>
      </c>
      <c r="AQ202" s="162">
        <v>0</v>
      </c>
      <c r="AR202" s="710" t="str">
        <v>1613.par</v>
      </c>
      <c r="AV202" s="82" t="str">
        <v>0,204,204</v>
      </c>
      <c r="AW202" s="947">
        <v>78.799617313561896</v>
      </c>
      <c r="AX202" s="947">
        <v>78.799617313561896</v>
      </c>
      <c r="AY202" s="947">
        <v>0</v>
      </c>
    </row>
    <row r="203" spans="2:51" x14ac:dyDescent="0.25">
      <c r="B203" s="650">
        <v>4.0345394633530827</v>
      </c>
      <c r="C203" s="651">
        <v>-3.0621677069735918</v>
      </c>
      <c r="D203" s="652">
        <v>-2.8482171804201246</v>
      </c>
      <c r="E203" s="653">
        <v>0.92020555240507906</v>
      </c>
      <c r="F203" s="651">
        <v>0.38900501788106984</v>
      </c>
      <c r="G203" s="654">
        <v>4.3552696658323037E-2</v>
      </c>
      <c r="H203" s="653">
        <v>0.314</v>
      </c>
      <c r="I203" s="920">
        <v>0.52</v>
      </c>
      <c r="J203" s="924">
        <v>3.145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1613</v>
      </c>
      <c r="L203" s="940" t="s">
        <v>420</v>
      </c>
      <c r="M203" s="973">
        <f t="shared" si="1067"/>
        <v>-84.97011741683842</v>
      </c>
      <c r="N203" s="941"/>
      <c r="O203" s="942"/>
      <c r="Q203" s="162">
        <f t="shared" si="1068"/>
        <v>4.0345394633530827</v>
      </c>
      <c r="R203" s="162">
        <f t="shared" si="1069"/>
        <v>-3.0621677069735918</v>
      </c>
      <c r="S203" s="162">
        <f t="shared" si="1070"/>
        <v>-2.8482171804201246</v>
      </c>
      <c r="T203" s="162">
        <f t="shared" si="1071"/>
        <v>0.92020555240507906</v>
      </c>
      <c r="U203" s="162">
        <f t="shared" si="1072"/>
        <v>0.38900501788106984</v>
      </c>
      <c r="V203" s="162">
        <f t="shared" si="1073"/>
        <v>4.3552696658323037E-2</v>
      </c>
      <c r="W203" s="162">
        <f>IFERROR(IF(ISNUMBER(MATCH($Z203,Settings!$AK$28:$AK$36,0)),INDEX(Settings!$AO$14:$AO$36,MATCH($Z203,Settings!$AK$14:$AK$36,0))/2,INDEX(Settings!$AM$14:$AM$36,MATCH($Z203,Settings!$AK$14:$AK$36,0))/2),"")</f>
        <v>0.3125</v>
      </c>
      <c r="X203" s="162">
        <f t="shared" si="1074"/>
        <v>0.52</v>
      </c>
      <c r="Y203" s="75">
        <v>3.145</v>
      </c>
      <c r="Z203" s="917">
        <f t="shared" si="1075"/>
        <v>1613</v>
      </c>
      <c r="AA203" s="82"/>
      <c r="AB203" s="75"/>
      <c r="AC203" s="75"/>
      <c r="AD203" s="166"/>
      <c r="AE203" s="75">
        <v>4.1319999999999997</v>
      </c>
      <c r="AF203" s="82">
        <v>4</v>
      </c>
      <c r="AG203" s="82">
        <v>1</v>
      </c>
      <c r="AH203" s="82">
        <v>1</v>
      </c>
      <c r="AI203" s="82">
        <v>0.99999999998544808</v>
      </c>
      <c r="AJ203" s="166">
        <v>4.1321099999999999</v>
      </c>
      <c r="AK203" s="82" t="str">
        <v>Base</v>
      </c>
      <c r="AL203" s="162">
        <v>-22.5</v>
      </c>
      <c r="AM203" s="162">
        <v>-4.8023031901750297</v>
      </c>
      <c r="AN203" s="162">
        <v>-1.2154422932570859</v>
      </c>
      <c r="AO203" s="162">
        <v>60.249226457616452</v>
      </c>
      <c r="AP203" s="162">
        <v>-24.466285540690528</v>
      </c>
      <c r="AQ203" s="162">
        <v>0</v>
      </c>
      <c r="AR203" s="710" t="str">
        <v>1613.par</v>
      </c>
      <c r="AV203" s="82" t="str">
        <v>0,204,204</v>
      </c>
      <c r="AW203" s="947">
        <v>60.249226457616452</v>
      </c>
      <c r="AX203" s="947">
        <v>60.249226457616452</v>
      </c>
      <c r="AY203" s="947">
        <v>0</v>
      </c>
    </row>
    <row r="204" spans="2:51" x14ac:dyDescent="0.25">
      <c r="B204" s="650">
        <v>1.7789197706905002</v>
      </c>
      <c r="C204" s="651">
        <v>-2.4973412401661488</v>
      </c>
      <c r="D204" s="652">
        <v>-0.10702467933374853</v>
      </c>
      <c r="E204" s="653">
        <v>-1.0125544391852953E-2</v>
      </c>
      <c r="F204" s="651">
        <v>1.4214772361033511E-2</v>
      </c>
      <c r="G204" s="654">
        <v>0.99984769520037031</v>
      </c>
      <c r="H204" s="653">
        <v>0.25700000000000001</v>
      </c>
      <c r="I204" s="920">
        <v>0.41499999999999992</v>
      </c>
      <c r="J204" s="924">
        <v>3.2149999999999999</v>
      </c>
      <c r="K204" s="790" t="str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CPS-32193r1</v>
      </c>
      <c r="L204" s="940" t="s">
        <v>423</v>
      </c>
      <c r="M204" s="973">
        <f t="shared" si="1067"/>
        <v>0.99999985561788196</v>
      </c>
      <c r="N204" s="941"/>
      <c r="O204" s="942"/>
      <c r="Q204" s="162">
        <f t="shared" si="1068"/>
        <v>1.7789197706905002</v>
      </c>
      <c r="R204" s="162">
        <f t="shared" si="1069"/>
        <v>-2.4973412401661488</v>
      </c>
      <c r="S204" s="162">
        <f t="shared" si="1070"/>
        <v>-0.10702467933374853</v>
      </c>
      <c r="T204" s="162">
        <f t="shared" si="1071"/>
        <v>-1.0125544391852953E-2</v>
      </c>
      <c r="U204" s="162">
        <f t="shared" si="1072"/>
        <v>1.4214772361033511E-2</v>
      </c>
      <c r="V204" s="162">
        <f t="shared" si="1073"/>
        <v>0.99984769520037031</v>
      </c>
      <c r="W204" s="162">
        <f>IFERROR(IF(ISNUMBER(MATCH($Z204,Settings!$AK$28:$AK$36,0)),INDEX(Settings!$AO$14:$AO$36,MATCH($Z204,Settings!$AK$14:$AK$36,0))/2,INDEX(Settings!$AM$14:$AM$36,MATCH($Z204,Settings!$AK$14:$AK$36,0))/2),"")</f>
        <v>0.255</v>
      </c>
      <c r="X204" s="162">
        <f t="shared" si="1074"/>
        <v>0.41499999999999992</v>
      </c>
      <c r="Y204" s="75">
        <v>3.2149999999999999</v>
      </c>
      <c r="Z204" s="917" t="str">
        <f t="shared" si="1075"/>
        <v>CPS-32193r1</v>
      </c>
      <c r="AA204" s="82"/>
      <c r="AB204" s="75"/>
      <c r="AC204" s="75"/>
      <c r="AD204" s="166"/>
      <c r="AE204" s="75">
        <v>4.1260000000000003</v>
      </c>
      <c r="AF204" s="82">
        <v>4</v>
      </c>
      <c r="AG204" s="82">
        <v>1</v>
      </c>
      <c r="AH204" s="82">
        <v>1</v>
      </c>
      <c r="AI204" s="82">
        <v>1.0000000000582077</v>
      </c>
      <c r="AJ204" s="166">
        <v>4.1261100000000006</v>
      </c>
      <c r="AK204" s="82" t="str">
        <v>Base</v>
      </c>
      <c r="AL204" s="162">
        <v>-22.5</v>
      </c>
      <c r="AM204" s="162">
        <v>-4.340235968178817</v>
      </c>
      <c r="AN204" s="162">
        <v>-0.60443925096011464</v>
      </c>
      <c r="AO204" s="162">
        <v>41.606624611766414</v>
      </c>
      <c r="AP204" s="162">
        <v>-20.495439001035297</v>
      </c>
      <c r="AQ204" s="162">
        <v>0</v>
      </c>
      <c r="AR204" s="710" t="str">
        <v>1613.par</v>
      </c>
      <c r="AV204" s="82" t="str">
        <v>0,204,204</v>
      </c>
      <c r="AW204" s="947">
        <v>41.606624611766414</v>
      </c>
      <c r="AX204" s="947">
        <v>41.606624611766414</v>
      </c>
      <c r="AY204" s="947">
        <v>0</v>
      </c>
    </row>
    <row r="205" spans="2:51" x14ac:dyDescent="0.25">
      <c r="B205" s="650">
        <v>2.5524119706516979</v>
      </c>
      <c r="C205" s="651">
        <v>-2.845625292264685</v>
      </c>
      <c r="D205" s="652">
        <v>-0.25755128334012367</v>
      </c>
      <c r="E205" s="653">
        <v>0.80287674027004152</v>
      </c>
      <c r="F205" s="651">
        <v>0.49021737229884088</v>
      </c>
      <c r="G205" s="654">
        <v>0.33922834172541061</v>
      </c>
      <c r="H205" s="653">
        <v>0.26600000000000001</v>
      </c>
      <c r="I205" s="920">
        <v>0.52</v>
      </c>
      <c r="J205" s="924">
        <v>3.2210000000000001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940" t="s">
        <v>424</v>
      </c>
      <c r="M205" s="973">
        <f t="shared" si="1067"/>
        <v>-26.167511622001179</v>
      </c>
      <c r="N205" s="941"/>
      <c r="O205" s="942"/>
      <c r="Q205" s="162">
        <f t="shared" si="1068"/>
        <v>2.5524119706516979</v>
      </c>
      <c r="R205" s="162">
        <f t="shared" si="1069"/>
        <v>-2.845625292264685</v>
      </c>
      <c r="S205" s="162">
        <f t="shared" si="1070"/>
        <v>-0.25755128334012367</v>
      </c>
      <c r="T205" s="162">
        <f t="shared" si="1071"/>
        <v>0.80287674027004152</v>
      </c>
      <c r="U205" s="162">
        <f t="shared" si="1072"/>
        <v>0.49021737229884088</v>
      </c>
      <c r="V205" s="162">
        <f t="shared" si="1073"/>
        <v>0.33922834172541061</v>
      </c>
      <c r="W205" s="162">
        <f>IFERROR(IF(ISNUMBER(MATCH($Z205,Settings!$AK$28:$AK$36,0)),INDEX(Settings!$AO$14:$AO$36,MATCH($Z205,Settings!$AK$14:$AK$36,0))/2,INDEX(Settings!$AM$14:$AM$36,MATCH($Z205,Settings!$AK$14:$AK$36,0))/2),"")</f>
        <v>0.26450000000000001</v>
      </c>
      <c r="X205" s="162">
        <f t="shared" si="1074"/>
        <v>0.52</v>
      </c>
      <c r="Y205" s="75">
        <v>3.2210000000000001</v>
      </c>
      <c r="Z205" s="917">
        <f t="shared" si="1075"/>
        <v>1313</v>
      </c>
      <c r="AA205" s="82"/>
      <c r="AB205" s="75"/>
      <c r="AC205" s="75"/>
      <c r="AD205" s="166"/>
      <c r="AE205" s="75">
        <v>4.12</v>
      </c>
      <c r="AF205" s="82">
        <v>4</v>
      </c>
      <c r="AG205" s="82">
        <v>1</v>
      </c>
      <c r="AH205" s="82">
        <v>1</v>
      </c>
      <c r="AI205" s="82">
        <v>1.0000000000582077</v>
      </c>
      <c r="AJ205" s="166">
        <v>4.1201100000000004</v>
      </c>
      <c r="AK205" s="82" t="str">
        <v>Base</v>
      </c>
      <c r="AL205" s="162">
        <v>-22.5</v>
      </c>
      <c r="AM205" s="162">
        <v>-3.690665647678546</v>
      </c>
      <c r="AN205" s="162">
        <v>-0.19764061089561674</v>
      </c>
      <c r="AO205" s="162">
        <v>22.793338283804125</v>
      </c>
      <c r="AP205" s="162">
        <v>-16.548323321314136</v>
      </c>
      <c r="AQ205" s="162">
        <v>0</v>
      </c>
      <c r="AR205" s="710" t="str">
        <v>1613 Ripper.par</v>
      </c>
      <c r="AV205" s="82" t="str">
        <v>0,204,204</v>
      </c>
      <c r="AW205" s="947">
        <v>22.793338283804125</v>
      </c>
      <c r="AX205" s="947">
        <v>22.793338283804125</v>
      </c>
      <c r="AY205" s="947">
        <v>0</v>
      </c>
    </row>
    <row r="206" spans="2:51" x14ac:dyDescent="0.25">
      <c r="B206" s="650">
        <v>3.0360179498911744</v>
      </c>
      <c r="C206" s="651">
        <v>-3.2611314338335444</v>
      </c>
      <c r="D206" s="652">
        <v>-0.70475393833923949</v>
      </c>
      <c r="E206" s="653">
        <v>0.87028298226539424</v>
      </c>
      <c r="F206" s="651">
        <v>0.38055834455760201</v>
      </c>
      <c r="G206" s="654">
        <v>0.31270253783240887</v>
      </c>
      <c r="H206" s="653">
        <v>0.26600000000000001</v>
      </c>
      <c r="I206" s="920">
        <v>0.52</v>
      </c>
      <c r="J206" s="924">
        <v>3.2269999999999999</v>
      </c>
      <c r="K206" s="790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1313</v>
      </c>
      <c r="L206" s="940" t="s">
        <v>424</v>
      </c>
      <c r="M206" s="973">
        <f t="shared" si="1067"/>
        <v>-44.830187859593472</v>
      </c>
      <c r="N206" s="941"/>
      <c r="O206" s="942"/>
      <c r="Q206" s="162">
        <f t="shared" si="1068"/>
        <v>3.0360179498911744</v>
      </c>
      <c r="R206" s="162">
        <f t="shared" si="1069"/>
        <v>-3.2611314338335444</v>
      </c>
      <c r="S206" s="162">
        <f t="shared" si="1070"/>
        <v>-0.70475393833923949</v>
      </c>
      <c r="T206" s="162">
        <f t="shared" si="1071"/>
        <v>0.87028298226539424</v>
      </c>
      <c r="U206" s="162">
        <f t="shared" si="1072"/>
        <v>0.38055834455760201</v>
      </c>
      <c r="V206" s="162">
        <f t="shared" si="1073"/>
        <v>0.31270253783240887</v>
      </c>
      <c r="W206" s="162">
        <f>IFERROR(IF(ISNUMBER(MATCH($Z206,Settings!$AK$28:$AK$36,0)),INDEX(Settings!$AO$14:$AO$36,MATCH($Z206,Settings!$AK$14:$AK$36,0))/2,INDEX(Settings!$AM$14:$AM$36,MATCH($Z206,Settings!$AK$14:$AK$36,0))/2),"")</f>
        <v>0.26450000000000001</v>
      </c>
      <c r="X206" s="162">
        <f t="shared" si="1074"/>
        <v>0.52</v>
      </c>
      <c r="Y206" s="75">
        <v>3.2269999999999999</v>
      </c>
      <c r="Z206" s="917">
        <f t="shared" si="1075"/>
        <v>1313</v>
      </c>
      <c r="AA206" s="82"/>
      <c r="AB206" s="75"/>
      <c r="AC206" s="75"/>
      <c r="AD206" s="166"/>
      <c r="AE206" s="75">
        <v>4.1139999999999999</v>
      </c>
      <c r="AF206" s="82">
        <v>4</v>
      </c>
      <c r="AG206" s="82">
        <v>1</v>
      </c>
      <c r="AH206" s="82">
        <v>1</v>
      </c>
      <c r="AI206" s="82">
        <v>0.99999999998544808</v>
      </c>
      <c r="AJ206" s="166">
        <v>4.1141100000000002</v>
      </c>
      <c r="AK206" s="82" t="str">
        <v>Base</v>
      </c>
      <c r="AL206" s="162">
        <v>-22.5</v>
      </c>
      <c r="AM206" s="162">
        <v>-2.9383851347705265</v>
      </c>
      <c r="AN206" s="162">
        <v>-4.9394153409483936E-2</v>
      </c>
      <c r="AO206" s="162">
        <v>3.9705087662236287</v>
      </c>
      <c r="AP206" s="162">
        <v>-15.469551353298518</v>
      </c>
      <c r="AQ206" s="162">
        <v>0</v>
      </c>
      <c r="AR206" s="710" t="str">
        <v>1613 Ripper.par</v>
      </c>
      <c r="AV206" s="82" t="str">
        <v>0,204,204</v>
      </c>
      <c r="AW206" s="947">
        <v>3.9705087662236287</v>
      </c>
      <c r="AX206" s="947">
        <v>3.9705087662236287</v>
      </c>
      <c r="AY206" s="947">
        <v>0</v>
      </c>
    </row>
    <row r="207" spans="2:51" x14ac:dyDescent="0.25">
      <c r="B207" s="650">
        <v>3.3511222104868947</v>
      </c>
      <c r="C207" s="651">
        <v>-3.5571246191081216</v>
      </c>
      <c r="D207" s="652">
        <v>-1.3490848926861583</v>
      </c>
      <c r="E207" s="653">
        <v>0.93824137035055388</v>
      </c>
      <c r="F207" s="651">
        <v>0.26293358812706369</v>
      </c>
      <c r="G207" s="654">
        <v>0.22487565274467233</v>
      </c>
      <c r="H207" s="653">
        <v>0.26600000000000001</v>
      </c>
      <c r="I207" s="920">
        <v>0.52</v>
      </c>
      <c r="J207" s="924">
        <v>3.2330000000000001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940" t="s">
        <v>424</v>
      </c>
      <c r="M207" s="973">
        <f t="shared" si="1067"/>
        <v>-63.392943063786667</v>
      </c>
      <c r="N207" s="941"/>
      <c r="O207" s="942"/>
      <c r="Q207" s="162">
        <f t="shared" si="1068"/>
        <v>3.3511222104868947</v>
      </c>
      <c r="R207" s="162">
        <f t="shared" si="1069"/>
        <v>-3.5571246191081216</v>
      </c>
      <c r="S207" s="162">
        <f t="shared" si="1070"/>
        <v>-1.3490848926861583</v>
      </c>
      <c r="T207" s="162">
        <f t="shared" si="1071"/>
        <v>0.93824137035055388</v>
      </c>
      <c r="U207" s="162">
        <f t="shared" si="1072"/>
        <v>0.26293358812706369</v>
      </c>
      <c r="V207" s="162">
        <f t="shared" si="1073"/>
        <v>0.22487565274467233</v>
      </c>
      <c r="W207" s="162">
        <f>IFERROR(IF(ISNUMBER(MATCH($Z207,Settings!$AK$28:$AK$36,0)),INDEX(Settings!$AO$14:$AO$36,MATCH($Z207,Settings!$AK$14:$AK$36,0))/2,INDEX(Settings!$AM$14:$AM$36,MATCH($Z207,Settings!$AK$14:$AK$36,0))/2),"")</f>
        <v>0.26450000000000001</v>
      </c>
      <c r="X207" s="162">
        <f t="shared" si="1074"/>
        <v>0.52</v>
      </c>
      <c r="Y207" s="75">
        <v>3.2330000000000001</v>
      </c>
      <c r="Z207" s="917">
        <f t="shared" si="1075"/>
        <v>1313</v>
      </c>
      <c r="AA207" s="82"/>
      <c r="AB207" s="75"/>
      <c r="AC207" s="75"/>
      <c r="AD207" s="166"/>
      <c r="AE207" s="75">
        <v>3.2509999999999999</v>
      </c>
      <c r="AF207" s="82">
        <v>3</v>
      </c>
      <c r="AG207" s="82">
        <v>2</v>
      </c>
      <c r="AH207" s="82">
        <v>1</v>
      </c>
      <c r="AI207" s="82">
        <v>0.99999999998544808</v>
      </c>
      <c r="AJ207" s="166">
        <v>3.2511099999999997</v>
      </c>
      <c r="AK207" s="82" t="str">
        <v>Base</v>
      </c>
      <c r="AL207" s="162">
        <v>-21.75</v>
      </c>
      <c r="AM207" s="162">
        <v>-5.1223779559634783</v>
      </c>
      <c r="AN207" s="162">
        <v>-9.4288916117640955</v>
      </c>
      <c r="AO207" s="162">
        <v>100.03561890671625</v>
      </c>
      <c r="AP207" s="162">
        <v>-39.831236627249623</v>
      </c>
      <c r="AQ207" s="162">
        <v>0</v>
      </c>
      <c r="AR207" s="710" t="str">
        <v>1313.par</v>
      </c>
      <c r="AV207" s="82" t="str">
        <v>97,255,97</v>
      </c>
      <c r="AW207" s="947">
        <v>100.03561890671625</v>
      </c>
      <c r="AX207" s="947">
        <v>100.03561890671625</v>
      </c>
      <c r="AY207" s="947">
        <v>0</v>
      </c>
    </row>
    <row r="208" spans="2:51" x14ac:dyDescent="0.25">
      <c r="B208" s="650">
        <v>3.23675957429997</v>
      </c>
      <c r="C208" s="651">
        <v>-3.8023425989005091</v>
      </c>
      <c r="D208" s="652">
        <v>-2.1201362656089726</v>
      </c>
      <c r="E208" s="653">
        <v>0.64337101194123913</v>
      </c>
      <c r="F208" s="651">
        <v>-0.75579200414691927</v>
      </c>
      <c r="G208" s="654">
        <v>0.12186955100142645</v>
      </c>
      <c r="H208" s="653">
        <v>0.25700000000000001</v>
      </c>
      <c r="I208" s="920">
        <v>0.41499999999999992</v>
      </c>
      <c r="J208" s="924">
        <v>3.2389999999999999</v>
      </c>
      <c r="K208" s="790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CPS-32193r1</v>
      </c>
      <c r="L208" s="940" t="s">
        <v>423</v>
      </c>
      <c r="M208" s="973">
        <f t="shared" si="1067"/>
        <v>-82.999988016284419</v>
      </c>
      <c r="N208" s="941"/>
      <c r="O208" s="942"/>
      <c r="Q208" s="162">
        <f t="shared" si="1068"/>
        <v>3.23675957429997</v>
      </c>
      <c r="R208" s="162">
        <f t="shared" si="1069"/>
        <v>-3.8023425989005091</v>
      </c>
      <c r="S208" s="162">
        <f t="shared" si="1070"/>
        <v>-2.1201362656089726</v>
      </c>
      <c r="T208" s="162">
        <f t="shared" si="1071"/>
        <v>0.64337101194123913</v>
      </c>
      <c r="U208" s="162">
        <f t="shared" si="1072"/>
        <v>-0.75579200414691927</v>
      </c>
      <c r="V208" s="162">
        <f t="shared" si="1073"/>
        <v>0.12186955100142645</v>
      </c>
      <c r="W208" s="162">
        <f>IFERROR(IF(ISNUMBER(MATCH($Z208,Settings!$AK$28:$AK$36,0)),INDEX(Settings!$AO$14:$AO$36,MATCH($Z208,Settings!$AK$14:$AK$36,0))/2,INDEX(Settings!$AM$14:$AM$36,MATCH($Z208,Settings!$AK$14:$AK$36,0))/2),"")</f>
        <v>0.255</v>
      </c>
      <c r="X208" s="162">
        <f t="shared" si="1074"/>
        <v>0.41499999999999992</v>
      </c>
      <c r="Y208" s="75">
        <v>3.2389999999999999</v>
      </c>
      <c r="Z208" s="917" t="str">
        <f t="shared" si="1075"/>
        <v>CPS-32193r1</v>
      </c>
      <c r="AA208" s="82"/>
      <c r="AB208" s="75"/>
      <c r="AC208" s="75"/>
      <c r="AD208" s="166"/>
      <c r="AE208" s="75">
        <v>3.2450000000000001</v>
      </c>
      <c r="AF208" s="82">
        <v>3</v>
      </c>
      <c r="AG208" s="82">
        <v>2</v>
      </c>
      <c r="AH208" s="82">
        <v>1</v>
      </c>
      <c r="AI208" s="82">
        <v>0.99999999998544808</v>
      </c>
      <c r="AJ208" s="166">
        <v>3.2451099999999999</v>
      </c>
      <c r="AK208" s="82" t="str">
        <v>Base</v>
      </c>
      <c r="AL208" s="162">
        <v>-21.75</v>
      </c>
      <c r="AM208" s="162">
        <v>-5.0208747946625891</v>
      </c>
      <c r="AN208" s="162">
        <v>-2.8348314711542986</v>
      </c>
      <c r="AO208" s="162">
        <v>89.999987005609611</v>
      </c>
      <c r="AP208" s="162">
        <v>0</v>
      </c>
      <c r="AQ208" s="162">
        <v>0</v>
      </c>
      <c r="AR208" s="710" t="str">
        <v>32193r1.par</v>
      </c>
      <c r="AV208" s="82" t="str">
        <v>97,255,97</v>
      </c>
      <c r="AW208" s="947">
        <v>89.999987005609611</v>
      </c>
      <c r="AX208" s="947">
        <v>89.999987005609611</v>
      </c>
      <c r="AY208" s="947">
        <v>0</v>
      </c>
    </row>
    <row r="209" spans="2:51" x14ac:dyDescent="0.25">
      <c r="B209" s="650">
        <v>3.2543618295628098</v>
      </c>
      <c r="C209" s="651">
        <v>-3.8233902215131925</v>
      </c>
      <c r="D209" s="652">
        <v>-2.87274311561979</v>
      </c>
      <c r="E209" s="653">
        <v>0.64816629823596772</v>
      </c>
      <c r="F209" s="651">
        <v>-0.76149881801026531</v>
      </c>
      <c r="G209" s="654">
        <v>2.2679489662669189E-7</v>
      </c>
      <c r="H209" s="653">
        <v>0.25700000000000001</v>
      </c>
      <c r="I209" s="920">
        <v>0.41499999999999992</v>
      </c>
      <c r="J209" s="924">
        <v>3.2450000000000001</v>
      </c>
      <c r="K209" s="790" t="str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CPS-32193r1</v>
      </c>
      <c r="L209" s="940" t="s">
        <v>423</v>
      </c>
      <c r="M209" s="973">
        <f t="shared" si="1067"/>
        <v>-89.999987005609611</v>
      </c>
      <c r="N209" s="941"/>
      <c r="O209" s="942"/>
      <c r="Q209" s="162">
        <f t="shared" si="1068"/>
        <v>3.2543618295628098</v>
      </c>
      <c r="R209" s="162">
        <f t="shared" si="1069"/>
        <v>-3.8233902215131925</v>
      </c>
      <c r="S209" s="162">
        <f t="shared" si="1070"/>
        <v>-2.87274311561979</v>
      </c>
      <c r="T209" s="162">
        <f t="shared" si="1071"/>
        <v>0.64816629823596772</v>
      </c>
      <c r="U209" s="162">
        <f t="shared" si="1072"/>
        <v>-0.76149881801026531</v>
      </c>
      <c r="V209" s="162">
        <f t="shared" si="1073"/>
        <v>2.2679489662669189E-7</v>
      </c>
      <c r="W209" s="162">
        <f>IFERROR(IF(ISNUMBER(MATCH($Z209,Settings!$AK$28:$AK$36,0)),INDEX(Settings!$AO$14:$AO$36,MATCH($Z209,Settings!$AK$14:$AK$36,0))/2,INDEX(Settings!$AM$14:$AM$36,MATCH($Z209,Settings!$AK$14:$AK$36,0))/2),"")</f>
        <v>0.255</v>
      </c>
      <c r="X209" s="162">
        <f t="shared" si="1074"/>
        <v>0.41499999999999992</v>
      </c>
      <c r="Y209" s="75">
        <v>3.2450000000000001</v>
      </c>
      <c r="Z209" s="917" t="str">
        <f t="shared" si="1075"/>
        <v>CPS-32193r1</v>
      </c>
      <c r="AA209" s="82"/>
      <c r="AB209" s="75"/>
      <c r="AC209" s="75"/>
      <c r="AD209" s="166"/>
      <c r="AE209" s="75">
        <v>3.2389999999999999</v>
      </c>
      <c r="AF209" s="82">
        <v>3</v>
      </c>
      <c r="AG209" s="82">
        <v>2</v>
      </c>
      <c r="AH209" s="82">
        <v>1</v>
      </c>
      <c r="AI209" s="82">
        <v>0.99999999998544808</v>
      </c>
      <c r="AJ209" s="166">
        <v>3.2391099999999997</v>
      </c>
      <c r="AK209" s="82" t="str">
        <v>Base</v>
      </c>
      <c r="AL209" s="162">
        <v>-21.75</v>
      </c>
      <c r="AM209" s="162">
        <v>-4.9934378719711736</v>
      </c>
      <c r="AN209" s="162">
        <v>-2.0822253805550233</v>
      </c>
      <c r="AO209" s="162">
        <v>82.999988016284419</v>
      </c>
      <c r="AP209" s="162">
        <v>0</v>
      </c>
      <c r="AQ209" s="162">
        <v>0</v>
      </c>
      <c r="AR209" s="710" t="str">
        <v>32193r1.par</v>
      </c>
      <c r="AV209" s="82" t="str">
        <v>97,255,97</v>
      </c>
      <c r="AW209" s="947">
        <v>82.999988016284419</v>
      </c>
      <c r="AX209" s="947">
        <v>82.999988016284419</v>
      </c>
      <c r="AY209" s="947">
        <v>0</v>
      </c>
    </row>
    <row r="210" spans="2:51" x14ac:dyDescent="0.25">
      <c r="B210" s="650">
        <v>-4.8552529883429454</v>
      </c>
      <c r="C210" s="651">
        <v>-1.6717961816679865</v>
      </c>
      <c r="D210" s="652">
        <v>-9.5000286520864154</v>
      </c>
      <c r="E210" s="653">
        <v>-0.34913478283133281</v>
      </c>
      <c r="F210" s="651">
        <v>-0.93040107687091467</v>
      </c>
      <c r="G210" s="654">
        <v>-0.11161872412261586</v>
      </c>
      <c r="H210" s="653">
        <v>0.26600000000000001</v>
      </c>
      <c r="I210" s="920">
        <v>0.52</v>
      </c>
      <c r="J210" s="924">
        <v>3.2509999999999999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1313</v>
      </c>
      <c r="L210" s="940" t="s">
        <v>424</v>
      </c>
      <c r="M210" s="973">
        <f t="shared" si="1067"/>
        <v>-100.03561890671625</v>
      </c>
      <c r="N210" s="941"/>
      <c r="O210" s="942"/>
      <c r="Q210" s="162">
        <f t="shared" ref="Q210:Q273" si="1076">IFERROR(INDEX(B$164:B$305,MATCH($Y210,$J$164:$J$305,0)),"")</f>
        <v>-4.8552529883429454</v>
      </c>
      <c r="R210" s="162">
        <f t="shared" ref="R210:R273" si="1077">IFERROR(INDEX(C$164:C$305,MATCH($Y210,$J$164:$J$305,0)),"")</f>
        <v>-1.6717961816679865</v>
      </c>
      <c r="S210" s="162">
        <f t="shared" ref="S210:S273" si="1078">IFERROR(INDEX(D$164:D$305,MATCH($Y210,$J$164:$J$305,0)),"")</f>
        <v>-9.5000286520864154</v>
      </c>
      <c r="T210" s="162">
        <f t="shared" ref="T210:T273" si="1079">IFERROR(IF($N210="Y",-1*INDEX(E$164:E$305,MATCH($Y210,$J$164:$J$305,0)),INDEX(E$164:E$305,MATCH($Y210,$J$164:$J$305,0))),"")</f>
        <v>-0.34913478283133281</v>
      </c>
      <c r="U210" s="162">
        <f t="shared" ref="U210:U273" si="1080">IFERROR(IF($N210="Y",-1*INDEX(F$164:F$305,MATCH($Y210,$J$164:$J$305,0)),INDEX(F$164:F$305,MATCH($Y210,$J$164:$J$305,0))),"")</f>
        <v>-0.93040107687091467</v>
      </c>
      <c r="V210" s="162">
        <f t="shared" ref="V210:V273" si="1081">IFERROR(IF($N210="Y",-1*INDEX(G$164:G$305,MATCH($Y210,$J$164:$J$305,0)),INDEX(G$164:G$305,MATCH($Y210,$J$164:$J$305,0))),"")</f>
        <v>-0.11161872412261586</v>
      </c>
      <c r="W210" s="162">
        <f>IFERROR(IF(ISNUMBER(MATCH($Z210,Settings!$AK$28:$AK$36,0)),INDEX(Settings!$AO$14:$AO$36,MATCH($Z210,Settings!$AK$14:$AK$36,0))/2,INDEX(Settings!$AM$14:$AM$36,MATCH($Z210,Settings!$AK$14:$AK$36,0))/2),"")</f>
        <v>0.26450000000000001</v>
      </c>
      <c r="X210" s="162">
        <f t="shared" ref="X210:X273" si="1082">IFERROR(INDEX(I$164:I$305,MATCH($Y210,$J$164:$J$305,0)),"")</f>
        <v>0.52</v>
      </c>
      <c r="Y210" s="75">
        <v>3.2509999999999999</v>
      </c>
      <c r="Z210" s="917">
        <f t="shared" ref="Z210:Z273" si="1083">IFERROR(INDEX(K$164:K$305,MATCH($Y210,$J$164:$J$305,0)),"")</f>
        <v>1313</v>
      </c>
      <c r="AA210" s="82"/>
      <c r="AB210" s="75"/>
      <c r="AC210" s="75"/>
      <c r="AD210" s="166"/>
      <c r="AE210" s="75">
        <v>3.2330000000000001</v>
      </c>
      <c r="AF210" s="82">
        <v>3</v>
      </c>
      <c r="AG210" s="82">
        <v>2</v>
      </c>
      <c r="AH210" s="82">
        <v>1</v>
      </c>
      <c r="AI210" s="82">
        <v>0.99999999998544808</v>
      </c>
      <c r="AJ210" s="166">
        <v>3.2331099999999999</v>
      </c>
      <c r="AK210" s="82" t="str">
        <v>Base</v>
      </c>
      <c r="AL210" s="162">
        <v>-21.75</v>
      </c>
      <c r="AM210" s="162">
        <v>-4.8780303852724725</v>
      </c>
      <c r="AN210" s="162">
        <v>-1.3164167852792994</v>
      </c>
      <c r="AO210" s="162">
        <v>63.392943063786667</v>
      </c>
      <c r="AP210" s="162">
        <v>-30.139109350595657</v>
      </c>
      <c r="AQ210" s="162">
        <v>0</v>
      </c>
      <c r="AR210" s="710" t="str">
        <v>1313.par</v>
      </c>
      <c r="AV210" s="82" t="str">
        <v>97,255,97</v>
      </c>
      <c r="AW210" s="947">
        <v>63.392943063786667</v>
      </c>
      <c r="AX210" s="947">
        <v>63.392943063786667</v>
      </c>
      <c r="AY210" s="947">
        <v>0</v>
      </c>
    </row>
    <row r="211" spans="2:51" x14ac:dyDescent="0.25">
      <c r="B211" s="650">
        <v>-0.25613656074102181</v>
      </c>
      <c r="C211" s="651">
        <v>-2.9276344878282807</v>
      </c>
      <c r="D211" s="652">
        <v>-9.4700556152893398E-2</v>
      </c>
      <c r="E211" s="653">
        <v>0.95780292439168624</v>
      </c>
      <c r="F211" s="651">
        <v>-0.10868198408491406</v>
      </c>
      <c r="G211" s="654">
        <v>0.26608604691358839</v>
      </c>
      <c r="H211" s="653">
        <v>0.314</v>
      </c>
      <c r="I211" s="920">
        <v>0.52</v>
      </c>
      <c r="J211" s="924">
        <v>4.1139999999999999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940" t="s">
        <v>422</v>
      </c>
      <c r="M211" s="973">
        <f t="shared" si="1067"/>
        <v>-3.9705087662236287</v>
      </c>
      <c r="N211" s="941"/>
      <c r="O211" s="942"/>
      <c r="Q211" s="162">
        <f t="shared" si="1076"/>
        <v>-0.25613656074102181</v>
      </c>
      <c r="R211" s="162">
        <f t="shared" si="1077"/>
        <v>-2.9276344878282807</v>
      </c>
      <c r="S211" s="162">
        <f t="shared" si="1078"/>
        <v>-9.4700556152893398E-2</v>
      </c>
      <c r="T211" s="162">
        <f t="shared" si="1079"/>
        <v>0.95780292439168624</v>
      </c>
      <c r="U211" s="162">
        <f t="shared" si="1080"/>
        <v>-0.10868198408491406</v>
      </c>
      <c r="V211" s="162">
        <f t="shared" si="1081"/>
        <v>0.26608604691358839</v>
      </c>
      <c r="W211" s="162">
        <f>IFERROR(IF(ISNUMBER(MATCH($Z211,Settings!$AK$28:$AK$36,0)),INDEX(Settings!$AO$14:$AO$36,MATCH($Z211,Settings!$AK$14:$AK$36,0))/2,INDEX(Settings!$AM$14:$AM$36,MATCH($Z211,Settings!$AK$14:$AK$36,0))/2),"")</f>
        <v>0.3125</v>
      </c>
      <c r="X211" s="162">
        <f t="shared" si="1082"/>
        <v>0.52</v>
      </c>
      <c r="Y211" s="75">
        <v>4.1139999999999999</v>
      </c>
      <c r="Z211" s="917">
        <f t="shared" si="1083"/>
        <v>1613</v>
      </c>
      <c r="AA211" s="82"/>
      <c r="AB211" s="75"/>
      <c r="AC211" s="75"/>
      <c r="AD211" s="166"/>
      <c r="AE211" s="75">
        <v>3.2269999999999999</v>
      </c>
      <c r="AF211" s="82">
        <v>3</v>
      </c>
      <c r="AG211" s="82">
        <v>2</v>
      </c>
      <c r="AH211" s="82">
        <v>1</v>
      </c>
      <c r="AI211" s="82">
        <v>0.99999999998544808</v>
      </c>
      <c r="AJ211" s="166">
        <v>3.2271099999999997</v>
      </c>
      <c r="AK211" s="82" t="str">
        <v>Base</v>
      </c>
      <c r="AL211" s="162">
        <v>-21.75</v>
      </c>
      <c r="AM211" s="162">
        <v>-4.4493480813053772</v>
      </c>
      <c r="AN211" s="162">
        <v>-0.67374031913976251</v>
      </c>
      <c r="AO211" s="162">
        <v>44.830187859593472</v>
      </c>
      <c r="AP211" s="162">
        <v>-26.16280668690904</v>
      </c>
      <c r="AQ211" s="162">
        <v>0</v>
      </c>
      <c r="AR211" s="710" t="str">
        <v>1313.par</v>
      </c>
      <c r="AV211" s="82" t="str">
        <v>97,255,97</v>
      </c>
      <c r="AW211" s="947">
        <v>44.830187859593472</v>
      </c>
      <c r="AX211" s="947">
        <v>44.830187859593472</v>
      </c>
      <c r="AY211" s="947">
        <v>0</v>
      </c>
    </row>
    <row r="212" spans="2:51" x14ac:dyDescent="0.25">
      <c r="B212" s="650">
        <v>-0.34638180420633946</v>
      </c>
      <c r="C212" s="651">
        <v>-3.6766417529969999</v>
      </c>
      <c r="D212" s="652">
        <v>-0.24310145130574273</v>
      </c>
      <c r="E212" s="653">
        <v>0.94295431762086424</v>
      </c>
      <c r="F212" s="651">
        <v>-0.20466584949397226</v>
      </c>
      <c r="G212" s="654">
        <v>0.26258150150206921</v>
      </c>
      <c r="H212" s="653">
        <v>0.314</v>
      </c>
      <c r="I212" s="920">
        <v>0.52</v>
      </c>
      <c r="J212" s="924">
        <v>4.12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940" t="s">
        <v>422</v>
      </c>
      <c r="M212" s="973">
        <f t="shared" si="1067"/>
        <v>-22.793338283804125</v>
      </c>
      <c r="N212" s="941"/>
      <c r="O212" s="942"/>
      <c r="Q212" s="162">
        <f t="shared" si="1076"/>
        <v>-0.34638180420633946</v>
      </c>
      <c r="R212" s="162">
        <f t="shared" si="1077"/>
        <v>-3.6766417529969999</v>
      </c>
      <c r="S212" s="162">
        <f t="shared" si="1078"/>
        <v>-0.24310145130574273</v>
      </c>
      <c r="T212" s="162">
        <f t="shared" si="1079"/>
        <v>0.94295431762086424</v>
      </c>
      <c r="U212" s="162">
        <f t="shared" si="1080"/>
        <v>-0.20466584949397226</v>
      </c>
      <c r="V212" s="162">
        <f t="shared" si="1081"/>
        <v>0.26258150150206921</v>
      </c>
      <c r="W212" s="162">
        <f>IFERROR(IF(ISNUMBER(MATCH($Z212,Settings!$AK$28:$AK$36,0)),INDEX(Settings!$AO$14:$AO$36,MATCH($Z212,Settings!$AK$14:$AK$36,0))/2,INDEX(Settings!$AM$14:$AM$36,MATCH($Z212,Settings!$AK$14:$AK$36,0))/2),"")</f>
        <v>0.3125</v>
      </c>
      <c r="X212" s="162">
        <f t="shared" si="1082"/>
        <v>0.52</v>
      </c>
      <c r="Y212" s="75">
        <v>4.12</v>
      </c>
      <c r="Z212" s="917">
        <f t="shared" si="1083"/>
        <v>1613</v>
      </c>
      <c r="AA212" s="82"/>
      <c r="AB212" s="75"/>
      <c r="AC212" s="75"/>
      <c r="AD212" s="166"/>
      <c r="AE212" s="75">
        <v>3.2210000000000001</v>
      </c>
      <c r="AF212" s="82">
        <v>3</v>
      </c>
      <c r="AG212" s="82">
        <v>2</v>
      </c>
      <c r="AH212" s="82">
        <v>1</v>
      </c>
      <c r="AI212" s="82">
        <v>0.99999999998544808</v>
      </c>
      <c r="AJ212" s="166">
        <v>3.2211099999999999</v>
      </c>
      <c r="AK212" s="82" t="str">
        <v>Base</v>
      </c>
      <c r="AL212" s="162">
        <v>-21.75</v>
      </c>
      <c r="AM212" s="162">
        <v>-3.8192371295293186</v>
      </c>
      <c r="AN212" s="162">
        <v>-0.22676026322943621</v>
      </c>
      <c r="AO212" s="162">
        <v>26.167511622001179</v>
      </c>
      <c r="AP212" s="162">
        <v>-22.20779132657719</v>
      </c>
      <c r="AQ212" s="162">
        <v>0</v>
      </c>
      <c r="AR212" s="710" t="str">
        <v>1313.par</v>
      </c>
      <c r="AV212" s="82" t="str">
        <v>97,255,97</v>
      </c>
      <c r="AW212" s="947">
        <v>26.167511622001179</v>
      </c>
      <c r="AX212" s="947">
        <v>26.167511622001179</v>
      </c>
      <c r="AY212" s="947">
        <v>0</v>
      </c>
    </row>
    <row r="213" spans="2:51" x14ac:dyDescent="0.25">
      <c r="B213" s="650">
        <v>-0.46246609294827523</v>
      </c>
      <c r="C213" s="651">
        <v>-4.3202440753578353</v>
      </c>
      <c r="D213" s="652">
        <v>-0.65010390634084925</v>
      </c>
      <c r="E213" s="653">
        <v>0.90519782704199592</v>
      </c>
      <c r="F213" s="651">
        <v>-0.33477862210177334</v>
      </c>
      <c r="G213" s="654">
        <v>0.2618017725342725</v>
      </c>
      <c r="H213" s="653">
        <v>0.314</v>
      </c>
      <c r="I213" s="920">
        <v>0.52</v>
      </c>
      <c r="J213" s="924">
        <v>4.1260000000000003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40" t="s">
        <v>420</v>
      </c>
      <c r="M213" s="973">
        <f t="shared" si="1067"/>
        <v>-41.606624611766414</v>
      </c>
      <c r="N213" s="941"/>
      <c r="O213" s="942"/>
      <c r="Q213" s="162">
        <f t="shared" si="1076"/>
        <v>-0.46246609294827523</v>
      </c>
      <c r="R213" s="162">
        <f t="shared" si="1077"/>
        <v>-4.3202440753578353</v>
      </c>
      <c r="S213" s="162">
        <f t="shared" si="1078"/>
        <v>-0.65010390634084925</v>
      </c>
      <c r="T213" s="162">
        <f t="shared" si="1079"/>
        <v>0.90519782704199592</v>
      </c>
      <c r="U213" s="162">
        <f t="shared" si="1080"/>
        <v>-0.33477862210177334</v>
      </c>
      <c r="V213" s="162">
        <f t="shared" si="1081"/>
        <v>0.2618017725342725</v>
      </c>
      <c r="W213" s="162">
        <f>IFERROR(IF(ISNUMBER(MATCH($Z213,Settings!$AK$28:$AK$36,0)),INDEX(Settings!$AO$14:$AO$36,MATCH($Z213,Settings!$AK$14:$AK$36,0))/2,INDEX(Settings!$AM$14:$AM$36,MATCH($Z213,Settings!$AK$14:$AK$36,0))/2),"")</f>
        <v>0.3125</v>
      </c>
      <c r="X213" s="162">
        <f t="shared" si="1082"/>
        <v>0.52</v>
      </c>
      <c r="Y213" s="75">
        <v>4.1260000000000003</v>
      </c>
      <c r="Z213" s="917">
        <f t="shared" si="1083"/>
        <v>1613</v>
      </c>
      <c r="AA213" s="82"/>
      <c r="AB213" s="75"/>
      <c r="AC213" s="75"/>
      <c r="AD213" s="166"/>
      <c r="AE213" s="75">
        <v>3.2149999999999999</v>
      </c>
      <c r="AF213" s="82">
        <v>3</v>
      </c>
      <c r="AG213" s="82">
        <v>2</v>
      </c>
      <c r="AH213" s="82">
        <v>1</v>
      </c>
      <c r="AI213" s="82">
        <v>0.99999999998544808</v>
      </c>
      <c r="AJ213" s="166">
        <v>3.2151099999999997</v>
      </c>
      <c r="AK213" s="82" t="str">
        <v>Base</v>
      </c>
      <c r="AL213" s="162">
        <v>-21.75</v>
      </c>
      <c r="AM213" s="162">
        <v>-3.0661488581587393</v>
      </c>
      <c r="AN213" s="162">
        <v>-6.7740742651618197E-2</v>
      </c>
      <c r="AO213" s="162">
        <v>-0.99999985561788196</v>
      </c>
      <c r="AP213" s="162">
        <v>0</v>
      </c>
      <c r="AQ213" s="162">
        <v>0</v>
      </c>
      <c r="AR213" s="710" t="str">
        <v>32193r1.par</v>
      </c>
      <c r="AV213" s="82" t="str">
        <v>97,255,97</v>
      </c>
      <c r="AW213" s="947">
        <v>-0.99999985561788196</v>
      </c>
      <c r="AX213" s="947">
        <v>-0.99999985561788196</v>
      </c>
      <c r="AY213" s="947">
        <v>0</v>
      </c>
    </row>
    <row r="214" spans="2:51" x14ac:dyDescent="0.25">
      <c r="B214" s="650">
        <v>-0.56696945545210753</v>
      </c>
      <c r="C214" s="651">
        <v>-4.7759936080960186</v>
      </c>
      <c r="D214" s="652">
        <v>-1.2624075997511583</v>
      </c>
      <c r="E214" s="653">
        <v>0.85970717539172348</v>
      </c>
      <c r="F214" s="651">
        <v>-0.46761783235017629</v>
      </c>
      <c r="G214" s="654">
        <v>0.20551675223228635</v>
      </c>
      <c r="H214" s="653">
        <v>0.314</v>
      </c>
      <c r="I214" s="920">
        <v>0.52</v>
      </c>
      <c r="J214" s="924">
        <v>4.1319999999999997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940" t="s">
        <v>420</v>
      </c>
      <c r="M214" s="973">
        <f t="shared" si="1067"/>
        <v>-60.249226457616452</v>
      </c>
      <c r="N214" s="941"/>
      <c r="O214" s="942"/>
      <c r="Q214" s="162">
        <f t="shared" si="1076"/>
        <v>-0.56696945545210753</v>
      </c>
      <c r="R214" s="162">
        <f t="shared" si="1077"/>
        <v>-4.7759936080960186</v>
      </c>
      <c r="S214" s="162">
        <f t="shared" si="1078"/>
        <v>-1.2624075997511583</v>
      </c>
      <c r="T214" s="162">
        <f t="shared" si="1079"/>
        <v>0.85970717539172348</v>
      </c>
      <c r="U214" s="162">
        <f t="shared" si="1080"/>
        <v>-0.46761783235017629</v>
      </c>
      <c r="V214" s="162">
        <f t="shared" si="1081"/>
        <v>0.20551675223228635</v>
      </c>
      <c r="W214" s="162">
        <f>IFERROR(IF(ISNUMBER(MATCH($Z214,Settings!$AK$28:$AK$36,0)),INDEX(Settings!$AO$14:$AO$36,MATCH($Z214,Settings!$AK$14:$AK$36,0))/2,INDEX(Settings!$AM$14:$AM$36,MATCH($Z214,Settings!$AK$14:$AK$36,0))/2),"")</f>
        <v>0.3125</v>
      </c>
      <c r="X214" s="162">
        <f t="shared" si="1082"/>
        <v>0.52</v>
      </c>
      <c r="Y214" s="75">
        <v>4.1319999999999997</v>
      </c>
      <c r="Z214" s="917">
        <f t="shared" si="1083"/>
        <v>1613</v>
      </c>
      <c r="AA214" s="82"/>
      <c r="AB214" s="75"/>
      <c r="AC214" s="75"/>
      <c r="AD214" s="166"/>
      <c r="AE214" s="75">
        <v>3.145</v>
      </c>
      <c r="AF214" s="82">
        <v>3</v>
      </c>
      <c r="AG214" s="82">
        <v>1</v>
      </c>
      <c r="AH214" s="82">
        <v>1</v>
      </c>
      <c r="AI214" s="82">
        <v>0.99999999998544808</v>
      </c>
      <c r="AJ214" s="166">
        <v>3.1451099999999999</v>
      </c>
      <c r="AK214" s="82" t="str">
        <v>Base</v>
      </c>
      <c r="AL214" s="162">
        <v>-21</v>
      </c>
      <c r="AM214" s="162">
        <v>-5.0550887932628417</v>
      </c>
      <c r="AN214" s="162">
        <v>-2.8145660586111201</v>
      </c>
      <c r="AO214" s="162">
        <v>84.97011741683842</v>
      </c>
      <c r="AP214" s="162">
        <v>-29.785208788526909</v>
      </c>
      <c r="AQ214" s="162">
        <v>0</v>
      </c>
      <c r="AR214" s="710" t="str">
        <v>1613.par</v>
      </c>
      <c r="AV214" s="82" t="str">
        <v>0,204,0</v>
      </c>
      <c r="AW214" s="947">
        <v>84.97011741683842</v>
      </c>
      <c r="AX214" s="947">
        <v>84.97011741683842</v>
      </c>
      <c r="AY214" s="947">
        <v>0</v>
      </c>
    </row>
    <row r="215" spans="2:51" x14ac:dyDescent="0.25">
      <c r="B215" s="650">
        <v>-0.62172518875826321</v>
      </c>
      <c r="C215" s="651">
        <v>-4.987226499017603</v>
      </c>
      <c r="D215" s="652">
        <v>-1.9999120483712829</v>
      </c>
      <c r="E215" s="653">
        <v>0.81263488385279681</v>
      </c>
      <c r="F215" s="651">
        <v>-0.57537849562887078</v>
      </c>
      <c r="G215" s="654">
        <v>9.2542597291242992E-2</v>
      </c>
      <c r="H215" s="653">
        <v>0.314</v>
      </c>
      <c r="I215" s="920">
        <v>0.52</v>
      </c>
      <c r="J215" s="924">
        <v>4.1379999999999999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940" t="s">
        <v>420</v>
      </c>
      <c r="M215" s="973">
        <f t="shared" si="1067"/>
        <v>-78.799617313561896</v>
      </c>
      <c r="N215" s="941"/>
      <c r="O215" s="942"/>
      <c r="Q215" s="162">
        <f t="shared" si="1076"/>
        <v>-0.62172518875826321</v>
      </c>
      <c r="R215" s="162">
        <f t="shared" si="1077"/>
        <v>-4.987226499017603</v>
      </c>
      <c r="S215" s="162">
        <f t="shared" si="1078"/>
        <v>-1.9999120483712829</v>
      </c>
      <c r="T215" s="162">
        <f t="shared" si="1079"/>
        <v>0.81263488385279681</v>
      </c>
      <c r="U215" s="162">
        <f t="shared" si="1080"/>
        <v>-0.57537849562887078</v>
      </c>
      <c r="V215" s="162">
        <f t="shared" si="1081"/>
        <v>9.2542597291242992E-2</v>
      </c>
      <c r="W215" s="162">
        <f>IFERROR(IF(ISNUMBER(MATCH($Z215,Settings!$AK$28:$AK$36,0)),INDEX(Settings!$AO$14:$AO$36,MATCH($Z215,Settings!$AK$14:$AK$36,0))/2,INDEX(Settings!$AM$14:$AM$36,MATCH($Z215,Settings!$AK$14:$AK$36,0))/2),"")</f>
        <v>0.3125</v>
      </c>
      <c r="X215" s="162">
        <f t="shared" si="1082"/>
        <v>0.52</v>
      </c>
      <c r="Y215" s="75">
        <v>4.1379999999999999</v>
      </c>
      <c r="Z215" s="917">
        <f t="shared" si="1083"/>
        <v>1613</v>
      </c>
      <c r="AA215" s="82"/>
      <c r="AB215" s="75"/>
      <c r="AC215" s="75"/>
      <c r="AD215" s="166"/>
      <c r="AE215" s="75">
        <v>3.1389999999999998</v>
      </c>
      <c r="AF215" s="82">
        <v>3</v>
      </c>
      <c r="AG215" s="82">
        <v>1</v>
      </c>
      <c r="AH215" s="82">
        <v>1</v>
      </c>
      <c r="AI215" s="82">
        <v>0.9999999999490683</v>
      </c>
      <c r="AJ215" s="166">
        <v>3.1391099999999996</v>
      </c>
      <c r="AK215" s="82" t="str">
        <v>Base</v>
      </c>
      <c r="AL215" s="162">
        <v>-21</v>
      </c>
      <c r="AM215" s="162">
        <v>-5.0256652349223865</v>
      </c>
      <c r="AN215" s="162">
        <v>-2.060284892627235</v>
      </c>
      <c r="AO215" s="162">
        <v>81.885446807640747</v>
      </c>
      <c r="AP215" s="162">
        <v>-29.118222259814257</v>
      </c>
      <c r="AQ215" s="162">
        <v>0</v>
      </c>
      <c r="AR215" s="710" t="str">
        <v>1613.par</v>
      </c>
      <c r="AV215" s="82" t="str">
        <v>0,204,0</v>
      </c>
      <c r="AW215" s="947">
        <v>81.885446807640747</v>
      </c>
      <c r="AX215" s="947">
        <v>81.885446807640747</v>
      </c>
      <c r="AY215" s="947">
        <v>0</v>
      </c>
    </row>
    <row r="216" spans="2:51" x14ac:dyDescent="0.25">
      <c r="B216" s="650">
        <v>-0.63464222877463128</v>
      </c>
      <c r="C216" s="651">
        <v>-5.0250979083437999</v>
      </c>
      <c r="D216" s="652">
        <v>-2.7577166194415614</v>
      </c>
      <c r="E216" s="653">
        <v>0.79699137125783814</v>
      </c>
      <c r="F216" s="651">
        <v>-0.60241839011964027</v>
      </c>
      <c r="G216" s="654">
        <v>4.3552696658323085E-2</v>
      </c>
      <c r="H216" s="653">
        <v>0.314</v>
      </c>
      <c r="I216" s="920">
        <v>0.52</v>
      </c>
      <c r="J216" s="924">
        <v>4.1440000000000001</v>
      </c>
      <c r="K216" s="790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1613</v>
      </c>
      <c r="L216" s="940" t="s">
        <v>420</v>
      </c>
      <c r="M216" s="973">
        <f t="shared" si="1067"/>
        <v>-84.970117416838406</v>
      </c>
      <c r="N216" s="941"/>
      <c r="O216" s="942"/>
      <c r="Q216" s="162">
        <f t="shared" si="1076"/>
        <v>-0.63464222877463128</v>
      </c>
      <c r="R216" s="162">
        <f t="shared" si="1077"/>
        <v>-5.0250979083437999</v>
      </c>
      <c r="S216" s="162">
        <f t="shared" si="1078"/>
        <v>-2.7577166194415614</v>
      </c>
      <c r="T216" s="162">
        <f t="shared" si="1079"/>
        <v>0.79699137125783814</v>
      </c>
      <c r="U216" s="162">
        <f t="shared" si="1080"/>
        <v>-0.60241839011964027</v>
      </c>
      <c r="V216" s="162">
        <f t="shared" si="1081"/>
        <v>4.3552696658323085E-2</v>
      </c>
      <c r="W216" s="162">
        <f>IFERROR(IF(ISNUMBER(MATCH($Z216,Settings!$AK$28:$AK$36,0)),INDEX(Settings!$AO$14:$AO$36,MATCH($Z216,Settings!$AK$14:$AK$36,0))/2,INDEX(Settings!$AM$14:$AM$36,MATCH($Z216,Settings!$AK$14:$AK$36,0))/2),"")</f>
        <v>0.3125</v>
      </c>
      <c r="X216" s="162">
        <f t="shared" si="1082"/>
        <v>0.52</v>
      </c>
      <c r="Y216" s="75">
        <v>4.1440000000000001</v>
      </c>
      <c r="Z216" s="917">
        <f t="shared" si="1083"/>
        <v>1613</v>
      </c>
      <c r="AA216" s="82"/>
      <c r="AB216" s="75"/>
      <c r="AC216" s="75"/>
      <c r="AD216" s="166"/>
      <c r="AE216" s="75">
        <v>3.133</v>
      </c>
      <c r="AF216" s="82">
        <v>3</v>
      </c>
      <c r="AG216" s="82">
        <v>1</v>
      </c>
      <c r="AH216" s="82">
        <v>1</v>
      </c>
      <c r="AI216" s="82">
        <v>0.99999999998544808</v>
      </c>
      <c r="AJ216" s="166">
        <v>3.1331099999999998</v>
      </c>
      <c r="AK216" s="82" t="str">
        <v>Base</v>
      </c>
      <c r="AL216" s="162">
        <v>-21</v>
      </c>
      <c r="AM216" s="162">
        <v>-4.8564048247187852</v>
      </c>
      <c r="AN216" s="162">
        <v>-1.3134872104058219</v>
      </c>
      <c r="AO216" s="162">
        <v>63.345987496311885</v>
      </c>
      <c r="AP216" s="162">
        <v>-25.129745570941751</v>
      </c>
      <c r="AQ216" s="162">
        <v>0</v>
      </c>
      <c r="AR216" s="710" t="str">
        <v>1613.par</v>
      </c>
      <c r="AV216" s="82" t="str">
        <v>0,204,0</v>
      </c>
      <c r="AW216" s="947">
        <v>63.345987496311885</v>
      </c>
      <c r="AX216" s="947">
        <v>63.345987496311885</v>
      </c>
      <c r="AY216" s="947">
        <v>0</v>
      </c>
    </row>
    <row r="217" spans="2:51" x14ac:dyDescent="0.25">
      <c r="B217" s="650">
        <v>-1.3817959091770449</v>
      </c>
      <c r="C217" s="651">
        <v>-3.4197354218450564</v>
      </c>
      <c r="D217" s="652">
        <v>-0.28120491982203843</v>
      </c>
      <c r="E217" s="653">
        <v>-0.12813359435070973</v>
      </c>
      <c r="F217" s="651">
        <v>-0.31711122345876397</v>
      </c>
      <c r="G217" s="654">
        <v>0.93969263802333458</v>
      </c>
      <c r="H217" s="653">
        <v>0.25700000000000001</v>
      </c>
      <c r="I217" s="920">
        <v>0.41499999999999992</v>
      </c>
      <c r="J217" s="924">
        <v>4.22</v>
      </c>
      <c r="K217" s="790" t="str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CPS-32193r1</v>
      </c>
      <c r="L217" s="940" t="s">
        <v>423</v>
      </c>
      <c r="M217" s="973">
        <f t="shared" si="1067"/>
        <v>-19.99999711235769</v>
      </c>
      <c r="N217" s="941"/>
      <c r="O217" s="942"/>
      <c r="Q217" s="162">
        <f t="shared" si="1076"/>
        <v>-1.3817959091770449</v>
      </c>
      <c r="R217" s="162">
        <f t="shared" si="1077"/>
        <v>-3.4197354218450564</v>
      </c>
      <c r="S217" s="162">
        <f t="shared" si="1078"/>
        <v>-0.28120491982203843</v>
      </c>
      <c r="T217" s="162">
        <f t="shared" si="1079"/>
        <v>-0.12813359435070973</v>
      </c>
      <c r="U217" s="162">
        <f t="shared" si="1080"/>
        <v>-0.31711122345876397</v>
      </c>
      <c r="V217" s="162">
        <f t="shared" si="1081"/>
        <v>0.93969263802333458</v>
      </c>
      <c r="W217" s="162">
        <f>IFERROR(IF(ISNUMBER(MATCH($Z217,Settings!$AK$28:$AK$36,0)),INDEX(Settings!$AO$14:$AO$36,MATCH($Z217,Settings!$AK$14:$AK$36,0))/2,INDEX(Settings!$AM$14:$AM$36,MATCH($Z217,Settings!$AK$14:$AK$36,0))/2),"")</f>
        <v>0.255</v>
      </c>
      <c r="X217" s="162">
        <f t="shared" si="1082"/>
        <v>0.41499999999999992</v>
      </c>
      <c r="Y217" s="75">
        <v>4.22</v>
      </c>
      <c r="Z217" s="917" t="str">
        <f t="shared" si="1083"/>
        <v>CPS-32193r1</v>
      </c>
      <c r="AA217" s="82"/>
      <c r="AB217" s="75"/>
      <c r="AC217" s="75"/>
      <c r="AD217" s="166"/>
      <c r="AE217" s="75">
        <v>3.1269999999999998</v>
      </c>
      <c r="AF217" s="82">
        <v>3</v>
      </c>
      <c r="AG217" s="82">
        <v>1</v>
      </c>
      <c r="AH217" s="82">
        <v>1</v>
      </c>
      <c r="AI217" s="82">
        <v>0.9999999999490683</v>
      </c>
      <c r="AJ217" s="166">
        <v>3.1271099999999996</v>
      </c>
      <c r="AK217" s="82" t="str">
        <v>Base</v>
      </c>
      <c r="AL217" s="162">
        <v>-21</v>
      </c>
      <c r="AM217" s="162">
        <v>-4.4323083330046469</v>
      </c>
      <c r="AN217" s="162">
        <v>-0.67566613136646525</v>
      </c>
      <c r="AO217" s="162">
        <v>44.722719194276351</v>
      </c>
      <c r="AP217" s="162">
        <v>-21.155897053638178</v>
      </c>
      <c r="AQ217" s="162">
        <v>0</v>
      </c>
      <c r="AR217" s="710" t="str">
        <v>1613.par</v>
      </c>
      <c r="AV217" s="82" t="str">
        <v>0,204,0</v>
      </c>
      <c r="AW217" s="947">
        <v>44.722719194276351</v>
      </c>
      <c r="AX217" s="947">
        <v>44.722719194276351</v>
      </c>
      <c r="AY217" s="947">
        <v>0</v>
      </c>
    </row>
    <row r="218" spans="2:51" x14ac:dyDescent="0.25">
      <c r="B218" s="650">
        <v>-1.5184291916044943</v>
      </c>
      <c r="C218" s="651">
        <v>-4.0386743166618224</v>
      </c>
      <c r="D218" s="652">
        <v>-0.6740116129023761</v>
      </c>
      <c r="E218" s="653">
        <v>-0.2308809968203244</v>
      </c>
      <c r="F218" s="651">
        <v>-0.61409063868050251</v>
      </c>
      <c r="G218" s="654">
        <v>0.75470964800526175</v>
      </c>
      <c r="H218" s="653">
        <v>0.25700000000000001</v>
      </c>
      <c r="I218" s="920">
        <v>0.41499999999999992</v>
      </c>
      <c r="J218" s="924">
        <v>4.226</v>
      </c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40" t="s">
        <v>423</v>
      </c>
      <c r="M218" s="973">
        <f t="shared" si="1067"/>
        <v>-40.999994080333266</v>
      </c>
      <c r="N218" s="941"/>
      <c r="O218" s="942"/>
      <c r="Q218" s="162">
        <f t="shared" si="1076"/>
        <v>-1.5184291916044943</v>
      </c>
      <c r="R218" s="162">
        <f t="shared" si="1077"/>
        <v>-4.0386743166618224</v>
      </c>
      <c r="S218" s="162">
        <f t="shared" si="1078"/>
        <v>-0.6740116129023761</v>
      </c>
      <c r="T218" s="162">
        <f t="shared" si="1079"/>
        <v>-0.2308809968203244</v>
      </c>
      <c r="U218" s="162">
        <f t="shared" si="1080"/>
        <v>-0.61409063868050251</v>
      </c>
      <c r="V218" s="162">
        <f t="shared" si="1081"/>
        <v>0.75470964800526175</v>
      </c>
      <c r="W218" s="162">
        <f>IFERROR(IF(ISNUMBER(MATCH($Z218,Settings!$AK$28:$AK$36,0)),INDEX(Settings!$AO$14:$AO$36,MATCH($Z218,Settings!$AK$14:$AK$36,0))/2,INDEX(Settings!$AM$14:$AM$36,MATCH($Z218,Settings!$AK$14:$AK$36,0))/2),"")</f>
        <v>0.255</v>
      </c>
      <c r="X218" s="162">
        <f t="shared" si="1082"/>
        <v>0.41499999999999992</v>
      </c>
      <c r="Y218" s="75">
        <v>4.226</v>
      </c>
      <c r="Z218" s="917" t="str">
        <f t="shared" si="1083"/>
        <v>CPS-32193r1</v>
      </c>
      <c r="AA218" s="82"/>
      <c r="AB218" s="75"/>
      <c r="AC218" s="75"/>
      <c r="AD218" s="166"/>
      <c r="AE218" s="75">
        <v>3.121</v>
      </c>
      <c r="AF218" s="82">
        <v>3</v>
      </c>
      <c r="AG218" s="82">
        <v>1</v>
      </c>
      <c r="AH218" s="82">
        <v>1</v>
      </c>
      <c r="AI218" s="82">
        <v>0.99999999998544808</v>
      </c>
      <c r="AJ218" s="166">
        <v>3.1211099999999998</v>
      </c>
      <c r="AK218" s="82" t="str">
        <v>Base</v>
      </c>
      <c r="AL218" s="162">
        <v>-21</v>
      </c>
      <c r="AM218" s="162">
        <v>-3.8085869115984403</v>
      </c>
      <c r="AN218" s="162">
        <v>-0.23034726830638205</v>
      </c>
      <c r="AO218" s="162">
        <v>25.946275176386688</v>
      </c>
      <c r="AP218" s="162">
        <v>-17.203971811334654</v>
      </c>
      <c r="AQ218" s="162">
        <v>0</v>
      </c>
      <c r="AR218" s="710" t="str">
        <v>1613 Ripper.par</v>
      </c>
      <c r="AV218" s="82" t="str">
        <v>0,204,0</v>
      </c>
      <c r="AW218" s="947">
        <v>25.946275176386688</v>
      </c>
      <c r="AX218" s="947">
        <v>25.946275176386688</v>
      </c>
      <c r="AY218" s="947">
        <v>0</v>
      </c>
    </row>
    <row r="219" spans="2:51" x14ac:dyDescent="0.25">
      <c r="B219" s="650">
        <v>-1.6235434139114382</v>
      </c>
      <c r="C219" s="651">
        <v>-4.5000894150190582</v>
      </c>
      <c r="D219" s="652">
        <v>-1.2986389817050208</v>
      </c>
      <c r="E219" s="653">
        <v>-0.29964513295383793</v>
      </c>
      <c r="F219" s="651">
        <v>-0.83054747998324641</v>
      </c>
      <c r="G219" s="654">
        <v>0.46947170073451266</v>
      </c>
      <c r="H219" s="653">
        <v>0.25700000000000001</v>
      </c>
      <c r="I219" s="920">
        <v>0.41499999999999992</v>
      </c>
      <c r="J219" s="924">
        <v>4.2320000000000002</v>
      </c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940" t="s">
        <v>423</v>
      </c>
      <c r="M219" s="973">
        <f t="shared" si="1067"/>
        <v>-61.99999104830885</v>
      </c>
      <c r="N219" s="941"/>
      <c r="O219" s="942"/>
      <c r="Q219" s="162">
        <f t="shared" si="1076"/>
        <v>-1.6235434139114382</v>
      </c>
      <c r="R219" s="162">
        <f t="shared" si="1077"/>
        <v>-4.5000894150190582</v>
      </c>
      <c r="S219" s="162">
        <f t="shared" si="1078"/>
        <v>-1.2986389817050208</v>
      </c>
      <c r="T219" s="162">
        <f t="shared" si="1079"/>
        <v>-0.29964513295383793</v>
      </c>
      <c r="U219" s="162">
        <f t="shared" si="1080"/>
        <v>-0.83054747998324641</v>
      </c>
      <c r="V219" s="162">
        <f t="shared" si="1081"/>
        <v>0.46947170073451266</v>
      </c>
      <c r="W219" s="162">
        <f>IFERROR(IF(ISNUMBER(MATCH($Z219,Settings!$AK$28:$AK$36,0)),INDEX(Settings!$AO$14:$AO$36,MATCH($Z219,Settings!$AK$14:$AK$36,0))/2,INDEX(Settings!$AM$14:$AM$36,MATCH($Z219,Settings!$AK$14:$AK$36,0))/2),"")</f>
        <v>0.255</v>
      </c>
      <c r="X219" s="162">
        <f t="shared" si="1082"/>
        <v>0.41499999999999992</v>
      </c>
      <c r="Y219" s="75">
        <v>4.2320000000000002</v>
      </c>
      <c r="Z219" s="917" t="str">
        <f t="shared" si="1083"/>
        <v>CPS-32193r1</v>
      </c>
      <c r="AA219" s="82"/>
      <c r="AB219" s="75"/>
      <c r="AC219" s="75"/>
      <c r="AD219" s="166"/>
      <c r="AE219" s="75">
        <v>3.1150000000000002</v>
      </c>
      <c r="AF219" s="82">
        <v>3</v>
      </c>
      <c r="AG219" s="82">
        <v>1</v>
      </c>
      <c r="AH219" s="82">
        <v>1</v>
      </c>
      <c r="AI219" s="82">
        <v>1.0000000000218279</v>
      </c>
      <c r="AJ219" s="166">
        <v>3.11511</v>
      </c>
      <c r="AK219" s="82" t="str">
        <v>Base</v>
      </c>
      <c r="AL219" s="162">
        <v>-21</v>
      </c>
      <c r="AM219" s="162">
        <v>-3.0667945084187682</v>
      </c>
      <c r="AN219" s="162">
        <v>-3.6559776164521149E-2</v>
      </c>
      <c r="AO219" s="162">
        <v>7.1077563806310833</v>
      </c>
      <c r="AP219" s="162">
        <v>-15.551478149906009</v>
      </c>
      <c r="AQ219" s="162">
        <v>0</v>
      </c>
      <c r="AR219" s="710" t="str">
        <v>1613 Ripper.par</v>
      </c>
      <c r="AV219" s="82" t="str">
        <v>0,204,0</v>
      </c>
      <c r="AW219" s="947">
        <v>7.1077563806310833</v>
      </c>
      <c r="AX219" s="947">
        <v>7.1077563806310833</v>
      </c>
      <c r="AY219" s="947">
        <v>0</v>
      </c>
    </row>
    <row r="220" spans="2:51" x14ac:dyDescent="0.25">
      <c r="B220" s="650">
        <v>-1.6728634681730195</v>
      </c>
      <c r="C220" s="651">
        <v>-4.6972465887168084</v>
      </c>
      <c r="D220" s="652">
        <v>-2.0285278777360891</v>
      </c>
      <c r="E220" s="653">
        <v>-0.33299517787717076</v>
      </c>
      <c r="F220" s="651">
        <v>-0.9350197987472042</v>
      </c>
      <c r="G220" s="654">
        <v>0.12186955100142652</v>
      </c>
      <c r="H220" s="653">
        <v>0.25700000000000001</v>
      </c>
      <c r="I220" s="920">
        <v>0.41499999999999992</v>
      </c>
      <c r="J220" s="924">
        <v>4.2380000000000004</v>
      </c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940" t="s">
        <v>423</v>
      </c>
      <c r="M220" s="973">
        <f t="shared" si="1067"/>
        <v>-82.999988016284419</v>
      </c>
      <c r="N220" s="941"/>
      <c r="O220" s="942"/>
      <c r="Q220" s="162">
        <f t="shared" si="1076"/>
        <v>-1.6728634681730195</v>
      </c>
      <c r="R220" s="162">
        <f t="shared" si="1077"/>
        <v>-4.6972465887168084</v>
      </c>
      <c r="S220" s="162">
        <f t="shared" si="1078"/>
        <v>-2.0285278777360891</v>
      </c>
      <c r="T220" s="162">
        <f t="shared" si="1079"/>
        <v>-0.33299517787717076</v>
      </c>
      <c r="U220" s="162">
        <f t="shared" si="1080"/>
        <v>-0.9350197987472042</v>
      </c>
      <c r="V220" s="162">
        <f t="shared" si="1081"/>
        <v>0.12186955100142652</v>
      </c>
      <c r="W220" s="162">
        <f>IFERROR(IF(ISNUMBER(MATCH($Z220,Settings!$AK$28:$AK$36,0)),INDEX(Settings!$AO$14:$AO$36,MATCH($Z220,Settings!$AK$14:$AK$36,0))/2,INDEX(Settings!$AM$14:$AM$36,MATCH($Z220,Settings!$AK$14:$AK$36,0))/2),"")</f>
        <v>0.255</v>
      </c>
      <c r="X220" s="162">
        <f t="shared" si="1082"/>
        <v>0.41499999999999992</v>
      </c>
      <c r="Y220" s="75">
        <v>4.2380000000000004</v>
      </c>
      <c r="Z220" s="917" t="str">
        <f t="shared" si="1083"/>
        <v>CPS-32193r1</v>
      </c>
      <c r="AA220" s="82"/>
      <c r="AB220" s="75"/>
      <c r="AC220" s="75"/>
      <c r="AD220" s="166"/>
      <c r="AE220" s="75">
        <v>3.109</v>
      </c>
      <c r="AF220" s="82">
        <v>3</v>
      </c>
      <c r="AG220" s="82">
        <v>1</v>
      </c>
      <c r="AH220" s="82">
        <v>1</v>
      </c>
      <c r="AI220" s="82">
        <v>0.99999999998544808</v>
      </c>
      <c r="AJ220" s="166">
        <v>3.1091099999999998</v>
      </c>
      <c r="AK220" s="82" t="str">
        <v>Base</v>
      </c>
      <c r="AL220" s="162">
        <v>-21</v>
      </c>
      <c r="AM220" s="162">
        <v>-2.3048937266229794</v>
      </c>
      <c r="AN220" s="162">
        <v>-0.11870815368636566</v>
      </c>
      <c r="AO220" s="162">
        <v>-11.754573914654843</v>
      </c>
      <c r="AP220" s="162">
        <v>-15.090629431527974</v>
      </c>
      <c r="AQ220" s="162">
        <v>0</v>
      </c>
      <c r="AR220" s="710" t="str">
        <v>1613 Ripper.par</v>
      </c>
      <c r="AV220" s="82" t="str">
        <v>0,204,0</v>
      </c>
      <c r="AW220" s="947">
        <v>-11.754573914654843</v>
      </c>
      <c r="AX220" s="947">
        <v>-11.754573914654843</v>
      </c>
      <c r="AY220" s="947">
        <v>0</v>
      </c>
    </row>
    <row r="221" spans="2:51" x14ac:dyDescent="0.25">
      <c r="B221" s="650">
        <v>-1.6839692611181216</v>
      </c>
      <c r="C221" s="651">
        <v>-4.7300561551938678</v>
      </c>
      <c r="D221" s="652">
        <v>-2.782242554641229</v>
      </c>
      <c r="E221" s="653">
        <v>-0.33539359772687627</v>
      </c>
      <c r="F221" s="651">
        <v>-0.94207809368638384</v>
      </c>
      <c r="G221" s="654">
        <v>2.2679489686261436E-7</v>
      </c>
      <c r="H221" s="653">
        <v>0.25700000000000001</v>
      </c>
      <c r="I221" s="920">
        <v>0.41499999999999992</v>
      </c>
      <c r="J221" s="924">
        <v>4.2439999999999998</v>
      </c>
      <c r="K221" s="790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CPS-32193r1</v>
      </c>
      <c r="L221" s="940" t="s">
        <v>423</v>
      </c>
      <c r="M221" s="973">
        <f t="shared" si="1067"/>
        <v>-89.999987005609597</v>
      </c>
      <c r="N221" s="941"/>
      <c r="O221" s="942"/>
      <c r="Q221" s="162">
        <f t="shared" si="1076"/>
        <v>-1.6839692611181216</v>
      </c>
      <c r="R221" s="162">
        <f t="shared" si="1077"/>
        <v>-4.7300561551938678</v>
      </c>
      <c r="S221" s="162">
        <f t="shared" si="1078"/>
        <v>-2.782242554641229</v>
      </c>
      <c r="T221" s="162">
        <f t="shared" si="1079"/>
        <v>-0.33539359772687627</v>
      </c>
      <c r="U221" s="162">
        <f t="shared" si="1080"/>
        <v>-0.94207809368638384</v>
      </c>
      <c r="V221" s="162">
        <f t="shared" si="1081"/>
        <v>2.2679489686261436E-7</v>
      </c>
      <c r="W221" s="162">
        <f>IFERROR(IF(ISNUMBER(MATCH($Z221,Settings!$AK$28:$AK$36,0)),INDEX(Settings!$AO$14:$AO$36,MATCH($Z221,Settings!$AK$14:$AK$36,0))/2,INDEX(Settings!$AM$14:$AM$36,MATCH($Z221,Settings!$AK$14:$AK$36,0))/2),"")</f>
        <v>0.255</v>
      </c>
      <c r="X221" s="162">
        <f t="shared" si="1082"/>
        <v>0.41499999999999992</v>
      </c>
      <c r="Y221" s="75">
        <v>4.2439999999999998</v>
      </c>
      <c r="Z221" s="917" t="str">
        <f t="shared" si="1083"/>
        <v>CPS-32193r1</v>
      </c>
      <c r="AA221" s="82"/>
      <c r="AB221" s="75"/>
      <c r="AC221" s="75"/>
      <c r="AD221" s="166"/>
      <c r="AE221" s="75">
        <v>3.1059999999999999</v>
      </c>
      <c r="AF221" s="82">
        <v>3</v>
      </c>
      <c r="AG221" s="82">
        <v>1</v>
      </c>
      <c r="AH221" s="82">
        <v>1</v>
      </c>
      <c r="AI221" s="82">
        <v>0.99999999998544808</v>
      </c>
      <c r="AJ221" s="166">
        <v>3.1061099999999997</v>
      </c>
      <c r="AK221" s="82" t="str">
        <v>Base</v>
      </c>
      <c r="AL221" s="162">
        <v>-21</v>
      </c>
      <c r="AM221" s="162">
        <v>-1.6077246308135538</v>
      </c>
      <c r="AN221" s="162">
        <v>-0.30545143194307378</v>
      </c>
      <c r="AO221" s="162">
        <v>-12.508515021959289</v>
      </c>
      <c r="AP221" s="162">
        <v>-15.134396576192788</v>
      </c>
      <c r="AQ221" s="162">
        <v>0</v>
      </c>
      <c r="AR221" s="710" t="str">
        <v>1613 Ripper.par</v>
      </c>
      <c r="AV221" s="82" t="str">
        <v>0,204,0</v>
      </c>
      <c r="AW221" s="947">
        <v>-12.508515021959289</v>
      </c>
      <c r="AX221" s="947">
        <v>-12.508515021959289</v>
      </c>
      <c r="AY221" s="947">
        <v>0</v>
      </c>
    </row>
    <row r="222" spans="2:51" x14ac:dyDescent="0.25">
      <c r="B222" s="650">
        <v>-1.4154041309157765</v>
      </c>
      <c r="C222" s="651">
        <v>-4.9360931109572173</v>
      </c>
      <c r="D222" s="652">
        <v>-9.5000286520864137</v>
      </c>
      <c r="E222" s="653">
        <v>0.56188434598387349</v>
      </c>
      <c r="F222" s="651">
        <v>-0.81965068301290056</v>
      </c>
      <c r="G222" s="654">
        <v>-0.11161872412261628</v>
      </c>
      <c r="H222" s="653">
        <v>0.26600000000000001</v>
      </c>
      <c r="I222" s="920">
        <v>0.52</v>
      </c>
      <c r="J222" s="924">
        <v>4.25</v>
      </c>
      <c r="K222" s="790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1313</v>
      </c>
      <c r="L222" s="940" t="s">
        <v>424</v>
      </c>
      <c r="M222" s="973">
        <f t="shared" si="1067"/>
        <v>-100.03561890671628</v>
      </c>
      <c r="N222" s="941"/>
      <c r="O222" s="942"/>
      <c r="Q222" s="162">
        <f t="shared" si="1076"/>
        <v>-1.4154041309157765</v>
      </c>
      <c r="R222" s="162">
        <f t="shared" si="1077"/>
        <v>-4.9360931109572173</v>
      </c>
      <c r="S222" s="162">
        <f t="shared" si="1078"/>
        <v>-9.5000286520864137</v>
      </c>
      <c r="T222" s="162">
        <f t="shared" si="1079"/>
        <v>0.56188434598387349</v>
      </c>
      <c r="U222" s="162">
        <f t="shared" si="1080"/>
        <v>-0.81965068301290056</v>
      </c>
      <c r="V222" s="162">
        <f t="shared" si="1081"/>
        <v>-0.11161872412261628</v>
      </c>
      <c r="W222" s="162">
        <f>IFERROR(IF(ISNUMBER(MATCH($Z222,Settings!$AK$28:$AK$36,0)),INDEX(Settings!$AO$14:$AO$36,MATCH($Z222,Settings!$AK$14:$AK$36,0))/2,INDEX(Settings!$AM$14:$AM$36,MATCH($Z222,Settings!$AK$14:$AK$36,0))/2),"")</f>
        <v>0.26450000000000001</v>
      </c>
      <c r="X222" s="162">
        <f t="shared" si="1082"/>
        <v>0.52</v>
      </c>
      <c r="Y222" s="75">
        <v>4.25</v>
      </c>
      <c r="Z222" s="917">
        <f t="shared" si="1083"/>
        <v>1313</v>
      </c>
      <c r="AA222" s="82"/>
      <c r="AB222" s="75"/>
      <c r="AC222" s="75"/>
      <c r="AD222" s="166"/>
      <c r="AE222" s="75">
        <v>3.1030000000000002</v>
      </c>
      <c r="AF222" s="82">
        <v>3</v>
      </c>
      <c r="AG222" s="82">
        <v>1</v>
      </c>
      <c r="AH222" s="82">
        <v>1</v>
      </c>
      <c r="AI222" s="82">
        <v>0.99999999998544808</v>
      </c>
      <c r="AJ222" s="166">
        <v>3.10311</v>
      </c>
      <c r="AK222" s="82" t="str">
        <v>Base</v>
      </c>
      <c r="AL222" s="162">
        <v>-21</v>
      </c>
      <c r="AM222" s="162">
        <v>-0.86547604771679154</v>
      </c>
      <c r="AN222" s="162">
        <v>-0.50452156701266715</v>
      </c>
      <c r="AO222" s="162">
        <v>-14.302653650703496</v>
      </c>
      <c r="AP222" s="162">
        <v>-16.268123573021061</v>
      </c>
      <c r="AQ222" s="162">
        <v>0</v>
      </c>
      <c r="AR222" s="710" t="str">
        <v>1613.par</v>
      </c>
      <c r="AV222" s="82" t="str">
        <v>0,204,0</v>
      </c>
      <c r="AW222" s="947">
        <v>-14.302653650703496</v>
      </c>
      <c r="AX222" s="947">
        <v>-14.302653650703496</v>
      </c>
      <c r="AY222" s="947">
        <v>0</v>
      </c>
    </row>
    <row r="223" spans="2:51" x14ac:dyDescent="0.25">
      <c r="B223" s="650">
        <v>-0.52542096527234461</v>
      </c>
      <c r="C223" s="651">
        <v>-0.30335151204810706</v>
      </c>
      <c r="D223" s="652">
        <v>-0.60230363309003598</v>
      </c>
      <c r="E223" s="653">
        <v>0.52207924620628954</v>
      </c>
      <c r="F223" s="651">
        <v>-0.79983493493255087</v>
      </c>
      <c r="G223" s="654">
        <v>0.29613736262436513</v>
      </c>
      <c r="H223" s="653">
        <v>0.314</v>
      </c>
      <c r="I223" s="920">
        <v>0.52</v>
      </c>
      <c r="J223" s="924">
        <v>5.1020000000000003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940" t="s">
        <v>420</v>
      </c>
      <c r="M223" s="973">
        <f t="shared" si="1067"/>
        <v>15.496960293563548</v>
      </c>
      <c r="N223" s="941"/>
      <c r="O223" s="942"/>
      <c r="Q223" s="162">
        <f t="shared" si="1076"/>
        <v>-0.52542096527234461</v>
      </c>
      <c r="R223" s="162">
        <f t="shared" si="1077"/>
        <v>-0.30335151204810706</v>
      </c>
      <c r="S223" s="162">
        <f t="shared" si="1078"/>
        <v>-0.60230363309003598</v>
      </c>
      <c r="T223" s="162">
        <f t="shared" si="1079"/>
        <v>0.52207924620628954</v>
      </c>
      <c r="U223" s="162">
        <f t="shared" si="1080"/>
        <v>-0.79983493493255087</v>
      </c>
      <c r="V223" s="162">
        <f t="shared" si="1081"/>
        <v>0.29613736262436513</v>
      </c>
      <c r="W223" s="162">
        <f>IFERROR(IF(ISNUMBER(MATCH($Z223,Settings!$AK$28:$AK$36,0)),INDEX(Settings!$AO$14:$AO$36,MATCH($Z223,Settings!$AK$14:$AK$36,0))/2,INDEX(Settings!$AM$14:$AM$36,MATCH($Z223,Settings!$AK$14:$AK$36,0))/2),"")</f>
        <v>0.3125</v>
      </c>
      <c r="X223" s="162">
        <f t="shared" si="1082"/>
        <v>0.52</v>
      </c>
      <c r="Y223" s="75">
        <v>5.1020000000000003</v>
      </c>
      <c r="Z223" s="917">
        <f t="shared" si="1083"/>
        <v>1613</v>
      </c>
      <c r="AA223" s="82"/>
      <c r="AB223" s="75"/>
      <c r="AC223" s="75"/>
      <c r="AD223" s="166"/>
      <c r="AE223" s="75">
        <v>2.2519999999999998</v>
      </c>
      <c r="AF223" s="82">
        <v>2</v>
      </c>
      <c r="AG223" s="82">
        <v>2</v>
      </c>
      <c r="AH223" s="82">
        <v>1</v>
      </c>
      <c r="AI223" s="82">
        <v>0.9999999999490683</v>
      </c>
      <c r="AJ223" s="166">
        <v>2.2521099999999996</v>
      </c>
      <c r="AK223" s="82" t="str">
        <v>Base</v>
      </c>
      <c r="AL223" s="162">
        <v>-20.25</v>
      </c>
      <c r="AM223" s="162">
        <v>-5.1223779559634774</v>
      </c>
      <c r="AN223" s="162">
        <v>-9.5113916142871453</v>
      </c>
      <c r="AO223" s="162">
        <v>100.03561890671624</v>
      </c>
      <c r="AP223" s="162">
        <v>-39.831236627249659</v>
      </c>
      <c r="AQ223" s="162">
        <v>0</v>
      </c>
      <c r="AR223" s="710" t="str">
        <v>1313.par</v>
      </c>
      <c r="AV223" s="82" t="str">
        <v>255,255,91</v>
      </c>
      <c r="AW223" s="947">
        <v>100.03561890671624</v>
      </c>
      <c r="AX223" s="947">
        <v>100.03561890671624</v>
      </c>
      <c r="AY223" s="947">
        <v>0</v>
      </c>
    </row>
    <row r="224" spans="2:51" x14ac:dyDescent="0.25">
      <c r="B224" s="650">
        <v>-1.1814393947989663</v>
      </c>
      <c r="C224" s="651">
        <v>-0.68210339992752245</v>
      </c>
      <c r="D224" s="652">
        <v>-0.39930240858849636</v>
      </c>
      <c r="E224" s="653">
        <v>0.52188458828136786</v>
      </c>
      <c r="F224" s="651">
        <v>-0.81404491809935031</v>
      </c>
      <c r="G224" s="654">
        <v>0.25488693146375618</v>
      </c>
      <c r="H224" s="653">
        <v>0.314</v>
      </c>
      <c r="I224" s="920">
        <v>0.52</v>
      </c>
      <c r="J224" s="924">
        <v>5.1050000000000004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940" t="s">
        <v>422</v>
      </c>
      <c r="M224" s="973">
        <f t="shared" si="1067"/>
        <v>12.949138827495569</v>
      </c>
      <c r="N224" s="941"/>
      <c r="O224" s="942"/>
      <c r="Q224" s="162">
        <f t="shared" si="1076"/>
        <v>-1.1814393947989663</v>
      </c>
      <c r="R224" s="162">
        <f t="shared" si="1077"/>
        <v>-0.68210339992752245</v>
      </c>
      <c r="S224" s="162">
        <f t="shared" si="1078"/>
        <v>-0.39930240858849636</v>
      </c>
      <c r="T224" s="162">
        <f t="shared" si="1079"/>
        <v>0.52188458828136786</v>
      </c>
      <c r="U224" s="162">
        <f t="shared" si="1080"/>
        <v>-0.81404491809935031</v>
      </c>
      <c r="V224" s="162">
        <f t="shared" si="1081"/>
        <v>0.25488693146375618</v>
      </c>
      <c r="W224" s="162">
        <f>IFERROR(IF(ISNUMBER(MATCH($Z224,Settings!$AK$28:$AK$36,0)),INDEX(Settings!$AO$14:$AO$36,MATCH($Z224,Settings!$AK$14:$AK$36,0))/2,INDEX(Settings!$AM$14:$AM$36,MATCH($Z224,Settings!$AK$14:$AK$36,0))/2),"")</f>
        <v>0.3125</v>
      </c>
      <c r="X224" s="162">
        <f t="shared" si="1082"/>
        <v>0.52</v>
      </c>
      <c r="Y224" s="75">
        <v>5.1050000000000004</v>
      </c>
      <c r="Z224" s="917">
        <f t="shared" si="1083"/>
        <v>1613</v>
      </c>
      <c r="AA224" s="82"/>
      <c r="AB224" s="75"/>
      <c r="AC224" s="75"/>
      <c r="AD224" s="166"/>
      <c r="AE224" s="75">
        <v>2.246</v>
      </c>
      <c r="AF224" s="82">
        <v>2</v>
      </c>
      <c r="AG224" s="82">
        <v>2</v>
      </c>
      <c r="AH224" s="82">
        <v>1</v>
      </c>
      <c r="AI224" s="82">
        <v>0.99999999998544808</v>
      </c>
      <c r="AJ224" s="166">
        <v>2.2461099999999998</v>
      </c>
      <c r="AK224" s="82" t="str">
        <v>Base</v>
      </c>
      <c r="AL224" s="162">
        <v>-20.25</v>
      </c>
      <c r="AM224" s="162">
        <v>-5.0208747946625891</v>
      </c>
      <c r="AN224" s="162">
        <v>-3.0119990909614658</v>
      </c>
      <c r="AO224" s="162">
        <v>89.999987005609626</v>
      </c>
      <c r="AP224" s="162">
        <v>0</v>
      </c>
      <c r="AQ224" s="162">
        <v>0</v>
      </c>
      <c r="AR224" s="710" t="str">
        <v>32193r1.par</v>
      </c>
      <c r="AV224" s="82" t="str">
        <v>255,255,91</v>
      </c>
      <c r="AW224" s="947">
        <v>89.999987005609626</v>
      </c>
      <c r="AX224" s="947">
        <v>89.999987005609626</v>
      </c>
      <c r="AY224" s="947">
        <v>0</v>
      </c>
    </row>
    <row r="225" spans="2:51" x14ac:dyDescent="0.25">
      <c r="B225" s="650">
        <v>-1.7983132262865056</v>
      </c>
      <c r="C225" s="651">
        <v>-1.0382551751572342</v>
      </c>
      <c r="D225" s="652">
        <v>-0.20850125767768982</v>
      </c>
      <c r="E225" s="653">
        <v>0.52188458828136786</v>
      </c>
      <c r="F225" s="651">
        <v>-0.81404491809934998</v>
      </c>
      <c r="G225" s="654">
        <v>0.25488693146375652</v>
      </c>
      <c r="H225" s="653">
        <v>0.314</v>
      </c>
      <c r="I225" s="920">
        <v>0.52</v>
      </c>
      <c r="J225" s="924">
        <v>5.1079999999999997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940" t="s">
        <v>422</v>
      </c>
      <c r="M225" s="973">
        <f t="shared" si="1067"/>
        <v>11.945289726695552</v>
      </c>
      <c r="N225" s="941"/>
      <c r="O225" s="942"/>
      <c r="Q225" s="162">
        <f t="shared" si="1076"/>
        <v>-1.7983132262865056</v>
      </c>
      <c r="R225" s="162">
        <f t="shared" si="1077"/>
        <v>-1.0382551751572342</v>
      </c>
      <c r="S225" s="162">
        <f t="shared" si="1078"/>
        <v>-0.20850125767768982</v>
      </c>
      <c r="T225" s="162">
        <f t="shared" si="1079"/>
        <v>0.52188458828136786</v>
      </c>
      <c r="U225" s="162">
        <f t="shared" si="1080"/>
        <v>-0.81404491809934998</v>
      </c>
      <c r="V225" s="162">
        <f t="shared" si="1081"/>
        <v>0.25488693146375652</v>
      </c>
      <c r="W225" s="162">
        <f>IFERROR(IF(ISNUMBER(MATCH($Z225,Settings!$AK$28:$AK$36,0)),INDEX(Settings!$AO$14:$AO$36,MATCH($Z225,Settings!$AK$14:$AK$36,0))/2,INDEX(Settings!$AM$14:$AM$36,MATCH($Z225,Settings!$AK$14:$AK$36,0))/2),"")</f>
        <v>0.3125</v>
      </c>
      <c r="X225" s="162">
        <f t="shared" si="1082"/>
        <v>0.52</v>
      </c>
      <c r="Y225" s="75">
        <v>5.1079999999999997</v>
      </c>
      <c r="Z225" s="917">
        <f t="shared" si="1083"/>
        <v>1613</v>
      </c>
      <c r="AA225" s="82"/>
      <c r="AB225" s="75"/>
      <c r="AC225" s="75"/>
      <c r="AD225" s="166"/>
      <c r="AE225" s="75">
        <v>2.2400000000000002</v>
      </c>
      <c r="AF225" s="82">
        <v>2</v>
      </c>
      <c r="AG225" s="82">
        <v>2</v>
      </c>
      <c r="AH225" s="82">
        <v>1</v>
      </c>
      <c r="AI225" s="82">
        <v>1.0000000000218279</v>
      </c>
      <c r="AJ225" s="166">
        <v>2.24011</v>
      </c>
      <c r="AK225" s="82" t="str">
        <v>Base</v>
      </c>
      <c r="AL225" s="162">
        <v>-20.25</v>
      </c>
      <c r="AM225" s="162">
        <v>-4.9927899012947679</v>
      </c>
      <c r="AN225" s="162">
        <v>-2.2606126697968403</v>
      </c>
      <c r="AO225" s="162">
        <v>89.999987005609611</v>
      </c>
      <c r="AP225" s="162">
        <v>0</v>
      </c>
      <c r="AQ225" s="162">
        <v>0</v>
      </c>
      <c r="AR225" s="710" t="str">
        <v>32193r1.par</v>
      </c>
      <c r="AV225" s="82" t="str">
        <v>255,255,91</v>
      </c>
      <c r="AW225" s="947">
        <v>89.999987005609611</v>
      </c>
      <c r="AX225" s="947">
        <v>89.999987005609611</v>
      </c>
      <c r="AY225" s="947">
        <v>0</v>
      </c>
    </row>
    <row r="226" spans="2:51" x14ac:dyDescent="0.25">
      <c r="B226" s="650">
        <v>-2.433546913491492</v>
      </c>
      <c r="C226" s="651">
        <v>-1.4050070032226485</v>
      </c>
      <c r="D226" s="652">
        <v>-6.200037398569206E-2</v>
      </c>
      <c r="E226" s="653">
        <v>0.4729859531345994</v>
      </c>
      <c r="F226" s="651">
        <v>-0.84016292650000401</v>
      </c>
      <c r="G226" s="654">
        <v>0.26534985410266115</v>
      </c>
      <c r="H226" s="653">
        <v>0.314</v>
      </c>
      <c r="I226" s="920">
        <v>0.52</v>
      </c>
      <c r="J226" s="924">
        <v>5.1130000000000004</v>
      </c>
      <c r="K226" s="790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940" t="s">
        <v>422</v>
      </c>
      <c r="M226" s="973">
        <f t="shared" si="1067"/>
        <v>-0.8306004126858153</v>
      </c>
      <c r="N226" s="941"/>
      <c r="O226" s="942"/>
      <c r="Q226" s="162">
        <f t="shared" si="1076"/>
        <v>-2.433546913491492</v>
      </c>
      <c r="R226" s="162">
        <f t="shared" si="1077"/>
        <v>-1.4050070032226485</v>
      </c>
      <c r="S226" s="162">
        <f t="shared" si="1078"/>
        <v>-6.200037398569206E-2</v>
      </c>
      <c r="T226" s="162">
        <f t="shared" si="1079"/>
        <v>0.4729859531345994</v>
      </c>
      <c r="U226" s="162">
        <f t="shared" si="1080"/>
        <v>-0.84016292650000401</v>
      </c>
      <c r="V226" s="162">
        <f t="shared" si="1081"/>
        <v>0.26534985410266115</v>
      </c>
      <c r="W226" s="162">
        <f>IFERROR(IF(ISNUMBER(MATCH($Z226,Settings!$AK$28:$AK$36,0)),INDEX(Settings!$AO$14:$AO$36,MATCH($Z226,Settings!$AK$14:$AK$36,0))/2,INDEX(Settings!$AM$14:$AM$36,MATCH($Z226,Settings!$AK$14:$AK$36,0))/2),"")</f>
        <v>0.3125</v>
      </c>
      <c r="X226" s="162">
        <f t="shared" si="1082"/>
        <v>0.52</v>
      </c>
      <c r="Y226" s="75">
        <v>5.1130000000000004</v>
      </c>
      <c r="Z226" s="917">
        <f t="shared" si="1083"/>
        <v>1613</v>
      </c>
      <c r="AA226" s="82"/>
      <c r="AB226" s="75"/>
      <c r="AC226" s="75"/>
      <c r="AD226" s="166"/>
      <c r="AE226" s="75">
        <v>2.234</v>
      </c>
      <c r="AF226" s="82">
        <v>2</v>
      </c>
      <c r="AG226" s="82">
        <v>2</v>
      </c>
      <c r="AH226" s="82">
        <v>1</v>
      </c>
      <c r="AI226" s="82">
        <v>0.99999999998544808</v>
      </c>
      <c r="AJ226" s="166">
        <v>2.2341099999999998</v>
      </c>
      <c r="AK226" s="82" t="str">
        <v>Base</v>
      </c>
      <c r="AL226" s="162">
        <v>-20.25</v>
      </c>
      <c r="AM226" s="162">
        <v>-4.8811717254525888</v>
      </c>
      <c r="AN226" s="162">
        <v>-1.5119940134249308</v>
      </c>
      <c r="AO226" s="162">
        <v>68.999990037634035</v>
      </c>
      <c r="AP226" s="162">
        <v>0</v>
      </c>
      <c r="AQ226" s="162">
        <v>0</v>
      </c>
      <c r="AR226" s="710" t="str">
        <v>32193r1.par</v>
      </c>
      <c r="AV226" s="82" t="str">
        <v>255,255,91</v>
      </c>
      <c r="AW226" s="947">
        <v>68.999990037634035</v>
      </c>
      <c r="AX226" s="947">
        <v>68.999990037634035</v>
      </c>
      <c r="AY226" s="947">
        <v>0</v>
      </c>
    </row>
    <row r="227" spans="2:51" x14ac:dyDescent="0.25">
      <c r="B227" s="650">
        <v>-3.1019798992109444</v>
      </c>
      <c r="C227" s="651">
        <v>-1.7707709777413225</v>
      </c>
      <c r="D227" s="652">
        <v>-0.16450099226848927</v>
      </c>
      <c r="E227" s="653">
        <v>0.39215606331702602</v>
      </c>
      <c r="F227" s="651">
        <v>-0.88299627629700173</v>
      </c>
      <c r="G227" s="654">
        <v>0.25793642249461746</v>
      </c>
      <c r="H227" s="653">
        <v>0.314</v>
      </c>
      <c r="I227" s="920">
        <v>0.52</v>
      </c>
      <c r="J227" s="924">
        <v>5.1189999999999998</v>
      </c>
      <c r="K227" s="790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940" t="s">
        <v>422</v>
      </c>
      <c r="M227" s="973">
        <f t="shared" si="1067"/>
        <v>-19.63131247542724</v>
      </c>
      <c r="N227" s="941"/>
      <c r="O227" s="942"/>
      <c r="Q227" s="162">
        <f t="shared" si="1076"/>
        <v>-3.1019798992109444</v>
      </c>
      <c r="R227" s="162">
        <f t="shared" si="1077"/>
        <v>-1.7707709777413225</v>
      </c>
      <c r="S227" s="162">
        <f t="shared" si="1078"/>
        <v>-0.16450099226848927</v>
      </c>
      <c r="T227" s="162">
        <f t="shared" si="1079"/>
        <v>0.39215606331702602</v>
      </c>
      <c r="U227" s="162">
        <f t="shared" si="1080"/>
        <v>-0.88299627629700173</v>
      </c>
      <c r="V227" s="162">
        <f t="shared" si="1081"/>
        <v>0.25793642249461746</v>
      </c>
      <c r="W227" s="162">
        <f>IFERROR(IF(ISNUMBER(MATCH($Z227,Settings!$AK$28:$AK$36,0)),INDEX(Settings!$AO$14:$AO$36,MATCH($Z227,Settings!$AK$14:$AK$36,0))/2,INDEX(Settings!$AM$14:$AM$36,MATCH($Z227,Settings!$AK$14:$AK$36,0))/2),"")</f>
        <v>0.3125</v>
      </c>
      <c r="X227" s="162">
        <f t="shared" si="1082"/>
        <v>0.52</v>
      </c>
      <c r="Y227" s="75">
        <v>5.1189999999999998</v>
      </c>
      <c r="Z227" s="917">
        <f t="shared" si="1083"/>
        <v>1613</v>
      </c>
      <c r="AA227" s="82"/>
      <c r="AB227" s="75"/>
      <c r="AC227" s="75"/>
      <c r="AD227" s="166"/>
      <c r="AE227" s="75">
        <v>2.2280000000000002</v>
      </c>
      <c r="AF227" s="82">
        <v>2</v>
      </c>
      <c r="AG227" s="82">
        <v>2</v>
      </c>
      <c r="AH227" s="82">
        <v>1</v>
      </c>
      <c r="AI227" s="82">
        <v>0.99999999998544808</v>
      </c>
      <c r="AJ227" s="166">
        <v>2.22811</v>
      </c>
      <c r="AK227" s="82" t="str">
        <v>Base</v>
      </c>
      <c r="AL227" s="162">
        <v>-20.25</v>
      </c>
      <c r="AM227" s="162">
        <v>-4.5041623974577867</v>
      </c>
      <c r="AN227" s="162">
        <v>-0.84833759391857855</v>
      </c>
      <c r="AO227" s="162">
        <v>47.999993069658451</v>
      </c>
      <c r="AP227" s="162">
        <v>0</v>
      </c>
      <c r="AQ227" s="162">
        <v>0</v>
      </c>
      <c r="AR227" s="710" t="str">
        <v>32193r1.par</v>
      </c>
      <c r="AV227" s="82" t="str">
        <v>255,255,91</v>
      </c>
      <c r="AW227" s="947">
        <v>47.999993069658451</v>
      </c>
      <c r="AX227" s="947">
        <v>47.999993069658451</v>
      </c>
      <c r="AY227" s="947">
        <v>0</v>
      </c>
    </row>
    <row r="228" spans="2:51" x14ac:dyDescent="0.25">
      <c r="B228" s="650">
        <v>-3.7141692655913081</v>
      </c>
      <c r="C228" s="651">
        <v>-2.0600660492200644</v>
      </c>
      <c r="D228" s="652">
        <v>-0.53120320421289569</v>
      </c>
      <c r="E228" s="653">
        <v>0.26749517746143076</v>
      </c>
      <c r="F228" s="651">
        <v>-0.92622807932579221</v>
      </c>
      <c r="G228" s="654">
        <v>0.26560849968201672</v>
      </c>
      <c r="H228" s="653">
        <v>0.314</v>
      </c>
      <c r="I228" s="920">
        <v>0.52</v>
      </c>
      <c r="J228" s="924">
        <v>5.125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940" t="s">
        <v>420</v>
      </c>
      <c r="M228" s="973">
        <f t="shared" si="1067"/>
        <v>-38.485986851085471</v>
      </c>
      <c r="N228" s="941"/>
      <c r="O228" s="942"/>
      <c r="Q228" s="162">
        <f t="shared" si="1076"/>
        <v>-3.7141692655913081</v>
      </c>
      <c r="R228" s="162">
        <f t="shared" si="1077"/>
        <v>-2.0600660492200644</v>
      </c>
      <c r="S228" s="162">
        <f t="shared" si="1078"/>
        <v>-0.53120320421289569</v>
      </c>
      <c r="T228" s="162">
        <f t="shared" si="1079"/>
        <v>0.26749517746143076</v>
      </c>
      <c r="U228" s="162">
        <f t="shared" si="1080"/>
        <v>-0.92622807932579221</v>
      </c>
      <c r="V228" s="162">
        <f t="shared" si="1081"/>
        <v>0.26560849968201672</v>
      </c>
      <c r="W228" s="162">
        <f>IFERROR(IF(ISNUMBER(MATCH($Z228,Settings!$AK$28:$AK$36,0)),INDEX(Settings!$AO$14:$AO$36,MATCH($Z228,Settings!$AK$14:$AK$36,0))/2,INDEX(Settings!$AM$14:$AM$36,MATCH($Z228,Settings!$AK$14:$AK$36,0))/2),"")</f>
        <v>0.3125</v>
      </c>
      <c r="X228" s="162">
        <f t="shared" si="1082"/>
        <v>0.52</v>
      </c>
      <c r="Y228" s="75">
        <v>5.125</v>
      </c>
      <c r="Z228" s="917">
        <f t="shared" si="1083"/>
        <v>1613</v>
      </c>
      <c r="AA228" s="82"/>
      <c r="AB228" s="75"/>
      <c r="AC228" s="75"/>
      <c r="AD228" s="166"/>
      <c r="AE228" s="75">
        <v>2.222</v>
      </c>
      <c r="AF228" s="82">
        <v>2</v>
      </c>
      <c r="AG228" s="82">
        <v>2</v>
      </c>
      <c r="AH228" s="82">
        <v>1</v>
      </c>
      <c r="AI228" s="82">
        <v>0.99999999998544808</v>
      </c>
      <c r="AJ228" s="166">
        <v>2.2221099999999998</v>
      </c>
      <c r="AK228" s="82" t="str">
        <v>Base</v>
      </c>
      <c r="AL228" s="162">
        <v>-20.25</v>
      </c>
      <c r="AM228" s="162">
        <v>-3.9192729222602507</v>
      </c>
      <c r="AN228" s="162">
        <v>-0.36919382922976668</v>
      </c>
      <c r="AO228" s="162">
        <v>26.999996101682878</v>
      </c>
      <c r="AP228" s="162">
        <v>0</v>
      </c>
      <c r="AQ228" s="162">
        <v>0</v>
      </c>
      <c r="AR228" s="710" t="str">
        <v>32193r1.par</v>
      </c>
      <c r="AV228" s="82" t="str">
        <v>255,255,91</v>
      </c>
      <c r="AW228" s="947">
        <v>26.999996101682878</v>
      </c>
      <c r="AX228" s="947">
        <v>26.999996101682878</v>
      </c>
      <c r="AY228" s="947">
        <v>0</v>
      </c>
    </row>
    <row r="229" spans="2:51" x14ac:dyDescent="0.25">
      <c r="B229" s="650">
        <v>-4.1796290948742891</v>
      </c>
      <c r="C229" s="651">
        <v>-2.252659893584295</v>
      </c>
      <c r="D229" s="652">
        <v>-1.1143067214880087</v>
      </c>
      <c r="E229" s="653">
        <v>0.13188907511856623</v>
      </c>
      <c r="F229" s="651">
        <v>-0.96678633895088661</v>
      </c>
      <c r="G229" s="654">
        <v>0.21892794860937828</v>
      </c>
      <c r="H229" s="653">
        <v>0.314</v>
      </c>
      <c r="I229" s="920">
        <v>0.52</v>
      </c>
      <c r="J229" s="924">
        <v>5.1310000000000002</v>
      </c>
      <c r="K229" s="790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940" t="s">
        <v>420</v>
      </c>
      <c r="M229" s="973">
        <f t="shared" ref="M229:M253" si="1084">AN74</f>
        <v>-57.149982620263913</v>
      </c>
      <c r="N229" s="941"/>
      <c r="O229" s="942"/>
      <c r="Q229" s="162">
        <f t="shared" si="1076"/>
        <v>-4.1796290948742891</v>
      </c>
      <c r="R229" s="162">
        <f t="shared" si="1077"/>
        <v>-2.252659893584295</v>
      </c>
      <c r="S229" s="162">
        <f t="shared" si="1078"/>
        <v>-1.1143067214880087</v>
      </c>
      <c r="T229" s="162">
        <f t="shared" si="1079"/>
        <v>0.13188907511856623</v>
      </c>
      <c r="U229" s="162">
        <f t="shared" si="1080"/>
        <v>-0.96678633895088661</v>
      </c>
      <c r="V229" s="162">
        <f t="shared" si="1081"/>
        <v>0.21892794860937828</v>
      </c>
      <c r="W229" s="162">
        <f>IFERROR(IF(ISNUMBER(MATCH($Z229,Settings!$AK$28:$AK$36,0)),INDEX(Settings!$AO$14:$AO$36,MATCH($Z229,Settings!$AK$14:$AK$36,0))/2,INDEX(Settings!$AM$14:$AM$36,MATCH($Z229,Settings!$AK$14:$AK$36,0))/2),"")</f>
        <v>0.3125</v>
      </c>
      <c r="X229" s="162">
        <f t="shared" si="1082"/>
        <v>0.52</v>
      </c>
      <c r="Y229" s="75">
        <v>5.1310000000000002</v>
      </c>
      <c r="Z229" s="917">
        <f t="shared" si="1083"/>
        <v>1613</v>
      </c>
      <c r="AA229" s="82"/>
      <c r="AB229" s="75"/>
      <c r="AC229" s="75"/>
      <c r="AD229" s="166"/>
      <c r="AE229" s="75">
        <v>2.2160000000000002</v>
      </c>
      <c r="AF229" s="82">
        <v>2</v>
      </c>
      <c r="AG229" s="82">
        <v>2</v>
      </c>
      <c r="AH229" s="82">
        <v>1</v>
      </c>
      <c r="AI229" s="82">
        <v>0.99999999998544808</v>
      </c>
      <c r="AJ229" s="166">
        <v>2.21611</v>
      </c>
      <c r="AK229" s="82" t="str">
        <v>Base</v>
      </c>
      <c r="AL229" s="162">
        <v>-20.25</v>
      </c>
      <c r="AM229" s="162">
        <v>-3.1937190736100054</v>
      </c>
      <c r="AN229" s="162">
        <v>-0.1318237392202031</v>
      </c>
      <c r="AO229" s="162">
        <v>5.9999991337073082</v>
      </c>
      <c r="AP229" s="162">
        <v>0</v>
      </c>
      <c r="AQ229" s="162">
        <v>0</v>
      </c>
      <c r="AR229" s="710" t="str">
        <v>32193r1.par</v>
      </c>
      <c r="AV229" s="82" t="str">
        <v>255,255,91</v>
      </c>
      <c r="AW229" s="947">
        <v>5.9999991337073082</v>
      </c>
      <c r="AX229" s="947">
        <v>5.9999991337073082</v>
      </c>
      <c r="AY229" s="947">
        <v>0</v>
      </c>
    </row>
    <row r="230" spans="2:51" x14ac:dyDescent="0.25">
      <c r="B230" s="650">
        <v>-4.4256856854073847</v>
      </c>
      <c r="C230" s="651">
        <v>-2.3453538233587059</v>
      </c>
      <c r="D230" s="652">
        <v>-1.8373110826437384</v>
      </c>
      <c r="E230" s="653">
        <v>1.1564149540854851E-2</v>
      </c>
      <c r="F230" s="651">
        <v>-0.99329221137281176</v>
      </c>
      <c r="G230" s="654">
        <v>0.11505152442061059</v>
      </c>
      <c r="H230" s="653">
        <v>0.314</v>
      </c>
      <c r="I230" s="920">
        <v>0.52</v>
      </c>
      <c r="J230" s="924">
        <v>5.1369999999999996</v>
      </c>
      <c r="K230" s="790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940" t="s">
        <v>420</v>
      </c>
      <c r="M230" s="973">
        <f t="shared" si="1084"/>
        <v>-75.712346529077777</v>
      </c>
      <c r="N230" s="941"/>
      <c r="O230" s="942"/>
      <c r="Q230" s="162">
        <f t="shared" si="1076"/>
        <v>-4.4256856854073847</v>
      </c>
      <c r="R230" s="162">
        <f t="shared" si="1077"/>
        <v>-2.3453538233587059</v>
      </c>
      <c r="S230" s="162">
        <f t="shared" si="1078"/>
        <v>-1.8373110826437384</v>
      </c>
      <c r="T230" s="162">
        <f t="shared" si="1079"/>
        <v>1.1564149540854851E-2</v>
      </c>
      <c r="U230" s="162">
        <f t="shared" si="1080"/>
        <v>-0.99329221137281176</v>
      </c>
      <c r="V230" s="162">
        <f t="shared" si="1081"/>
        <v>0.11505152442061059</v>
      </c>
      <c r="W230" s="162">
        <f>IFERROR(IF(ISNUMBER(MATCH($Z230,Settings!$AK$28:$AK$36,0)),INDEX(Settings!$AO$14:$AO$36,MATCH($Z230,Settings!$AK$14:$AK$36,0))/2,INDEX(Settings!$AM$14:$AM$36,MATCH($Z230,Settings!$AK$14:$AK$36,0))/2),"")</f>
        <v>0.3125</v>
      </c>
      <c r="X230" s="162">
        <f t="shared" si="1082"/>
        <v>0.52</v>
      </c>
      <c r="Y230" s="75">
        <v>5.1369999999999996</v>
      </c>
      <c r="Z230" s="917">
        <f t="shared" si="1083"/>
        <v>1613</v>
      </c>
      <c r="AA230" s="82"/>
      <c r="AB230" s="75"/>
      <c r="AC230" s="75"/>
      <c r="AD230" s="166"/>
      <c r="AE230" s="75">
        <v>2.1459999999999999</v>
      </c>
      <c r="AF230" s="82">
        <v>2</v>
      </c>
      <c r="AG230" s="82">
        <v>1</v>
      </c>
      <c r="AH230" s="82">
        <v>1</v>
      </c>
      <c r="AI230" s="82">
        <v>0.99999999998544808</v>
      </c>
      <c r="AJ230" s="166">
        <v>2.1461099999999997</v>
      </c>
      <c r="AK230" s="82" t="str">
        <v>Base</v>
      </c>
      <c r="AL230" s="162">
        <v>-19.5</v>
      </c>
      <c r="AM230" s="162">
        <v>-5.0550887932628417</v>
      </c>
      <c r="AN230" s="162">
        <v>-2.9917336784182873</v>
      </c>
      <c r="AO230" s="162">
        <v>84.97011741683842</v>
      </c>
      <c r="AP230" s="162">
        <v>-29.785208788526894</v>
      </c>
      <c r="AQ230" s="162">
        <v>0</v>
      </c>
      <c r="AR230" s="710" t="str">
        <v>1613.par</v>
      </c>
      <c r="AV230" s="82" t="str">
        <v>204,204,0</v>
      </c>
      <c r="AW230" s="947">
        <v>84.97011741683842</v>
      </c>
      <c r="AX230" s="947">
        <v>84.97011741683842</v>
      </c>
      <c r="AY230" s="947">
        <v>0</v>
      </c>
    </row>
    <row r="231" spans="2:51" x14ac:dyDescent="0.25">
      <c r="B231" s="650">
        <v>-4.4524542304280148</v>
      </c>
      <c r="C231" s="651">
        <v>-2.355062420891191</v>
      </c>
      <c r="D231" s="652">
        <v>-2.598715675429315</v>
      </c>
      <c r="E231" s="653">
        <v>-3.5047308895518089E-2</v>
      </c>
      <c r="F231" s="651">
        <v>-0.99843620164383573</v>
      </c>
      <c r="G231" s="654">
        <v>4.3552696658323176E-2</v>
      </c>
      <c r="H231" s="653">
        <v>0.314</v>
      </c>
      <c r="I231" s="920">
        <v>0.52</v>
      </c>
      <c r="J231" s="924">
        <v>5.1429999999999998</v>
      </c>
      <c r="K231" s="790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1613</v>
      </c>
      <c r="L231" s="940" t="s">
        <v>420</v>
      </c>
      <c r="M231" s="973">
        <f t="shared" si="1084"/>
        <v>-84.969949372155952</v>
      </c>
      <c r="N231" s="941"/>
      <c r="O231" s="942"/>
      <c r="Q231" s="162">
        <f t="shared" si="1076"/>
        <v>-4.4524542304280148</v>
      </c>
      <c r="R231" s="162">
        <f t="shared" si="1077"/>
        <v>-2.355062420891191</v>
      </c>
      <c r="S231" s="162">
        <f t="shared" si="1078"/>
        <v>-2.598715675429315</v>
      </c>
      <c r="T231" s="162">
        <f t="shared" si="1079"/>
        <v>-3.5047308895518089E-2</v>
      </c>
      <c r="U231" s="162">
        <f t="shared" si="1080"/>
        <v>-0.99843620164383573</v>
      </c>
      <c r="V231" s="162">
        <f t="shared" si="1081"/>
        <v>4.3552696658323176E-2</v>
      </c>
      <c r="W231" s="162">
        <f>IFERROR(IF(ISNUMBER(MATCH($Z231,Settings!$AK$28:$AK$36,0)),INDEX(Settings!$AO$14:$AO$36,MATCH($Z231,Settings!$AK$14:$AK$36,0))/2,INDEX(Settings!$AM$14:$AM$36,MATCH($Z231,Settings!$AK$14:$AK$36,0))/2),"")</f>
        <v>0.3125</v>
      </c>
      <c r="X231" s="162">
        <f t="shared" si="1082"/>
        <v>0.52</v>
      </c>
      <c r="Y231" s="75">
        <v>5.1429999999999998</v>
      </c>
      <c r="Z231" s="917">
        <f t="shared" si="1083"/>
        <v>1613</v>
      </c>
      <c r="AA231" s="82"/>
      <c r="AB231" s="75"/>
      <c r="AC231" s="75"/>
      <c r="AD231" s="166"/>
      <c r="AE231" s="75">
        <v>2.14</v>
      </c>
      <c r="AF231" s="82">
        <v>2</v>
      </c>
      <c r="AG231" s="82">
        <v>1</v>
      </c>
      <c r="AH231" s="82">
        <v>1</v>
      </c>
      <c r="AI231" s="82">
        <v>0.99999999998544808</v>
      </c>
      <c r="AJ231" s="166">
        <v>2.14011</v>
      </c>
      <c r="AK231" s="82" t="str">
        <v>Base</v>
      </c>
      <c r="AL231" s="162">
        <v>-19.5</v>
      </c>
      <c r="AM231" s="162">
        <v>-5.0270040657372688</v>
      </c>
      <c r="AN231" s="162">
        <v>-2.2402493961804533</v>
      </c>
      <c r="AO231" s="162">
        <v>84.969949372155938</v>
      </c>
      <c r="AP231" s="162">
        <v>-29.784116024848295</v>
      </c>
      <c r="AQ231" s="162">
        <v>0</v>
      </c>
      <c r="AR231" s="710" t="str">
        <v>1613.par</v>
      </c>
      <c r="AV231" s="82" t="str">
        <v>204,204,0</v>
      </c>
      <c r="AW231" s="947">
        <v>84.969949372155938</v>
      </c>
      <c r="AX231" s="947">
        <v>84.969949372155938</v>
      </c>
      <c r="AY231" s="947">
        <v>0</v>
      </c>
    </row>
    <row r="232" spans="2:51" x14ac:dyDescent="0.25">
      <c r="B232" s="650">
        <v>-4.4803350939825073</v>
      </c>
      <c r="C232" s="651">
        <v>-2.3624091924588417</v>
      </c>
      <c r="D232" s="652">
        <v>-3.3502202084978241</v>
      </c>
      <c r="E232" s="653">
        <v>-3.6336802866364419E-2</v>
      </c>
      <c r="F232" s="651">
        <v>-0.99839010380273652</v>
      </c>
      <c r="G232" s="654">
        <v>4.355269665832296E-2</v>
      </c>
      <c r="H232" s="653">
        <v>0.314</v>
      </c>
      <c r="I232" s="920">
        <v>0.52</v>
      </c>
      <c r="J232" s="924">
        <v>5.149</v>
      </c>
      <c r="K232" s="790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1613</v>
      </c>
      <c r="L232" s="940" t="s">
        <v>420</v>
      </c>
      <c r="M232" s="973">
        <f t="shared" si="1084"/>
        <v>-84.97011741683842</v>
      </c>
      <c r="N232" s="941"/>
      <c r="O232" s="942"/>
      <c r="Q232" s="162">
        <f t="shared" si="1076"/>
        <v>-4.4803350939825073</v>
      </c>
      <c r="R232" s="162">
        <f t="shared" si="1077"/>
        <v>-2.3624091924588417</v>
      </c>
      <c r="S232" s="162">
        <f t="shared" si="1078"/>
        <v>-3.3502202084978241</v>
      </c>
      <c r="T232" s="162">
        <f t="shared" si="1079"/>
        <v>-3.6336802866364419E-2</v>
      </c>
      <c r="U232" s="162">
        <f t="shared" si="1080"/>
        <v>-0.99839010380273652</v>
      </c>
      <c r="V232" s="162">
        <f t="shared" si="1081"/>
        <v>4.355269665832296E-2</v>
      </c>
      <c r="W232" s="162">
        <f>IFERROR(IF(ISNUMBER(MATCH($Z232,Settings!$AK$28:$AK$36,0)),INDEX(Settings!$AO$14:$AO$36,MATCH($Z232,Settings!$AK$14:$AK$36,0))/2,INDEX(Settings!$AM$14:$AM$36,MATCH($Z232,Settings!$AK$14:$AK$36,0))/2),"")</f>
        <v>0.3125</v>
      </c>
      <c r="X232" s="162">
        <f t="shared" si="1082"/>
        <v>0.52</v>
      </c>
      <c r="Y232" s="75">
        <v>5.149</v>
      </c>
      <c r="Z232" s="917">
        <f t="shared" si="1083"/>
        <v>1613</v>
      </c>
      <c r="AA232" s="82"/>
      <c r="AB232" s="75"/>
      <c r="AC232" s="75"/>
      <c r="AD232" s="166"/>
      <c r="AE232" s="75">
        <v>2.1339999999999999</v>
      </c>
      <c r="AF232" s="82">
        <v>2</v>
      </c>
      <c r="AG232" s="82">
        <v>1</v>
      </c>
      <c r="AH232" s="82">
        <v>1</v>
      </c>
      <c r="AI232" s="82">
        <v>0.99999999998544808</v>
      </c>
      <c r="AJ232" s="166">
        <v>2.1341099999999997</v>
      </c>
      <c r="AK232" s="82" t="str">
        <v>Base</v>
      </c>
      <c r="AL232" s="162">
        <v>-19.5</v>
      </c>
      <c r="AM232" s="162">
        <v>-4.9033194043169575</v>
      </c>
      <c r="AN232" s="162">
        <v>-1.4846037070207925</v>
      </c>
      <c r="AO232" s="162">
        <v>66.440489504246187</v>
      </c>
      <c r="AP232" s="162">
        <v>-25.793602252313281</v>
      </c>
      <c r="AQ232" s="162">
        <v>0</v>
      </c>
      <c r="AR232" s="710" t="str">
        <v>1613.par</v>
      </c>
      <c r="AV232" s="82" t="str">
        <v>204,204,0</v>
      </c>
      <c r="AW232" s="947">
        <v>66.440489504246187</v>
      </c>
      <c r="AX232" s="947">
        <v>66.440489504246187</v>
      </c>
      <c r="AY232" s="947">
        <v>0</v>
      </c>
    </row>
    <row r="233" spans="2:51" x14ac:dyDescent="0.25">
      <c r="B233" s="650">
        <v>-3.4819888164023145</v>
      </c>
      <c r="C233" s="651">
        <v>-0.77986556115357386</v>
      </c>
      <c r="D233" s="652">
        <v>-0.20246261363798021</v>
      </c>
      <c r="E233" s="653">
        <v>-0.21951266652936532</v>
      </c>
      <c r="F233" s="651">
        <v>-4.916453724860597E-2</v>
      </c>
      <c r="G233" s="654">
        <v>0.97437007215446547</v>
      </c>
      <c r="H233" s="653">
        <v>0.25700000000000001</v>
      </c>
      <c r="I233" s="920">
        <v>0.41499999999999992</v>
      </c>
      <c r="J233" s="924">
        <v>5.2190000000000003</v>
      </c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CPS-32193r1</v>
      </c>
      <c r="L233" s="940" t="s">
        <v>423</v>
      </c>
      <c r="M233" s="973">
        <f t="shared" si="1084"/>
        <v>-12.999998123032507</v>
      </c>
      <c r="N233" s="941"/>
      <c r="O233" s="942"/>
      <c r="Q233" s="162">
        <f t="shared" si="1076"/>
        <v>-3.4819888164023145</v>
      </c>
      <c r="R233" s="162">
        <f t="shared" si="1077"/>
        <v>-0.77986556115357386</v>
      </c>
      <c r="S233" s="162">
        <f t="shared" si="1078"/>
        <v>-0.20246261363798021</v>
      </c>
      <c r="T233" s="162">
        <f t="shared" si="1079"/>
        <v>-0.21951266652936532</v>
      </c>
      <c r="U233" s="162">
        <f t="shared" si="1080"/>
        <v>-4.916453724860597E-2</v>
      </c>
      <c r="V233" s="162">
        <f t="shared" si="1081"/>
        <v>0.97437007215446547</v>
      </c>
      <c r="W233" s="162">
        <f>IFERROR(IF(ISNUMBER(MATCH($Z233,Settings!$AK$28:$AK$36,0)),INDEX(Settings!$AO$14:$AO$36,MATCH($Z233,Settings!$AK$14:$AK$36,0))/2,INDEX(Settings!$AM$14:$AM$36,MATCH($Z233,Settings!$AK$14:$AK$36,0))/2),"")</f>
        <v>0.255</v>
      </c>
      <c r="X233" s="162">
        <f t="shared" si="1082"/>
        <v>0.41499999999999992</v>
      </c>
      <c r="Y233" s="75">
        <v>5.2190000000000003</v>
      </c>
      <c r="Z233" s="917" t="str">
        <f t="shared" si="1083"/>
        <v>CPS-32193r1</v>
      </c>
      <c r="AA233" s="82"/>
      <c r="AB233" s="75"/>
      <c r="AC233" s="75"/>
      <c r="AD233" s="166"/>
      <c r="AE233" s="75">
        <v>2.1280000000000001</v>
      </c>
      <c r="AF233" s="82">
        <v>2</v>
      </c>
      <c r="AG233" s="82">
        <v>1</v>
      </c>
      <c r="AH233" s="82">
        <v>1</v>
      </c>
      <c r="AI233" s="82">
        <v>0.99999999998544808</v>
      </c>
      <c r="AJ233" s="166">
        <v>2.1281099999999999</v>
      </c>
      <c r="AK233" s="82" t="str">
        <v>Base</v>
      </c>
      <c r="AL233" s="162">
        <v>-19.5</v>
      </c>
      <c r="AM233" s="162">
        <v>-4.5186798771013077</v>
      </c>
      <c r="AN233" s="162">
        <v>-0.82226264166639351</v>
      </c>
      <c r="AO233" s="162">
        <v>47.834713669325687</v>
      </c>
      <c r="AP233" s="162">
        <v>-21.816944784593154</v>
      </c>
      <c r="AQ233" s="162">
        <v>0</v>
      </c>
      <c r="AR233" s="710" t="str">
        <v>1613.par</v>
      </c>
      <c r="AV233" s="82" t="str">
        <v>204,204,0</v>
      </c>
      <c r="AW233" s="947">
        <v>47.834713669325687</v>
      </c>
      <c r="AX233" s="947">
        <v>47.834713669325687</v>
      </c>
      <c r="AY233" s="947">
        <v>0</v>
      </c>
    </row>
    <row r="234" spans="2:51" x14ac:dyDescent="0.25">
      <c r="B234" s="650">
        <v>-4.0612420857617462</v>
      </c>
      <c r="C234" s="651">
        <v>-1.2969812004451755</v>
      </c>
      <c r="D234" s="652">
        <v>-0.53019807470762303</v>
      </c>
      <c r="E234" s="653">
        <v>2.2248094992542766E-2</v>
      </c>
      <c r="F234" s="651">
        <v>-0.94433964618443711</v>
      </c>
      <c r="G234" s="654">
        <v>0.32821891309529228</v>
      </c>
      <c r="H234" s="653">
        <v>0.26600000000000001</v>
      </c>
      <c r="I234" s="920">
        <v>0.52</v>
      </c>
      <c r="J234" s="924">
        <v>5.2249999999999996</v>
      </c>
      <c r="K234" s="790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1313</v>
      </c>
      <c r="L234" s="940" t="s">
        <v>424</v>
      </c>
      <c r="M234" s="973">
        <f t="shared" si="1084"/>
        <v>-38.623227592362632</v>
      </c>
      <c r="N234" s="941"/>
      <c r="O234" s="942"/>
      <c r="Q234" s="162">
        <f t="shared" si="1076"/>
        <v>-4.0612420857617462</v>
      </c>
      <c r="R234" s="162">
        <f t="shared" si="1077"/>
        <v>-1.2969812004451755</v>
      </c>
      <c r="S234" s="162">
        <f t="shared" si="1078"/>
        <v>-0.53019807470762303</v>
      </c>
      <c r="T234" s="162">
        <f t="shared" si="1079"/>
        <v>2.2248094992542766E-2</v>
      </c>
      <c r="U234" s="162">
        <f t="shared" si="1080"/>
        <v>-0.94433964618443711</v>
      </c>
      <c r="V234" s="162">
        <f t="shared" si="1081"/>
        <v>0.32821891309529228</v>
      </c>
      <c r="W234" s="162">
        <f>IFERROR(IF(ISNUMBER(MATCH($Z234,Settings!$AK$28:$AK$36,0)),INDEX(Settings!$AO$14:$AO$36,MATCH($Z234,Settings!$AK$14:$AK$36,0))/2,INDEX(Settings!$AM$14:$AM$36,MATCH($Z234,Settings!$AK$14:$AK$36,0))/2),"")</f>
        <v>0.26450000000000001</v>
      </c>
      <c r="X234" s="162">
        <f t="shared" si="1082"/>
        <v>0.52</v>
      </c>
      <c r="Y234" s="75">
        <v>5.2249999999999996</v>
      </c>
      <c r="Z234" s="917">
        <f t="shared" si="1083"/>
        <v>1313</v>
      </c>
      <c r="AA234" s="82"/>
      <c r="AB234" s="75"/>
      <c r="AC234" s="75"/>
      <c r="AD234" s="166"/>
      <c r="AE234" s="75">
        <v>2.1219999999999999</v>
      </c>
      <c r="AF234" s="82">
        <v>2</v>
      </c>
      <c r="AG234" s="82">
        <v>1</v>
      </c>
      <c r="AH234" s="82">
        <v>1</v>
      </c>
      <c r="AI234" s="82">
        <v>0.99999999998544808</v>
      </c>
      <c r="AJ234" s="166">
        <v>2.1221099999999997</v>
      </c>
      <c r="AK234" s="82" t="str">
        <v>Base</v>
      </c>
      <c r="AL234" s="162">
        <v>-19.5</v>
      </c>
      <c r="AM234" s="162">
        <v>-3.923195158347927</v>
      </c>
      <c r="AN234" s="162">
        <v>-0.34002530702213862</v>
      </c>
      <c r="AO234" s="162">
        <v>29.091158349317926</v>
      </c>
      <c r="AP234" s="162">
        <v>-17.860607850540081</v>
      </c>
      <c r="AQ234" s="162">
        <v>0</v>
      </c>
      <c r="AR234" s="710" t="str">
        <v>1613.par</v>
      </c>
      <c r="AV234" s="82" t="str">
        <v>204,204,0</v>
      </c>
      <c r="AW234" s="947">
        <v>29.091158349317926</v>
      </c>
      <c r="AX234" s="947">
        <v>29.091158349317926</v>
      </c>
      <c r="AY234" s="947">
        <v>0</v>
      </c>
    </row>
    <row r="235" spans="2:51" x14ac:dyDescent="0.25">
      <c r="B235" s="650">
        <v>-4.5304294344575755</v>
      </c>
      <c r="C235" s="651">
        <v>-1.4916964290545309</v>
      </c>
      <c r="D235" s="652">
        <v>-1.1172940264445657</v>
      </c>
      <c r="E235" s="653">
        <v>-0.11432895229960759</v>
      </c>
      <c r="F235" s="651">
        <v>-0.95855197518054613</v>
      </c>
      <c r="G235" s="654">
        <v>0.2609731816557937</v>
      </c>
      <c r="H235" s="653">
        <v>0.26600000000000001</v>
      </c>
      <c r="I235" s="920">
        <v>0.52</v>
      </c>
      <c r="J235" s="924">
        <v>5.2309999999999999</v>
      </c>
      <c r="K235" s="790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1313</v>
      </c>
      <c r="L235" s="940" t="s">
        <v>424</v>
      </c>
      <c r="M235" s="973">
        <f t="shared" si="1084"/>
        <v>-57.213428741154814</v>
      </c>
      <c r="N235" s="941"/>
      <c r="O235" s="942"/>
      <c r="Q235" s="162">
        <f t="shared" si="1076"/>
        <v>-4.5304294344575755</v>
      </c>
      <c r="R235" s="162">
        <f t="shared" si="1077"/>
        <v>-1.4916964290545309</v>
      </c>
      <c r="S235" s="162">
        <f t="shared" si="1078"/>
        <v>-1.1172940264445657</v>
      </c>
      <c r="T235" s="162">
        <f t="shared" si="1079"/>
        <v>-0.11432895229960759</v>
      </c>
      <c r="U235" s="162">
        <f t="shared" si="1080"/>
        <v>-0.95855197518054613</v>
      </c>
      <c r="V235" s="162">
        <f t="shared" si="1081"/>
        <v>0.2609731816557937</v>
      </c>
      <c r="W235" s="162">
        <f>IFERROR(IF(ISNUMBER(MATCH($Z235,Settings!$AK$28:$AK$36,0)),INDEX(Settings!$AO$14:$AO$36,MATCH($Z235,Settings!$AK$14:$AK$36,0))/2,INDEX(Settings!$AM$14:$AM$36,MATCH($Z235,Settings!$AK$14:$AK$36,0))/2),"")</f>
        <v>0.26450000000000001</v>
      </c>
      <c r="X235" s="162">
        <f t="shared" si="1082"/>
        <v>0.52</v>
      </c>
      <c r="Y235" s="75">
        <v>5.2309999999999999</v>
      </c>
      <c r="Z235" s="917">
        <f t="shared" si="1083"/>
        <v>1313</v>
      </c>
      <c r="AA235" s="82"/>
      <c r="AB235" s="75"/>
      <c r="AC235" s="75"/>
      <c r="AD235" s="166"/>
      <c r="AE235" s="75">
        <v>2.1160000000000001</v>
      </c>
      <c r="AF235" s="82">
        <v>2</v>
      </c>
      <c r="AG235" s="82">
        <v>1</v>
      </c>
      <c r="AH235" s="82">
        <v>1</v>
      </c>
      <c r="AI235" s="82">
        <v>0.99999999998544808</v>
      </c>
      <c r="AJ235" s="166">
        <v>2.1161099999999999</v>
      </c>
      <c r="AK235" s="82" t="str">
        <v>Base</v>
      </c>
      <c r="AL235" s="162">
        <v>-19.5</v>
      </c>
      <c r="AM235" s="162">
        <v>-3.1946027962538608</v>
      </c>
      <c r="AN235" s="162">
        <v>-0.1015033274315317</v>
      </c>
      <c r="AO235" s="162">
        <v>10.242376499105918</v>
      </c>
      <c r="AP235" s="162">
        <v>-15.635007982189849</v>
      </c>
      <c r="AQ235" s="162">
        <v>0</v>
      </c>
      <c r="AR235" s="710" t="str">
        <v>1613 Ripper.par</v>
      </c>
      <c r="AV235" s="82" t="str">
        <v>204,204,0</v>
      </c>
      <c r="AW235" s="947">
        <v>10.242376499105918</v>
      </c>
      <c r="AX235" s="947">
        <v>10.242376499105918</v>
      </c>
      <c r="AY235" s="947">
        <v>0</v>
      </c>
    </row>
    <row r="236" spans="2:51" x14ac:dyDescent="0.25">
      <c r="B236" s="650">
        <v>-4.7775012317310086</v>
      </c>
      <c r="C236" s="651">
        <v>-1.5849502636753487</v>
      </c>
      <c r="D236" s="652">
        <v>-1.8469806553404726</v>
      </c>
      <c r="E236" s="653">
        <v>-0.23680475010775959</v>
      </c>
      <c r="F236" s="651">
        <v>-0.96234355074147904</v>
      </c>
      <c r="G236" s="654">
        <v>0.13348558226521709</v>
      </c>
      <c r="H236" s="653">
        <v>0.26600000000000001</v>
      </c>
      <c r="I236" s="920">
        <v>0.52</v>
      </c>
      <c r="J236" s="924">
        <v>5.2370000000000001</v>
      </c>
      <c r="K236" s="790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1313</v>
      </c>
      <c r="L236" s="940" t="s">
        <v>424</v>
      </c>
      <c r="M236" s="973">
        <f t="shared" si="1084"/>
        <v>-75.733702256223253</v>
      </c>
      <c r="N236" s="941"/>
      <c r="O236" s="942"/>
      <c r="Q236" s="162">
        <f t="shared" si="1076"/>
        <v>-4.7775012317310086</v>
      </c>
      <c r="R236" s="162">
        <f t="shared" si="1077"/>
        <v>-1.5849502636753487</v>
      </c>
      <c r="S236" s="162">
        <f t="shared" si="1078"/>
        <v>-1.8469806553404726</v>
      </c>
      <c r="T236" s="162">
        <f t="shared" si="1079"/>
        <v>-0.23680475010775959</v>
      </c>
      <c r="U236" s="162">
        <f t="shared" si="1080"/>
        <v>-0.96234355074147904</v>
      </c>
      <c r="V236" s="162">
        <f t="shared" si="1081"/>
        <v>0.13348558226521709</v>
      </c>
      <c r="W236" s="162">
        <f>IFERROR(IF(ISNUMBER(MATCH($Z236,Settings!$AK$28:$AK$36,0)),INDEX(Settings!$AO$14:$AO$36,MATCH($Z236,Settings!$AK$14:$AK$36,0))/2,INDEX(Settings!$AM$14:$AM$36,MATCH($Z236,Settings!$AK$14:$AK$36,0))/2),"")</f>
        <v>0.26450000000000001</v>
      </c>
      <c r="X236" s="162">
        <f t="shared" si="1082"/>
        <v>0.52</v>
      </c>
      <c r="Y236" s="75">
        <v>5.2370000000000001</v>
      </c>
      <c r="Z236" s="917">
        <f t="shared" si="1083"/>
        <v>1313</v>
      </c>
      <c r="AA236" s="82"/>
      <c r="AB236" s="75"/>
      <c r="AC236" s="75"/>
      <c r="AD236" s="166"/>
      <c r="AE236" s="75">
        <v>2.11</v>
      </c>
      <c r="AF236" s="82">
        <v>2</v>
      </c>
      <c r="AG236" s="82">
        <v>1</v>
      </c>
      <c r="AH236" s="82">
        <v>1</v>
      </c>
      <c r="AI236" s="82">
        <v>0.99999999998544808</v>
      </c>
      <c r="AJ236" s="166">
        <v>2.1101099999999997</v>
      </c>
      <c r="AK236" s="82" t="str">
        <v>Base</v>
      </c>
      <c r="AL236" s="162">
        <v>-19.5</v>
      </c>
      <c r="AM236" s="162">
        <v>-2.4286205357576263</v>
      </c>
      <c r="AN236" s="162">
        <v>-0.13835590501463893</v>
      </c>
      <c r="AO236" s="162">
        <v>-8.604830320611164</v>
      </c>
      <c r="AP236" s="162">
        <v>-15.161593068640046</v>
      </c>
      <c r="AQ236" s="162">
        <v>0</v>
      </c>
      <c r="AR236" s="710" t="str">
        <v>1613 Ripper.par</v>
      </c>
      <c r="AV236" s="82" t="str">
        <v>204,204,0</v>
      </c>
      <c r="AW236" s="947">
        <v>-8.604830320611164</v>
      </c>
      <c r="AX236" s="947">
        <v>-8.604830320611164</v>
      </c>
      <c r="AY236" s="947">
        <v>0</v>
      </c>
    </row>
    <row r="237" spans="2:51" x14ac:dyDescent="0.25">
      <c r="B237" s="650">
        <v>-4.8133571912710211</v>
      </c>
      <c r="C237" s="651">
        <v>-1.3264778730572726</v>
      </c>
      <c r="D237" s="652">
        <v>-2.6233586781757343</v>
      </c>
      <c r="E237" s="653">
        <v>-0.96406163416222712</v>
      </c>
      <c r="F237" s="651">
        <v>-0.26567868852507681</v>
      </c>
      <c r="G237" s="654">
        <v>2.2679489693200328E-7</v>
      </c>
      <c r="H237" s="653">
        <v>0.25700000000000001</v>
      </c>
      <c r="I237" s="920">
        <v>0.41499999999999992</v>
      </c>
      <c r="J237" s="924">
        <v>5.2430000000000003</v>
      </c>
      <c r="K237" s="790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CPS-32193r1</v>
      </c>
      <c r="L237" s="940" t="s">
        <v>423</v>
      </c>
      <c r="M237" s="973">
        <f t="shared" si="1084"/>
        <v>-89.999987005609597</v>
      </c>
      <c r="N237" s="941"/>
      <c r="O237" s="942"/>
      <c r="Q237" s="162">
        <f t="shared" si="1076"/>
        <v>-4.8133571912710211</v>
      </c>
      <c r="R237" s="162">
        <f t="shared" si="1077"/>
        <v>-1.3264778730572726</v>
      </c>
      <c r="S237" s="162">
        <f t="shared" si="1078"/>
        <v>-2.6233586781757343</v>
      </c>
      <c r="T237" s="162">
        <f t="shared" si="1079"/>
        <v>-0.96406163416222712</v>
      </c>
      <c r="U237" s="162">
        <f t="shared" si="1080"/>
        <v>-0.26567868852507681</v>
      </c>
      <c r="V237" s="162">
        <f t="shared" si="1081"/>
        <v>2.2679489693200328E-7</v>
      </c>
      <c r="W237" s="162">
        <f>IFERROR(IF(ISNUMBER(MATCH($Z237,Settings!$AK$28:$AK$36,0)),INDEX(Settings!$AO$14:$AO$36,MATCH($Z237,Settings!$AK$14:$AK$36,0))/2,INDEX(Settings!$AM$14:$AM$36,MATCH($Z237,Settings!$AK$14:$AK$36,0))/2),"")</f>
        <v>0.255</v>
      </c>
      <c r="X237" s="162">
        <f t="shared" si="1082"/>
        <v>0.41499999999999992</v>
      </c>
      <c r="Y237" s="75">
        <v>5.2430000000000003</v>
      </c>
      <c r="Z237" s="917" t="str">
        <f t="shared" si="1083"/>
        <v>CPS-32193r1</v>
      </c>
      <c r="AA237" s="82"/>
      <c r="AB237" s="75"/>
      <c r="AC237" s="75"/>
      <c r="AD237" s="166"/>
      <c r="AE237" s="75">
        <v>1.2529999999999999</v>
      </c>
      <c r="AF237" s="82">
        <v>1</v>
      </c>
      <c r="AG237" s="82">
        <v>2</v>
      </c>
      <c r="AH237" s="82">
        <v>1</v>
      </c>
      <c r="AI237" s="82">
        <v>1.000000000003638</v>
      </c>
      <c r="AJ237" s="166">
        <v>1.2531099999999999</v>
      </c>
      <c r="AK237" s="82" t="str">
        <v>Base</v>
      </c>
      <c r="AL237" s="162">
        <v>-18.75</v>
      </c>
      <c r="AM237" s="162">
        <v>-5.1223779559634792</v>
      </c>
      <c r="AN237" s="162">
        <v>-9.4955582832453196</v>
      </c>
      <c r="AO237" s="162">
        <v>100.03561890671624</v>
      </c>
      <c r="AP237" s="162">
        <v>-39.831236627249616</v>
      </c>
      <c r="AQ237" s="162">
        <v>0</v>
      </c>
      <c r="AR237" s="710" t="str">
        <v>1313.par</v>
      </c>
      <c r="AV237" s="82" t="str">
        <v>255,188,121</v>
      </c>
      <c r="AW237" s="947">
        <v>100.03561890671624</v>
      </c>
      <c r="AX237" s="947">
        <v>100.03561890671624</v>
      </c>
      <c r="AY237" s="947">
        <v>0</v>
      </c>
    </row>
    <row r="238" spans="2:51" x14ac:dyDescent="0.25">
      <c r="B238" s="650">
        <v>-4.8405202803701499</v>
      </c>
      <c r="C238" s="651">
        <v>-1.3336218050869515</v>
      </c>
      <c r="D238" s="652">
        <v>-3.3747461436974899</v>
      </c>
      <c r="E238" s="653">
        <v>-0.96407906556756051</v>
      </c>
      <c r="F238" s="651">
        <v>-0.26561542751566253</v>
      </c>
      <c r="G238" s="654">
        <v>2.26794896820981E-7</v>
      </c>
      <c r="H238" s="653">
        <v>0.25700000000000001</v>
      </c>
      <c r="I238" s="920">
        <v>0.41499999999999992</v>
      </c>
      <c r="J238" s="924">
        <v>5.2489999999999997</v>
      </c>
      <c r="K238" s="790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CPS-32193r1</v>
      </c>
      <c r="L238" s="940" t="s">
        <v>423</v>
      </c>
      <c r="M238" s="973">
        <f t="shared" si="1084"/>
        <v>-89.999987005609597</v>
      </c>
      <c r="N238" s="941"/>
      <c r="O238" s="942"/>
      <c r="Q238" s="162">
        <f t="shared" si="1076"/>
        <v>-4.8405202803701499</v>
      </c>
      <c r="R238" s="162">
        <f t="shared" si="1077"/>
        <v>-1.3336218050869515</v>
      </c>
      <c r="S238" s="162">
        <f t="shared" si="1078"/>
        <v>-3.3747461436974899</v>
      </c>
      <c r="T238" s="162">
        <f t="shared" si="1079"/>
        <v>-0.96407906556756051</v>
      </c>
      <c r="U238" s="162">
        <f t="shared" si="1080"/>
        <v>-0.26561542751566253</v>
      </c>
      <c r="V238" s="162">
        <f t="shared" si="1081"/>
        <v>2.26794896820981E-7</v>
      </c>
      <c r="W238" s="162">
        <f>IFERROR(IF(ISNUMBER(MATCH($Z238,Settings!$AK$28:$AK$36,0)),INDEX(Settings!$AO$14:$AO$36,MATCH($Z238,Settings!$AK$14:$AK$36,0))/2,INDEX(Settings!$AM$14:$AM$36,MATCH($Z238,Settings!$AK$14:$AK$36,0))/2),"")</f>
        <v>0.255</v>
      </c>
      <c r="X238" s="162">
        <f t="shared" si="1082"/>
        <v>0.41499999999999992</v>
      </c>
      <c r="Y238" s="75">
        <v>5.2489999999999997</v>
      </c>
      <c r="Z238" s="917" t="str">
        <f t="shared" si="1083"/>
        <v>CPS-32193r1</v>
      </c>
      <c r="AA238" s="82"/>
      <c r="AB238" s="75"/>
      <c r="AC238" s="75"/>
      <c r="AD238" s="166"/>
      <c r="AE238" s="75">
        <v>1.2470000000000001</v>
      </c>
      <c r="AF238" s="82">
        <v>1</v>
      </c>
      <c r="AG238" s="82">
        <v>2</v>
      </c>
      <c r="AH238" s="82">
        <v>1</v>
      </c>
      <c r="AI238" s="82">
        <v>1.0000000000218279</v>
      </c>
      <c r="AJ238" s="166">
        <v>1.2471100000000002</v>
      </c>
      <c r="AK238" s="82" t="str">
        <v>Base</v>
      </c>
      <c r="AL238" s="162">
        <v>-18.75</v>
      </c>
      <c r="AM238" s="162">
        <v>-5.0208747946625891</v>
      </c>
      <c r="AN238" s="162">
        <v>-3.1205552264694267</v>
      </c>
      <c r="AO238" s="162">
        <v>89.999987005609597</v>
      </c>
      <c r="AP238" s="162">
        <v>0</v>
      </c>
      <c r="AQ238" s="162">
        <v>0</v>
      </c>
      <c r="AR238" s="710" t="str">
        <v>32193r1.par</v>
      </c>
      <c r="AV238" s="82" t="str">
        <v>255,188,121</v>
      </c>
      <c r="AW238" s="947">
        <v>89.999987005609597</v>
      </c>
      <c r="AX238" s="947">
        <v>89.999987005609597</v>
      </c>
      <c r="AY238" s="947">
        <v>0</v>
      </c>
    </row>
    <row r="239" spans="2:51" x14ac:dyDescent="0.25">
      <c r="B239" s="650">
        <v>3.5670794055829904</v>
      </c>
      <c r="C239" s="651">
        <v>-3.6938230288034171</v>
      </c>
      <c r="D239" s="652">
        <v>-9.5000286520864137</v>
      </c>
      <c r="E239" s="653">
        <v>0.99078049831935566</v>
      </c>
      <c r="F239" s="651">
        <v>7.6780626301749713E-2</v>
      </c>
      <c r="G239" s="654">
        <v>-0.11161872412261509</v>
      </c>
      <c r="H239" s="653">
        <v>0.26600000000000001</v>
      </c>
      <c r="I239" s="920">
        <v>0.52</v>
      </c>
      <c r="J239" s="924">
        <v>5.2549999999999999</v>
      </c>
      <c r="K239" s="790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1313</v>
      </c>
      <c r="L239" s="940" t="s">
        <v>424</v>
      </c>
      <c r="M239" s="973">
        <f t="shared" si="1084"/>
        <v>-100.03561890671617</v>
      </c>
      <c r="N239" s="941"/>
      <c r="O239" s="942"/>
      <c r="Q239" s="162">
        <f t="shared" si="1076"/>
        <v>3.5670794055829904</v>
      </c>
      <c r="R239" s="162">
        <f t="shared" si="1077"/>
        <v>-3.6938230288034171</v>
      </c>
      <c r="S239" s="162">
        <f t="shared" si="1078"/>
        <v>-9.5000286520864137</v>
      </c>
      <c r="T239" s="162">
        <f t="shared" si="1079"/>
        <v>0.99078049831935566</v>
      </c>
      <c r="U239" s="162">
        <f t="shared" si="1080"/>
        <v>7.6780626301749713E-2</v>
      </c>
      <c r="V239" s="162">
        <f t="shared" si="1081"/>
        <v>-0.11161872412261509</v>
      </c>
      <c r="W239" s="162">
        <f>IFERROR(IF(ISNUMBER(MATCH($Z239,Settings!$AK$28:$AK$36,0)),INDEX(Settings!$AO$14:$AO$36,MATCH($Z239,Settings!$AK$14:$AK$36,0))/2,INDEX(Settings!$AM$14:$AM$36,MATCH($Z239,Settings!$AK$14:$AK$36,0))/2),"")</f>
        <v>0.26450000000000001</v>
      </c>
      <c r="X239" s="162">
        <f t="shared" si="1082"/>
        <v>0.52</v>
      </c>
      <c r="Y239" s="75">
        <v>5.2549999999999999</v>
      </c>
      <c r="Z239" s="917">
        <f t="shared" si="1083"/>
        <v>1313</v>
      </c>
      <c r="AA239" s="82"/>
      <c r="AB239" s="75"/>
      <c r="AC239" s="75"/>
      <c r="AD239" s="166"/>
      <c r="AE239" s="75">
        <v>1.2410000000000001</v>
      </c>
      <c r="AF239" s="82">
        <v>1</v>
      </c>
      <c r="AG239" s="82">
        <v>2</v>
      </c>
      <c r="AH239" s="82">
        <v>1</v>
      </c>
      <c r="AI239" s="82">
        <v>1.0000000000218279</v>
      </c>
      <c r="AJ239" s="166">
        <v>1.2411100000000002</v>
      </c>
      <c r="AK239" s="82" t="str">
        <v>Base</v>
      </c>
      <c r="AL239" s="162">
        <v>-18.75</v>
      </c>
      <c r="AM239" s="162">
        <v>-4.9927899012947687</v>
      </c>
      <c r="AN239" s="162">
        <v>-2.3691688053011615</v>
      </c>
      <c r="AO239" s="162">
        <v>89.999987005609611</v>
      </c>
      <c r="AP239" s="162">
        <v>0</v>
      </c>
      <c r="AQ239" s="162">
        <v>0</v>
      </c>
      <c r="AR239" s="710" t="str">
        <v>32193r1.par</v>
      </c>
      <c r="AV239" s="82" t="str">
        <v>255,188,121</v>
      </c>
      <c r="AW239" s="947">
        <v>89.999987005609611</v>
      </c>
      <c r="AX239" s="947">
        <v>89.999987005609611</v>
      </c>
      <c r="AY239" s="947">
        <v>0</v>
      </c>
    </row>
    <row r="240" spans="2:51" x14ac:dyDescent="0.25">
      <c r="B240" s="650">
        <v>-2.2489912543589865</v>
      </c>
      <c r="C240" s="651">
        <v>1.4605148579991447</v>
      </c>
      <c r="D240" s="652">
        <v>-0.1071006309500316</v>
      </c>
      <c r="E240" s="653">
        <v>-0.52222157471588571</v>
      </c>
      <c r="F240" s="651">
        <v>-0.81096822806638758</v>
      </c>
      <c r="G240" s="654">
        <v>0.26384684945650655</v>
      </c>
      <c r="H240" s="653">
        <v>0.314</v>
      </c>
      <c r="I240" s="920">
        <v>0.52</v>
      </c>
      <c r="J240" s="924">
        <v>6.1120000000000001</v>
      </c>
      <c r="K240" s="790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940" t="s">
        <v>422</v>
      </c>
      <c r="M240" s="973">
        <f t="shared" si="1084"/>
        <v>2.3119637600075813</v>
      </c>
      <c r="N240" s="941"/>
      <c r="O240" s="942"/>
      <c r="Q240" s="162">
        <f t="shared" si="1076"/>
        <v>-2.2489912543589865</v>
      </c>
      <c r="R240" s="162">
        <f t="shared" si="1077"/>
        <v>1.4605148579991447</v>
      </c>
      <c r="S240" s="162">
        <f t="shared" si="1078"/>
        <v>-0.1071006309500316</v>
      </c>
      <c r="T240" s="162">
        <f t="shared" si="1079"/>
        <v>-0.52222157471588571</v>
      </c>
      <c r="U240" s="162">
        <f t="shared" si="1080"/>
        <v>-0.81096822806638758</v>
      </c>
      <c r="V240" s="162">
        <f t="shared" si="1081"/>
        <v>0.26384684945650655</v>
      </c>
      <c r="W240" s="162">
        <f>IFERROR(IF(ISNUMBER(MATCH($Z240,Settings!$AK$28:$AK$36,0)),INDEX(Settings!$AO$14:$AO$36,MATCH($Z240,Settings!$AK$14:$AK$36,0))/2,INDEX(Settings!$AM$14:$AM$36,MATCH($Z240,Settings!$AK$14:$AK$36,0))/2),"")</f>
        <v>0.3125</v>
      </c>
      <c r="X240" s="162">
        <f t="shared" si="1082"/>
        <v>0.52</v>
      </c>
      <c r="Y240" s="75">
        <v>6.1120000000000001</v>
      </c>
      <c r="Z240" s="917">
        <f t="shared" si="1083"/>
        <v>1613</v>
      </c>
      <c r="AA240" s="82"/>
      <c r="AB240" s="75"/>
      <c r="AC240" s="75"/>
      <c r="AD240" s="166"/>
      <c r="AE240" s="75">
        <v>1.2350000000000001</v>
      </c>
      <c r="AF240" s="82">
        <v>1</v>
      </c>
      <c r="AG240" s="82">
        <v>2</v>
      </c>
      <c r="AH240" s="82">
        <v>1</v>
      </c>
      <c r="AI240" s="82">
        <v>1.0000000000218279</v>
      </c>
      <c r="AJ240" s="166">
        <v>1.2351100000000002</v>
      </c>
      <c r="AK240" s="82" t="str">
        <v>Base</v>
      </c>
      <c r="AL240" s="162">
        <v>-18.75</v>
      </c>
      <c r="AM240" s="162">
        <v>-4.9655836720076438</v>
      </c>
      <c r="AN240" s="162">
        <v>-1.5947435550937996</v>
      </c>
      <c r="AO240" s="162">
        <v>69.566043588691343</v>
      </c>
      <c r="AP240" s="162">
        <v>-31.467894876304182</v>
      </c>
      <c r="AQ240" s="162">
        <v>0</v>
      </c>
      <c r="AR240" s="710" t="str">
        <v>1313.par</v>
      </c>
      <c r="AV240" s="82" t="str">
        <v>255,188,121</v>
      </c>
      <c r="AW240" s="947">
        <v>69.566043588691343</v>
      </c>
      <c r="AX240" s="947">
        <v>69.566043588691343</v>
      </c>
      <c r="AY240" s="947">
        <v>0</v>
      </c>
    </row>
    <row r="241" spans="2:51" x14ac:dyDescent="0.25">
      <c r="B241" s="650">
        <v>-2.8856759182127787</v>
      </c>
      <c r="C241" s="651">
        <v>1.8876178580667811</v>
      </c>
      <c r="D241" s="652">
        <v>-0.16320096934676293</v>
      </c>
      <c r="E241" s="653">
        <v>-0.59572352404201612</v>
      </c>
      <c r="F241" s="651">
        <v>-0.75954408206156487</v>
      </c>
      <c r="G241" s="654">
        <v>0.26116330199363064</v>
      </c>
      <c r="H241" s="653">
        <v>0.314</v>
      </c>
      <c r="I241" s="920">
        <v>0.52</v>
      </c>
      <c r="J241" s="924">
        <v>6.1180000000000003</v>
      </c>
      <c r="K241" s="790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940" t="s">
        <v>422</v>
      </c>
      <c r="M241" s="973">
        <f t="shared" si="1084"/>
        <v>-16.504059297615232</v>
      </c>
      <c r="N241" s="941"/>
      <c r="O241" s="942"/>
      <c r="Q241" s="162">
        <f t="shared" si="1076"/>
        <v>-2.8856759182127787</v>
      </c>
      <c r="R241" s="162">
        <f t="shared" si="1077"/>
        <v>1.8876178580667811</v>
      </c>
      <c r="S241" s="162">
        <f t="shared" si="1078"/>
        <v>-0.16320096934676293</v>
      </c>
      <c r="T241" s="162">
        <f t="shared" si="1079"/>
        <v>-0.59572352404201612</v>
      </c>
      <c r="U241" s="162">
        <f t="shared" si="1080"/>
        <v>-0.75954408206156487</v>
      </c>
      <c r="V241" s="162">
        <f t="shared" si="1081"/>
        <v>0.26116330199363064</v>
      </c>
      <c r="W241" s="162">
        <f>IFERROR(IF(ISNUMBER(MATCH($Z241,Settings!$AK$28:$AK$36,0)),INDEX(Settings!$AO$14:$AO$36,MATCH($Z241,Settings!$AK$14:$AK$36,0))/2,INDEX(Settings!$AM$14:$AM$36,MATCH($Z241,Settings!$AK$14:$AK$36,0))/2),"")</f>
        <v>0.3125</v>
      </c>
      <c r="X241" s="162">
        <f t="shared" si="1082"/>
        <v>0.52</v>
      </c>
      <c r="Y241" s="75">
        <v>6.1180000000000003</v>
      </c>
      <c r="Z241" s="917">
        <f t="shared" si="1083"/>
        <v>1613</v>
      </c>
      <c r="AA241" s="82"/>
      <c r="AB241" s="75"/>
      <c r="AC241" s="75"/>
      <c r="AD241" s="166"/>
      <c r="AE241" s="75">
        <v>1.2290000000000001</v>
      </c>
      <c r="AF241" s="82">
        <v>1</v>
      </c>
      <c r="AG241" s="82">
        <v>2</v>
      </c>
      <c r="AH241" s="82">
        <v>1</v>
      </c>
      <c r="AI241" s="82">
        <v>1.0000000000218279</v>
      </c>
      <c r="AJ241" s="166">
        <v>1.2291100000000001</v>
      </c>
      <c r="AK241" s="82" t="str">
        <v>Base</v>
      </c>
      <c r="AL241" s="162">
        <v>-18.75</v>
      </c>
      <c r="AM241" s="162">
        <v>-4.6179594043500742</v>
      </c>
      <c r="AN241" s="162">
        <v>-0.90471074357160419</v>
      </c>
      <c r="AO241" s="162">
        <v>51.026324417745535</v>
      </c>
      <c r="AP241" s="162">
        <v>-27.48633572036287</v>
      </c>
      <c r="AQ241" s="162">
        <v>0</v>
      </c>
      <c r="AR241" s="710" t="str">
        <v>1313.par</v>
      </c>
      <c r="AV241" s="82" t="str">
        <v>255,188,121</v>
      </c>
      <c r="AW241" s="947">
        <v>51.026324417745535</v>
      </c>
      <c r="AX241" s="947">
        <v>51.026324417745535</v>
      </c>
      <c r="AY241" s="947">
        <v>0</v>
      </c>
    </row>
    <row r="242" spans="2:51" x14ac:dyDescent="0.25">
      <c r="B242" s="650">
        <v>-3.4417812110680415</v>
      </c>
      <c r="C242" s="651">
        <v>2.3091250482779957</v>
      </c>
      <c r="D242" s="652">
        <v>-0.48840293096203768</v>
      </c>
      <c r="E242" s="653">
        <v>-0.68716718689088374</v>
      </c>
      <c r="F242" s="651">
        <v>-0.67530669300495516</v>
      </c>
      <c r="G242" s="654">
        <v>0.26788454162788272</v>
      </c>
      <c r="H242" s="653">
        <v>0.314</v>
      </c>
      <c r="I242" s="920">
        <v>0.52</v>
      </c>
      <c r="J242" s="924">
        <v>6.1239999999999997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940" t="s">
        <v>420</v>
      </c>
      <c r="M242" s="973">
        <f t="shared" si="1084"/>
        <v>-35.360276952469491</v>
      </c>
      <c r="N242" s="941"/>
      <c r="O242" s="942"/>
      <c r="Q242" s="162">
        <f t="shared" si="1076"/>
        <v>-3.4417812110680415</v>
      </c>
      <c r="R242" s="162">
        <f t="shared" si="1077"/>
        <v>2.3091250482779957</v>
      </c>
      <c r="S242" s="162">
        <f t="shared" si="1078"/>
        <v>-0.48840293096203768</v>
      </c>
      <c r="T242" s="162">
        <f t="shared" si="1079"/>
        <v>-0.68716718689088374</v>
      </c>
      <c r="U242" s="162">
        <f t="shared" si="1080"/>
        <v>-0.67530669300495516</v>
      </c>
      <c r="V242" s="162">
        <f t="shared" si="1081"/>
        <v>0.26788454162788272</v>
      </c>
      <c r="W242" s="162">
        <f>IFERROR(IF(ISNUMBER(MATCH($Z242,Settings!$AK$28:$AK$36,0)),INDEX(Settings!$AO$14:$AO$36,MATCH($Z242,Settings!$AK$14:$AK$36,0))/2,INDEX(Settings!$AM$14:$AM$36,MATCH($Z242,Settings!$AK$14:$AK$36,0))/2),"")</f>
        <v>0.3125</v>
      </c>
      <c r="X242" s="162">
        <f t="shared" si="1082"/>
        <v>0.52</v>
      </c>
      <c r="Y242" s="75">
        <v>6.1239999999999997</v>
      </c>
      <c r="Z242" s="917">
        <f t="shared" si="1083"/>
        <v>1613</v>
      </c>
      <c r="AA242" s="82"/>
      <c r="AB242" s="75"/>
      <c r="AC242" s="75"/>
      <c r="AD242" s="166"/>
      <c r="AE242" s="75">
        <v>1.2230000000000001</v>
      </c>
      <c r="AF242" s="82">
        <v>1</v>
      </c>
      <c r="AG242" s="82">
        <v>2</v>
      </c>
      <c r="AH242" s="82">
        <v>1</v>
      </c>
      <c r="AI242" s="82">
        <v>1.0000000000218279</v>
      </c>
      <c r="AJ242" s="166">
        <v>1.2231100000000001</v>
      </c>
      <c r="AK242" s="82" t="str">
        <v>Base</v>
      </c>
      <c r="AL242" s="162">
        <v>-18.75</v>
      </c>
      <c r="AM242" s="162">
        <v>-4.0470214224005918</v>
      </c>
      <c r="AN242" s="162">
        <v>-0.38440426305212505</v>
      </c>
      <c r="AO242" s="162">
        <v>32.403257224374144</v>
      </c>
      <c r="AP242" s="162">
        <v>-23.52307731097898</v>
      </c>
      <c r="AQ242" s="162">
        <v>0</v>
      </c>
      <c r="AR242" s="710" t="str">
        <v>1313.par</v>
      </c>
      <c r="AV242" s="82" t="str">
        <v>255,188,121</v>
      </c>
      <c r="AW242" s="947">
        <v>32.403257224374144</v>
      </c>
      <c r="AX242" s="947">
        <v>32.403257224374144</v>
      </c>
      <c r="AY242" s="947">
        <v>0</v>
      </c>
    </row>
    <row r="243" spans="2:51" x14ac:dyDescent="0.25">
      <c r="B243" s="650">
        <v>-3.8532472546076901</v>
      </c>
      <c r="C243" s="651">
        <v>2.6558007916296562</v>
      </c>
      <c r="D243" s="652">
        <v>-1.0400062582282894</v>
      </c>
      <c r="E243" s="653">
        <v>-0.78603894357677295</v>
      </c>
      <c r="F243" s="651">
        <v>-0.57350484074695474</v>
      </c>
      <c r="G243" s="654">
        <v>0.23072706130950654</v>
      </c>
      <c r="H243" s="653">
        <v>0.314</v>
      </c>
      <c r="I243" s="920">
        <v>0.52</v>
      </c>
      <c r="J243" s="924">
        <v>6.13</v>
      </c>
      <c r="K243" s="790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940" t="s">
        <v>420</v>
      </c>
      <c r="M243" s="973">
        <f t="shared" si="1084"/>
        <v>-54.048010045486649</v>
      </c>
      <c r="N243" s="941"/>
      <c r="O243" s="942"/>
      <c r="Q243" s="162">
        <f t="shared" si="1076"/>
        <v>-3.8532472546076901</v>
      </c>
      <c r="R243" s="162">
        <f t="shared" si="1077"/>
        <v>2.6558007916296562</v>
      </c>
      <c r="S243" s="162">
        <f t="shared" si="1078"/>
        <v>-1.0400062582282894</v>
      </c>
      <c r="T243" s="162">
        <f t="shared" si="1079"/>
        <v>-0.78603894357677295</v>
      </c>
      <c r="U243" s="162">
        <f t="shared" si="1080"/>
        <v>-0.57350484074695474</v>
      </c>
      <c r="V243" s="162">
        <f t="shared" si="1081"/>
        <v>0.23072706130950654</v>
      </c>
      <c r="W243" s="162">
        <f>IFERROR(IF(ISNUMBER(MATCH($Z243,Settings!$AK$28:$AK$36,0)),INDEX(Settings!$AO$14:$AO$36,MATCH($Z243,Settings!$AK$14:$AK$36,0))/2,INDEX(Settings!$AM$14:$AM$36,MATCH($Z243,Settings!$AK$14:$AK$36,0))/2),"")</f>
        <v>0.3125</v>
      </c>
      <c r="X243" s="162">
        <f t="shared" si="1082"/>
        <v>0.52</v>
      </c>
      <c r="Y243" s="75">
        <v>6.13</v>
      </c>
      <c r="Z243" s="917">
        <f t="shared" si="1083"/>
        <v>1613</v>
      </c>
      <c r="AA243" s="82"/>
      <c r="AB243" s="75"/>
      <c r="AC243" s="75"/>
      <c r="AD243" s="166"/>
      <c r="AE243" s="75">
        <v>1.2170000000000001</v>
      </c>
      <c r="AF243" s="82">
        <v>1</v>
      </c>
      <c r="AG243" s="82">
        <v>2</v>
      </c>
      <c r="AH243" s="82">
        <v>1</v>
      </c>
      <c r="AI243" s="82">
        <v>1.0000000000218279</v>
      </c>
      <c r="AJ243" s="166">
        <v>1.2171100000000001</v>
      </c>
      <c r="AK243" s="82" t="str">
        <v>Base</v>
      </c>
      <c r="AL243" s="162">
        <v>-18.75</v>
      </c>
      <c r="AM243" s="162">
        <v>-3.3201755508845281</v>
      </c>
      <c r="AN243" s="162">
        <v>-0.13504641489111385</v>
      </c>
      <c r="AO243" s="162">
        <v>5.9999991337073153</v>
      </c>
      <c r="AP243" s="162">
        <v>0</v>
      </c>
      <c r="AQ243" s="162">
        <v>0</v>
      </c>
      <c r="AR243" s="710" t="str">
        <v>32193r1.par</v>
      </c>
      <c r="AV243" s="82" t="str">
        <v>255,188,121</v>
      </c>
      <c r="AW243" s="947">
        <v>5.9999991337073153</v>
      </c>
      <c r="AX243" s="947">
        <v>5.9999991337073153</v>
      </c>
      <c r="AY243" s="947">
        <v>0</v>
      </c>
    </row>
    <row r="244" spans="2:51" x14ac:dyDescent="0.25">
      <c r="B244" s="650">
        <v>-4.0805153744065441</v>
      </c>
      <c r="C244" s="651">
        <v>2.861460530968277</v>
      </c>
      <c r="D244" s="652">
        <v>-1.7459105162363528</v>
      </c>
      <c r="E244" s="653">
        <v>-0.86894573790422225</v>
      </c>
      <c r="F244" s="651">
        <v>-0.47581074018385494</v>
      </c>
      <c r="G244" s="654">
        <v>0.13615228277109037</v>
      </c>
      <c r="H244" s="653">
        <v>0.314</v>
      </c>
      <c r="I244" s="920">
        <v>0.52</v>
      </c>
      <c r="J244" s="924">
        <v>6.1360000000000001</v>
      </c>
      <c r="K244" s="790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1613</v>
      </c>
      <c r="L244" s="940" t="s">
        <v>420</v>
      </c>
      <c r="M244" s="973">
        <f t="shared" si="1084"/>
        <v>-72.623499997444313</v>
      </c>
      <c r="N244" s="941"/>
      <c r="O244" s="942"/>
      <c r="Q244" s="162">
        <f t="shared" si="1076"/>
        <v>-4.0805153744065441</v>
      </c>
      <c r="R244" s="162">
        <f t="shared" si="1077"/>
        <v>2.861460530968277</v>
      </c>
      <c r="S244" s="162">
        <f t="shared" si="1078"/>
        <v>-1.7459105162363528</v>
      </c>
      <c r="T244" s="162">
        <f t="shared" si="1079"/>
        <v>-0.86894573790422225</v>
      </c>
      <c r="U244" s="162">
        <f t="shared" si="1080"/>
        <v>-0.47581074018385494</v>
      </c>
      <c r="V244" s="162">
        <f t="shared" si="1081"/>
        <v>0.13615228277109037</v>
      </c>
      <c r="W244" s="162">
        <f>IFERROR(IF(ISNUMBER(MATCH($Z244,Settings!$AK$28:$AK$36,0)),INDEX(Settings!$AO$14:$AO$36,MATCH($Z244,Settings!$AK$14:$AK$36,0))/2,INDEX(Settings!$AM$14:$AM$36,MATCH($Z244,Settings!$AK$14:$AK$36,0))/2),"")</f>
        <v>0.3125</v>
      </c>
      <c r="X244" s="162">
        <f t="shared" si="1082"/>
        <v>0.52</v>
      </c>
      <c r="Y244" s="75">
        <v>6.1360000000000001</v>
      </c>
      <c r="Z244" s="917">
        <f t="shared" si="1083"/>
        <v>1613</v>
      </c>
      <c r="AA244" s="82"/>
      <c r="AB244" s="75"/>
      <c r="AC244" s="75"/>
      <c r="AD244" s="166"/>
      <c r="AE244" s="75">
        <v>1.147</v>
      </c>
      <c r="AF244" s="82">
        <v>1</v>
      </c>
      <c r="AG244" s="82">
        <v>1</v>
      </c>
      <c r="AH244" s="82">
        <v>1</v>
      </c>
      <c r="AI244" s="82">
        <v>1.000000000003638</v>
      </c>
      <c r="AJ244" s="166">
        <v>1.1471100000000001</v>
      </c>
      <c r="AK244" s="82" t="str">
        <v>Base</v>
      </c>
      <c r="AL244" s="162">
        <v>-18</v>
      </c>
      <c r="AM244" s="162">
        <v>-5.0550887932628417</v>
      </c>
      <c r="AN244" s="162">
        <v>-3.1002898139244284</v>
      </c>
      <c r="AO244" s="162">
        <v>84.970117416838434</v>
      </c>
      <c r="AP244" s="162">
        <v>-29.785208788526894</v>
      </c>
      <c r="AQ244" s="162">
        <v>0</v>
      </c>
      <c r="AR244" s="710" t="str">
        <v>1613.par</v>
      </c>
      <c r="AV244" s="82" t="str">
        <v>255,127,0</v>
      </c>
      <c r="AW244" s="947">
        <v>84.970117416838434</v>
      </c>
      <c r="AX244" s="947">
        <v>84.970117416838434</v>
      </c>
      <c r="AY244" s="947">
        <v>0</v>
      </c>
    </row>
    <row r="245" spans="2:51" x14ac:dyDescent="0.25">
      <c r="B245" s="650">
        <v>-4.119747063205847</v>
      </c>
      <c r="C245" s="651">
        <v>2.8979909964589323</v>
      </c>
      <c r="D245" s="652">
        <v>-2.508215114450755</v>
      </c>
      <c r="E245" s="653">
        <v>-0.90552443723870402</v>
      </c>
      <c r="F245" s="651">
        <v>-0.42205290684618751</v>
      </c>
      <c r="G245" s="654">
        <v>4.3552696658322884E-2</v>
      </c>
      <c r="H245" s="653">
        <v>0.314</v>
      </c>
      <c r="I245" s="920">
        <v>0.52</v>
      </c>
      <c r="J245" s="924">
        <v>6.1420000000000003</v>
      </c>
      <c r="K245" s="790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1613</v>
      </c>
      <c r="L245" s="940" t="s">
        <v>420</v>
      </c>
      <c r="M245" s="973">
        <f t="shared" si="1084"/>
        <v>-84.96994937215598</v>
      </c>
      <c r="N245" s="941"/>
      <c r="O245" s="942"/>
      <c r="Q245" s="162">
        <f t="shared" si="1076"/>
        <v>-4.119747063205847</v>
      </c>
      <c r="R245" s="162">
        <f t="shared" si="1077"/>
        <v>2.8979909964589323</v>
      </c>
      <c r="S245" s="162">
        <f t="shared" si="1078"/>
        <v>-2.508215114450755</v>
      </c>
      <c r="T245" s="162">
        <f t="shared" si="1079"/>
        <v>-0.90552443723870402</v>
      </c>
      <c r="U245" s="162">
        <f t="shared" si="1080"/>
        <v>-0.42205290684618751</v>
      </c>
      <c r="V245" s="162">
        <f t="shared" si="1081"/>
        <v>4.3552696658322884E-2</v>
      </c>
      <c r="W245" s="162">
        <f>IFERROR(IF(ISNUMBER(MATCH($Z245,Settings!$AK$28:$AK$36,0)),INDEX(Settings!$AO$14:$AO$36,MATCH($Z245,Settings!$AK$14:$AK$36,0))/2,INDEX(Settings!$AM$14:$AM$36,MATCH($Z245,Settings!$AK$14:$AK$36,0))/2),"")</f>
        <v>0.3125</v>
      </c>
      <c r="X245" s="162">
        <f t="shared" si="1082"/>
        <v>0.52</v>
      </c>
      <c r="Y245" s="75">
        <v>6.1420000000000003</v>
      </c>
      <c r="Z245" s="917">
        <f t="shared" si="1083"/>
        <v>1613</v>
      </c>
      <c r="AA245" s="82"/>
      <c r="AB245" s="75"/>
      <c r="AC245" s="75"/>
      <c r="AD245" s="166"/>
      <c r="AE245" s="75">
        <v>1.141</v>
      </c>
      <c r="AF245" s="82">
        <v>1</v>
      </c>
      <c r="AG245" s="82">
        <v>1</v>
      </c>
      <c r="AH245" s="82">
        <v>1</v>
      </c>
      <c r="AI245" s="82">
        <v>1.000000000003638</v>
      </c>
      <c r="AJ245" s="166">
        <v>1.1411100000000001</v>
      </c>
      <c r="AK245" s="82" t="str">
        <v>Base</v>
      </c>
      <c r="AL245" s="162">
        <v>-18</v>
      </c>
      <c r="AM245" s="162">
        <v>-5.0270040657372705</v>
      </c>
      <c r="AN245" s="162">
        <v>-2.3488055316865939</v>
      </c>
      <c r="AO245" s="162">
        <v>84.96994937215598</v>
      </c>
      <c r="AP245" s="162">
        <v>-29.784116024848295</v>
      </c>
      <c r="AQ245" s="162">
        <v>0</v>
      </c>
      <c r="AR245" s="710" t="str">
        <v>1613.par</v>
      </c>
      <c r="AV245" s="82" t="str">
        <v>255,127,0</v>
      </c>
      <c r="AW245" s="947">
        <v>84.96994937215598</v>
      </c>
      <c r="AX245" s="947">
        <v>84.96994937215598</v>
      </c>
      <c r="AY245" s="947">
        <v>0</v>
      </c>
    </row>
    <row r="246" spans="2:51" x14ac:dyDescent="0.25">
      <c r="B246" s="650">
        <v>-4.1389507255501252</v>
      </c>
      <c r="C246" s="651">
        <v>2.9194976688556165</v>
      </c>
      <c r="D246" s="652">
        <v>-3.2597196475192631</v>
      </c>
      <c r="E246" s="653">
        <v>-0.90606878143474701</v>
      </c>
      <c r="F246" s="651">
        <v>-0.420883031165597</v>
      </c>
      <c r="G246" s="654">
        <v>4.3552696658323106E-2</v>
      </c>
      <c r="H246" s="653">
        <v>0.314</v>
      </c>
      <c r="I246" s="920">
        <v>0.52</v>
      </c>
      <c r="J246" s="924">
        <v>6.1479999999999997</v>
      </c>
      <c r="K246" s="790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1613</v>
      </c>
      <c r="L246" s="940" t="s">
        <v>420</v>
      </c>
      <c r="M246" s="973">
        <f t="shared" si="1084"/>
        <v>-84.970117416838406</v>
      </c>
      <c r="N246" s="941"/>
      <c r="O246" s="942"/>
      <c r="Q246" s="162">
        <f t="shared" si="1076"/>
        <v>-4.1389507255501252</v>
      </c>
      <c r="R246" s="162">
        <f t="shared" si="1077"/>
        <v>2.9194976688556165</v>
      </c>
      <c r="S246" s="162">
        <f t="shared" si="1078"/>
        <v>-3.2597196475192631</v>
      </c>
      <c r="T246" s="162">
        <f t="shared" si="1079"/>
        <v>-0.90606878143474701</v>
      </c>
      <c r="U246" s="162">
        <f t="shared" si="1080"/>
        <v>-0.420883031165597</v>
      </c>
      <c r="V246" s="162">
        <f t="shared" si="1081"/>
        <v>4.3552696658323106E-2</v>
      </c>
      <c r="W246" s="162">
        <f>IFERROR(IF(ISNUMBER(MATCH($Z246,Settings!$AK$28:$AK$36,0)),INDEX(Settings!$AO$14:$AO$36,MATCH($Z246,Settings!$AK$14:$AK$36,0))/2,INDEX(Settings!$AM$14:$AM$36,MATCH($Z246,Settings!$AK$14:$AK$36,0))/2),"")</f>
        <v>0.3125</v>
      </c>
      <c r="X246" s="162">
        <f t="shared" si="1082"/>
        <v>0.52</v>
      </c>
      <c r="Y246" s="75">
        <v>6.1479999999999997</v>
      </c>
      <c r="Z246" s="917">
        <f t="shared" si="1083"/>
        <v>1613</v>
      </c>
      <c r="AA246" s="82"/>
      <c r="AB246" s="75"/>
      <c r="AC246" s="75"/>
      <c r="AD246" s="166"/>
      <c r="AE246" s="75">
        <v>1.135</v>
      </c>
      <c r="AF246" s="82">
        <v>1</v>
      </c>
      <c r="AG246" s="82">
        <v>1</v>
      </c>
      <c r="AH246" s="82">
        <v>1</v>
      </c>
      <c r="AI246" s="82">
        <v>1.000000000003638</v>
      </c>
      <c r="AJ246" s="166">
        <v>1.1351100000000001</v>
      </c>
      <c r="AK246" s="82" t="str">
        <v>Base</v>
      </c>
      <c r="AL246" s="162">
        <v>-18</v>
      </c>
      <c r="AM246" s="162">
        <v>-4.9429492165422184</v>
      </c>
      <c r="AN246" s="162">
        <v>-1.5896807792835816</v>
      </c>
      <c r="AO246" s="162">
        <v>69.53293472939626</v>
      </c>
      <c r="AP246" s="162">
        <v>-26.457837763909776</v>
      </c>
      <c r="AQ246" s="162">
        <v>0</v>
      </c>
      <c r="AR246" s="710" t="str">
        <v>1613.par</v>
      </c>
      <c r="AV246" s="82" t="str">
        <v>255,127,0</v>
      </c>
      <c r="AW246" s="947">
        <v>69.53293472939626</v>
      </c>
      <c r="AX246" s="947">
        <v>69.53293472939626</v>
      </c>
      <c r="AY246" s="947">
        <v>0</v>
      </c>
    </row>
    <row r="247" spans="2:51" x14ac:dyDescent="0.25">
      <c r="B247" s="650">
        <v>-2.1770378785297075</v>
      </c>
      <c r="C247" s="651">
        <v>2.6702146909085944</v>
      </c>
      <c r="D247" s="652">
        <v>-0.20203780335620697</v>
      </c>
      <c r="E247" s="653">
        <v>-0.1421467730557735</v>
      </c>
      <c r="F247" s="651">
        <v>0.174348092617993</v>
      </c>
      <c r="G247" s="654">
        <v>0.97437007215446547</v>
      </c>
      <c r="H247" s="653">
        <v>0.25700000000000001</v>
      </c>
      <c r="I247" s="920">
        <v>0.41499999999999992</v>
      </c>
      <c r="J247" s="924">
        <v>6.218</v>
      </c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CPS-32193r1</v>
      </c>
      <c r="L247" s="940" t="s">
        <v>423</v>
      </c>
      <c r="M247" s="973">
        <f>AN92</f>
        <v>-12.999998123032499</v>
      </c>
      <c r="N247" s="941"/>
      <c r="O247" s="942"/>
      <c r="Q247" s="162">
        <f t="shared" si="1076"/>
        <v>-2.1770378785297075</v>
      </c>
      <c r="R247" s="162">
        <f t="shared" si="1077"/>
        <v>2.6702146909085944</v>
      </c>
      <c r="S247" s="162">
        <f t="shared" si="1078"/>
        <v>-0.20203780335620697</v>
      </c>
      <c r="T247" s="162">
        <f t="shared" si="1079"/>
        <v>-0.1421467730557735</v>
      </c>
      <c r="U247" s="162">
        <f t="shared" si="1080"/>
        <v>0.174348092617993</v>
      </c>
      <c r="V247" s="162">
        <f t="shared" si="1081"/>
        <v>0.97437007215446547</v>
      </c>
      <c r="W247" s="162">
        <f>IFERROR(IF(ISNUMBER(MATCH($Z247,Settings!$AK$28:$AK$36,0)),INDEX(Settings!$AO$14:$AO$36,MATCH($Z247,Settings!$AK$14:$AK$36,0))/2,INDEX(Settings!$AM$14:$AM$36,MATCH($Z247,Settings!$AK$14:$AK$36,0))/2),"")</f>
        <v>0.255</v>
      </c>
      <c r="X247" s="162">
        <f t="shared" si="1082"/>
        <v>0.41499999999999992</v>
      </c>
      <c r="Y247" s="75">
        <v>6.218</v>
      </c>
      <c r="Z247" s="917" t="str">
        <f t="shared" si="1083"/>
        <v>CPS-32193r1</v>
      </c>
      <c r="AA247" s="82"/>
      <c r="AB247" s="75"/>
      <c r="AC247" s="75"/>
      <c r="AD247" s="166"/>
      <c r="AE247" s="75">
        <v>1.129</v>
      </c>
      <c r="AF247" s="82">
        <v>1</v>
      </c>
      <c r="AG247" s="82">
        <v>1</v>
      </c>
      <c r="AH247" s="82">
        <v>1</v>
      </c>
      <c r="AI247" s="82">
        <v>1.000000000003638</v>
      </c>
      <c r="AJ247" s="166">
        <v>1.1291100000000001</v>
      </c>
      <c r="AK247" s="82" t="str">
        <v>Base</v>
      </c>
      <c r="AL247" s="162">
        <v>-18</v>
      </c>
      <c r="AM247" s="162">
        <v>-4.599152845196758</v>
      </c>
      <c r="AN247" s="162">
        <v>-0.90531710786203867</v>
      </c>
      <c r="AO247" s="162">
        <v>50.943025181030578</v>
      </c>
      <c r="AP247" s="162">
        <v>-22.478543785706282</v>
      </c>
      <c r="AQ247" s="162">
        <v>0</v>
      </c>
      <c r="AR247" s="710" t="str">
        <v>1613.par</v>
      </c>
      <c r="AV247" s="82" t="str">
        <v>255,127,0</v>
      </c>
      <c r="AW247" s="947">
        <v>50.943025181030578</v>
      </c>
      <c r="AX247" s="947">
        <v>50.943025181030578</v>
      </c>
      <c r="AY247" s="947">
        <v>0</v>
      </c>
    </row>
    <row r="248" spans="2:51" x14ac:dyDescent="0.25">
      <c r="B248" s="650">
        <v>-2.7088614823875843</v>
      </c>
      <c r="C248" s="651">
        <v>3.1238778875104485</v>
      </c>
      <c r="D248" s="652">
        <v>-0.52729965041995608</v>
      </c>
      <c r="E248" s="653">
        <v>-0.36634834604269323</v>
      </c>
      <c r="F248" s="651">
        <v>0.42247545870086312</v>
      </c>
      <c r="G248" s="654">
        <v>0.82903762046560858</v>
      </c>
      <c r="H248" s="653">
        <v>0.25700000000000001</v>
      </c>
      <c r="I248" s="920">
        <v>0.41499999999999992</v>
      </c>
      <c r="J248" s="924">
        <v>6.2240000000000002</v>
      </c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CPS-32193r1</v>
      </c>
      <c r="L248" s="940" t="s">
        <v>423</v>
      </c>
      <c r="M248" s="973">
        <f t="shared" si="1084"/>
        <v>-33.999995091008067</v>
      </c>
      <c r="N248" s="941"/>
      <c r="O248" s="942"/>
      <c r="Q248" s="162">
        <f t="shared" si="1076"/>
        <v>-2.7088614823875843</v>
      </c>
      <c r="R248" s="162">
        <f t="shared" si="1077"/>
        <v>3.1238778875104485</v>
      </c>
      <c r="S248" s="162">
        <f t="shared" si="1078"/>
        <v>-0.52729965041995608</v>
      </c>
      <c r="T248" s="162">
        <f t="shared" si="1079"/>
        <v>-0.36634834604269323</v>
      </c>
      <c r="U248" s="162">
        <f t="shared" si="1080"/>
        <v>0.42247545870086312</v>
      </c>
      <c r="V248" s="162">
        <f t="shared" si="1081"/>
        <v>0.82903762046560858</v>
      </c>
      <c r="W248" s="162">
        <f>IFERROR(IF(ISNUMBER(MATCH($Z248,Settings!$AK$28:$AK$36,0)),INDEX(Settings!$AO$14:$AO$36,MATCH($Z248,Settings!$AK$14:$AK$36,0))/2,INDEX(Settings!$AM$14:$AM$36,MATCH($Z248,Settings!$AK$14:$AK$36,0))/2),"")</f>
        <v>0.255</v>
      </c>
      <c r="X248" s="162">
        <f t="shared" si="1082"/>
        <v>0.41499999999999992</v>
      </c>
      <c r="Y248" s="75">
        <v>6.2240000000000002</v>
      </c>
      <c r="Z248" s="917" t="str">
        <f t="shared" si="1083"/>
        <v>CPS-32193r1</v>
      </c>
      <c r="AA248" s="82"/>
      <c r="AB248" s="75"/>
      <c r="AC248" s="75"/>
      <c r="AD248" s="166"/>
      <c r="AE248" s="75">
        <v>1.123</v>
      </c>
      <c r="AF248" s="82">
        <v>1</v>
      </c>
      <c r="AG248" s="82">
        <v>1</v>
      </c>
      <c r="AH248" s="82">
        <v>1</v>
      </c>
      <c r="AI248" s="82">
        <v>1.000000000003638</v>
      </c>
      <c r="AJ248" s="166">
        <v>1.1231100000000001</v>
      </c>
      <c r="AK248" s="82" t="str">
        <v>Base</v>
      </c>
      <c r="AL248" s="162">
        <v>-18</v>
      </c>
      <c r="AM248" s="162">
        <v>-4.0340922214204733</v>
      </c>
      <c r="AN248" s="162">
        <v>-0.38786249527802907</v>
      </c>
      <c r="AO248" s="162">
        <v>32.228901208944677</v>
      </c>
      <c r="AP248" s="162">
        <v>-18.518146153032774</v>
      </c>
      <c r="AQ248" s="162">
        <v>0</v>
      </c>
      <c r="AR248" s="710" t="str">
        <v>1613.par</v>
      </c>
      <c r="AV248" s="82" t="str">
        <v>255,127,0</v>
      </c>
      <c r="AW248" s="947">
        <v>32.228901208944677</v>
      </c>
      <c r="AX248" s="947">
        <v>32.228901208944677</v>
      </c>
      <c r="AY248" s="947">
        <v>0</v>
      </c>
    </row>
    <row r="249" spans="2:51" x14ac:dyDescent="0.25">
      <c r="B249" s="650">
        <v>-3.1164970620685604</v>
      </c>
      <c r="C249" s="651">
        <v>3.4628419267043786</v>
      </c>
      <c r="D249" s="652">
        <v>-1.077526991199758</v>
      </c>
      <c r="E249" s="653">
        <v>-0.5479778803189832</v>
      </c>
      <c r="F249" s="651">
        <v>0.60887616483606544</v>
      </c>
      <c r="G249" s="654">
        <v>0.57357654988295925</v>
      </c>
      <c r="H249" s="653">
        <v>0.25700000000000001</v>
      </c>
      <c r="I249" s="920">
        <v>0.41499999999999992</v>
      </c>
      <c r="J249" s="924">
        <v>6.23</v>
      </c>
      <c r="K249" s="790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CPS-32193r1</v>
      </c>
      <c r="L249" s="940" t="s">
        <v>423</v>
      </c>
      <c r="M249" s="973">
        <f t="shared" si="1084"/>
        <v>-54.999992058983658</v>
      </c>
      <c r="N249" s="941"/>
      <c r="O249" s="942"/>
      <c r="Q249" s="162">
        <f t="shared" si="1076"/>
        <v>-3.1164970620685604</v>
      </c>
      <c r="R249" s="162">
        <f t="shared" si="1077"/>
        <v>3.4628419267043786</v>
      </c>
      <c r="S249" s="162">
        <f t="shared" si="1078"/>
        <v>-1.077526991199758</v>
      </c>
      <c r="T249" s="162">
        <f t="shared" si="1079"/>
        <v>-0.5479778803189832</v>
      </c>
      <c r="U249" s="162">
        <f t="shared" si="1080"/>
        <v>0.60887616483606544</v>
      </c>
      <c r="V249" s="162">
        <f t="shared" si="1081"/>
        <v>0.57357654988295925</v>
      </c>
      <c r="W249" s="162">
        <f>IFERROR(IF(ISNUMBER(MATCH($Z249,Settings!$AK$28:$AK$36,0)),INDEX(Settings!$AO$14:$AO$36,MATCH($Z249,Settings!$AK$14:$AK$36,0))/2,INDEX(Settings!$AM$14:$AM$36,MATCH($Z249,Settings!$AK$14:$AK$36,0))/2),"")</f>
        <v>0.255</v>
      </c>
      <c r="X249" s="162">
        <f t="shared" si="1082"/>
        <v>0.41499999999999992</v>
      </c>
      <c r="Y249" s="75">
        <v>6.23</v>
      </c>
      <c r="Z249" s="917" t="str">
        <f t="shared" si="1083"/>
        <v>CPS-32193r1</v>
      </c>
      <c r="AA249" s="82"/>
      <c r="AB249" s="75"/>
      <c r="AC249" s="75"/>
      <c r="AD249" s="166"/>
      <c r="AE249" s="75">
        <v>1.117</v>
      </c>
      <c r="AF249" s="82">
        <v>1</v>
      </c>
      <c r="AG249" s="82">
        <v>1</v>
      </c>
      <c r="AH249" s="82">
        <v>1</v>
      </c>
      <c r="AI249" s="82">
        <v>1.000000000003638</v>
      </c>
      <c r="AJ249" s="166">
        <v>1.11711</v>
      </c>
      <c r="AK249" s="82" t="str">
        <v>Base</v>
      </c>
      <c r="AL249" s="162">
        <v>-18</v>
      </c>
      <c r="AM249" s="162">
        <v>-3.3213108411312309</v>
      </c>
      <c r="AN249" s="162">
        <v>-0.10551364369308829</v>
      </c>
      <c r="AO249" s="162">
        <v>13.374429842880255</v>
      </c>
      <c r="AP249" s="162">
        <v>-15.719986249129448</v>
      </c>
      <c r="AQ249" s="162">
        <v>0</v>
      </c>
      <c r="AR249" s="710" t="str">
        <v>1613 Ripper.par</v>
      </c>
      <c r="AV249" s="82" t="str">
        <v>255,127,0</v>
      </c>
      <c r="AW249" s="947">
        <v>13.374429842880255</v>
      </c>
      <c r="AX249" s="947">
        <v>13.374429842880255</v>
      </c>
      <c r="AY249" s="947">
        <v>0</v>
      </c>
    </row>
    <row r="250" spans="2:51" x14ac:dyDescent="0.25">
      <c r="B250" s="650">
        <v>-3.3342933249960316</v>
      </c>
      <c r="C250" s="651">
        <v>3.6571216924399015</v>
      </c>
      <c r="D250" s="652">
        <v>-1.7777544182838394</v>
      </c>
      <c r="E250" s="653">
        <v>-0.65372534475586086</v>
      </c>
      <c r="F250" s="651">
        <v>0.71701944195544065</v>
      </c>
      <c r="G250" s="654">
        <v>0.2419220814265195</v>
      </c>
      <c r="H250" s="653">
        <v>0.25700000000000001</v>
      </c>
      <c r="I250" s="920">
        <v>0.41499999999999992</v>
      </c>
      <c r="J250" s="924">
        <v>6.2359999999999998</v>
      </c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>CPS-32193r1</v>
      </c>
      <c r="L250" s="940" t="s">
        <v>423</v>
      </c>
      <c r="M250" s="973">
        <f t="shared" si="1084"/>
        <v>-75.999989026959227</v>
      </c>
      <c r="N250" s="941"/>
      <c r="O250" s="942"/>
      <c r="Q250" s="162">
        <f t="shared" si="1076"/>
        <v>-3.3342933249960316</v>
      </c>
      <c r="R250" s="162">
        <f t="shared" si="1077"/>
        <v>3.6571216924399015</v>
      </c>
      <c r="S250" s="162">
        <f t="shared" si="1078"/>
        <v>-1.7777544182838394</v>
      </c>
      <c r="T250" s="162">
        <f t="shared" si="1079"/>
        <v>-0.65372534475586086</v>
      </c>
      <c r="U250" s="162">
        <f t="shared" si="1080"/>
        <v>0.71701944195544065</v>
      </c>
      <c r="V250" s="162">
        <f t="shared" si="1081"/>
        <v>0.2419220814265195</v>
      </c>
      <c r="W250" s="162">
        <f>IFERROR(IF(ISNUMBER(MATCH($Z250,Settings!$AK$28:$AK$36,0)),INDEX(Settings!$AO$14:$AO$36,MATCH($Z250,Settings!$AK$14:$AK$36,0))/2,INDEX(Settings!$AM$14:$AM$36,MATCH($Z250,Settings!$AK$14:$AK$36,0))/2),"")</f>
        <v>0.255</v>
      </c>
      <c r="X250" s="162">
        <f t="shared" si="1082"/>
        <v>0.41499999999999992</v>
      </c>
      <c r="Y250" s="75">
        <v>6.2359999999999998</v>
      </c>
      <c r="Z250" s="917" t="str">
        <f t="shared" si="1083"/>
        <v>CPS-32193r1</v>
      </c>
      <c r="AA250" s="82"/>
      <c r="AB250" s="75"/>
      <c r="AC250" s="75"/>
      <c r="AD250" s="166"/>
      <c r="AE250" s="75">
        <v>1.111</v>
      </c>
      <c r="AF250" s="82">
        <v>1</v>
      </c>
      <c r="AG250" s="82">
        <v>1</v>
      </c>
      <c r="AH250" s="82">
        <v>1</v>
      </c>
      <c r="AI250" s="82">
        <v>1.000000000003638</v>
      </c>
      <c r="AJ250" s="166">
        <v>1.11111</v>
      </c>
      <c r="AK250" s="82" t="str">
        <v>Base</v>
      </c>
      <c r="AL250" s="162">
        <v>-18</v>
      </c>
      <c r="AM250" s="162">
        <v>-2.5545423236824747</v>
      </c>
      <c r="AN250" s="162">
        <v>-9.5877277615637829E-2</v>
      </c>
      <c r="AO250" s="162">
        <v>-5.4571267998021593</v>
      </c>
      <c r="AP250" s="162">
        <v>-15.23519930996278</v>
      </c>
      <c r="AQ250" s="162">
        <v>0</v>
      </c>
      <c r="AR250" s="710" t="str">
        <v>1613 Ripper.par</v>
      </c>
      <c r="AV250" s="82" t="str">
        <v>255,127,0</v>
      </c>
      <c r="AW250" s="947">
        <v>-5.4571267998021593</v>
      </c>
      <c r="AX250" s="947">
        <v>-5.4571267998021593</v>
      </c>
      <c r="AY250" s="947">
        <v>0</v>
      </c>
    </row>
    <row r="251" spans="2:51" x14ac:dyDescent="0.25">
      <c r="B251" s="650">
        <v>-3.3671178074450063</v>
      </c>
      <c r="C251" s="651">
        <v>3.6865252839574776</v>
      </c>
      <c r="D251" s="652">
        <v>-2.5328581171971742</v>
      </c>
      <c r="E251" s="653">
        <v>-0.67439605391200885</v>
      </c>
      <c r="F251" s="651">
        <v>0.73836980062016311</v>
      </c>
      <c r="G251" s="654">
        <v>2.2679489637689168E-7</v>
      </c>
      <c r="H251" s="653">
        <v>0.25700000000000001</v>
      </c>
      <c r="I251" s="920">
        <v>0.41499999999999992</v>
      </c>
      <c r="J251" s="924">
        <v>6.242</v>
      </c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>CPS-32193r1</v>
      </c>
      <c r="L251" s="940" t="s">
        <v>423</v>
      </c>
      <c r="M251" s="973">
        <f t="shared" si="1084"/>
        <v>-89.999987005609626</v>
      </c>
      <c r="N251" s="941"/>
      <c r="O251" s="942"/>
      <c r="Q251" s="162">
        <f t="shared" si="1076"/>
        <v>-3.3671178074450063</v>
      </c>
      <c r="R251" s="162">
        <f t="shared" si="1077"/>
        <v>3.6865252839574776</v>
      </c>
      <c r="S251" s="162">
        <f t="shared" si="1078"/>
        <v>-2.5328581171971742</v>
      </c>
      <c r="T251" s="162">
        <f t="shared" si="1079"/>
        <v>-0.67439605391200885</v>
      </c>
      <c r="U251" s="162">
        <f t="shared" si="1080"/>
        <v>0.73836980062016311</v>
      </c>
      <c r="V251" s="162">
        <f t="shared" si="1081"/>
        <v>2.2679489637689168E-7</v>
      </c>
      <c r="W251" s="162">
        <f>IFERROR(IF(ISNUMBER(MATCH($Z251,Settings!$AK$28:$AK$36,0)),INDEX(Settings!$AO$14:$AO$36,MATCH($Z251,Settings!$AK$14:$AK$36,0))/2,INDEX(Settings!$AM$14:$AM$36,MATCH($Z251,Settings!$AK$14:$AK$36,0))/2),"")</f>
        <v>0.255</v>
      </c>
      <c r="X251" s="162">
        <f t="shared" si="1082"/>
        <v>0.41499999999999992</v>
      </c>
      <c r="Y251" s="75">
        <v>6.242</v>
      </c>
      <c r="Z251" s="917" t="str">
        <f t="shared" si="1083"/>
        <v>CPS-32193r1</v>
      </c>
      <c r="AA251" s="82"/>
      <c r="AB251" s="75"/>
      <c r="AC251" s="75"/>
      <c r="AD251" s="166"/>
      <c r="AE251" s="75">
        <v>1.107</v>
      </c>
      <c r="AF251" s="82">
        <v>1</v>
      </c>
      <c r="AG251" s="82">
        <v>1</v>
      </c>
      <c r="AH251" s="82">
        <v>1</v>
      </c>
      <c r="AI251" s="82">
        <v>1.000000000003638</v>
      </c>
      <c r="AJ251" s="166">
        <v>1.10711</v>
      </c>
      <c r="AK251" s="82" t="str">
        <v>Base</v>
      </c>
      <c r="AL251" s="162">
        <v>-18</v>
      </c>
      <c r="AM251" s="162">
        <v>-1.8451111286626787</v>
      </c>
      <c r="AN251" s="162">
        <v>-0.27659789570570875</v>
      </c>
      <c r="AO251" s="162">
        <v>-12.188363844259069</v>
      </c>
      <c r="AP251" s="162">
        <v>-15.1154526663362</v>
      </c>
      <c r="AQ251" s="162">
        <v>0</v>
      </c>
      <c r="AR251" s="710" t="str">
        <v>1613 Ripper.par</v>
      </c>
      <c r="AV251" s="82" t="str">
        <v>255,127,0</v>
      </c>
      <c r="AW251" s="947">
        <v>-12.188363844259069</v>
      </c>
      <c r="AX251" s="947">
        <v>-12.188363844259069</v>
      </c>
      <c r="AY251" s="947">
        <v>0</v>
      </c>
    </row>
    <row r="252" spans="2:51" x14ac:dyDescent="0.25">
      <c r="B252" s="650">
        <v>-3.3858148758125473</v>
      </c>
      <c r="C252" s="651">
        <v>3.7074845017079396</v>
      </c>
      <c r="D252" s="652">
        <v>-3.2842455827189281</v>
      </c>
      <c r="E252" s="653">
        <v>-0.67434760161948892</v>
      </c>
      <c r="F252" s="651">
        <v>0.73841405199927757</v>
      </c>
      <c r="G252" s="654">
        <v>2.2679489684873658E-7</v>
      </c>
      <c r="H252" s="653">
        <v>0.25700000000000001</v>
      </c>
      <c r="I252" s="920">
        <v>0.41499999999999992</v>
      </c>
      <c r="J252" s="924">
        <v>6.2480000000000002</v>
      </c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>CPS-32193r1</v>
      </c>
      <c r="L252" s="940" t="s">
        <v>423</v>
      </c>
      <c r="M252" s="973">
        <f t="shared" si="1084"/>
        <v>-89.999987005609597</v>
      </c>
      <c r="N252" s="941"/>
      <c r="O252" s="942"/>
      <c r="Q252" s="162">
        <f t="shared" si="1076"/>
        <v>-3.3858148758125473</v>
      </c>
      <c r="R252" s="162">
        <f t="shared" si="1077"/>
        <v>3.7074845017079396</v>
      </c>
      <c r="S252" s="162">
        <f t="shared" si="1078"/>
        <v>-3.2842455827189281</v>
      </c>
      <c r="T252" s="162">
        <f t="shared" si="1079"/>
        <v>-0.67434760161948892</v>
      </c>
      <c r="U252" s="162">
        <f t="shared" si="1080"/>
        <v>0.73841405199927757</v>
      </c>
      <c r="V252" s="162">
        <f t="shared" si="1081"/>
        <v>2.2679489684873658E-7</v>
      </c>
      <c r="W252" s="162">
        <f>IFERROR(IF(ISNUMBER(MATCH($Z252,Settings!$AK$28:$AK$36,0)),INDEX(Settings!$AO$14:$AO$36,MATCH($Z252,Settings!$AK$14:$AK$36,0))/2,INDEX(Settings!$AM$14:$AM$36,MATCH($Z252,Settings!$AK$14:$AK$36,0))/2),"")</f>
        <v>0.255</v>
      </c>
      <c r="X252" s="162">
        <f t="shared" si="1082"/>
        <v>0.41499999999999992</v>
      </c>
      <c r="Y252" s="75">
        <v>6.2480000000000002</v>
      </c>
      <c r="Z252" s="917" t="str">
        <f t="shared" si="1083"/>
        <v>CPS-32193r1</v>
      </c>
      <c r="AA252" s="82"/>
      <c r="AB252" s="75"/>
      <c r="AC252" s="75"/>
      <c r="AD252" s="166"/>
      <c r="AE252" s="75">
        <v>1.1040000000000001</v>
      </c>
      <c r="AF252" s="82">
        <v>1</v>
      </c>
      <c r="AG252" s="82">
        <v>1</v>
      </c>
      <c r="AH252" s="82">
        <v>1</v>
      </c>
      <c r="AI252" s="82">
        <v>1.0000000000218279</v>
      </c>
      <c r="AJ252" s="166">
        <v>1.1041100000000001</v>
      </c>
      <c r="AK252" s="82" t="str">
        <v>Base</v>
      </c>
      <c r="AL252" s="162">
        <v>-18</v>
      </c>
      <c r="AM252" s="162">
        <v>-1.117872544258617</v>
      </c>
      <c r="AN252" s="162">
        <v>-0.47139065403097141</v>
      </c>
      <c r="AO252" s="162">
        <v>-13.592723484172373</v>
      </c>
      <c r="AP252" s="162">
        <v>-15.202531777354526</v>
      </c>
      <c r="AQ252" s="162">
        <v>0</v>
      </c>
      <c r="AR252" s="710" t="str">
        <v>1613 Ripper.par</v>
      </c>
      <c r="AV252" s="82" t="str">
        <v>255,127,0</v>
      </c>
      <c r="AW252" s="947">
        <v>-13.592723484172373</v>
      </c>
      <c r="AX252" s="947">
        <v>-13.592723484172373</v>
      </c>
      <c r="AY252" s="947">
        <v>0</v>
      </c>
    </row>
    <row r="253" spans="2:51" x14ac:dyDescent="0.25">
      <c r="B253" s="650">
        <v>4.9824844706461544</v>
      </c>
      <c r="C253" s="651">
        <v>1.2422691148147689</v>
      </c>
      <c r="D253" s="652">
        <v>-9.5000286520864154</v>
      </c>
      <c r="E253" s="653">
        <v>0.42889641180125504</v>
      </c>
      <c r="F253" s="651">
        <v>0.89643132942197401</v>
      </c>
      <c r="G253" s="654">
        <v>-0.11161872412261593</v>
      </c>
      <c r="H253" s="653">
        <v>0.26600000000000001</v>
      </c>
      <c r="I253" s="920">
        <v>0.52</v>
      </c>
      <c r="J253" s="924">
        <v>6.2539999999999996</v>
      </c>
      <c r="K253" s="790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>1313</v>
      </c>
      <c r="L253" s="940" t="s">
        <v>424</v>
      </c>
      <c r="M253" s="973">
        <f t="shared" si="1084"/>
        <v>-100.03561890671624</v>
      </c>
      <c r="N253" s="941"/>
      <c r="O253" s="942"/>
      <c r="Q253" s="162">
        <f t="shared" si="1076"/>
        <v>4.9824844706461544</v>
      </c>
      <c r="R253" s="162">
        <f t="shared" si="1077"/>
        <v>1.2422691148147689</v>
      </c>
      <c r="S253" s="162">
        <f t="shared" si="1078"/>
        <v>-9.5000286520864154</v>
      </c>
      <c r="T253" s="162">
        <f t="shared" si="1079"/>
        <v>0.42889641180125504</v>
      </c>
      <c r="U253" s="162">
        <f t="shared" si="1080"/>
        <v>0.89643132942197401</v>
      </c>
      <c r="V253" s="162">
        <f t="shared" si="1081"/>
        <v>-0.11161872412261593</v>
      </c>
      <c r="W253" s="162">
        <f>IFERROR(IF(ISNUMBER(MATCH($Z253,Settings!$AK$28:$AK$36,0)),INDEX(Settings!$AO$14:$AO$36,MATCH($Z253,Settings!$AK$14:$AK$36,0))/2,INDEX(Settings!$AM$14:$AM$36,MATCH($Z253,Settings!$AK$14:$AK$36,0))/2),"")</f>
        <v>0.26450000000000001</v>
      </c>
      <c r="X253" s="162">
        <f t="shared" si="1082"/>
        <v>0.52</v>
      </c>
      <c r="Y253" s="75">
        <v>6.2539999999999996</v>
      </c>
      <c r="Z253" s="917">
        <f t="shared" si="1083"/>
        <v>1313</v>
      </c>
      <c r="AA253" s="82"/>
      <c r="AB253" s="75"/>
      <c r="AC253" s="75"/>
      <c r="AD253" s="166"/>
      <c r="AE253" s="75">
        <v>1.101</v>
      </c>
      <c r="AF253" s="82">
        <v>1</v>
      </c>
      <c r="AG253" s="82">
        <v>1</v>
      </c>
      <c r="AH253" s="82">
        <v>1</v>
      </c>
      <c r="AI253" s="82">
        <v>1.000000000003638</v>
      </c>
      <c r="AJ253" s="166">
        <v>1.10111</v>
      </c>
      <c r="AK253" s="82" t="str">
        <v>Base</v>
      </c>
      <c r="AL253" s="162">
        <v>-18</v>
      </c>
      <c r="AM253" s="162">
        <v>-0.34590084040938435</v>
      </c>
      <c r="AN253" s="162">
        <v>-0.679440537686125</v>
      </c>
      <c r="AO253" s="162">
        <v>-18.141294048916745</v>
      </c>
      <c r="AP253" s="162">
        <v>-20.759298132405352</v>
      </c>
      <c r="AQ253" s="162">
        <v>0</v>
      </c>
      <c r="AR253" s="710" t="str">
        <v>1613.par</v>
      </c>
      <c r="AV253" s="82" t="str">
        <v>255,127,0</v>
      </c>
      <c r="AW253" s="947">
        <v>-18.141294048916745</v>
      </c>
      <c r="AX253" s="947">
        <v>-18.141294048916745</v>
      </c>
      <c r="AY253" s="947">
        <v>0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3"/>
      <c r="M254" s="973"/>
      <c r="N254" s="941"/>
      <c r="O254" s="942"/>
      <c r="Q254" s="162" t="str">
        <f t="shared" si="1076"/>
        <v/>
      </c>
      <c r="R254" s="162" t="str">
        <f t="shared" si="1077"/>
        <v/>
      </c>
      <c r="S254" s="162" t="str">
        <f t="shared" si="1078"/>
        <v/>
      </c>
      <c r="T254" s="162" t="str">
        <f t="shared" si="1079"/>
        <v/>
      </c>
      <c r="U254" s="162" t="str">
        <f t="shared" si="1080"/>
        <v/>
      </c>
      <c r="V254" s="162" t="str">
        <f t="shared" si="1081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2"/>
        <v/>
      </c>
      <c r="Y254" s="75"/>
      <c r="Z254" s="917" t="str">
        <f t="shared" si="1083"/>
        <v/>
      </c>
      <c r="AA254" s="82"/>
      <c r="AB254" s="75"/>
      <c r="AC254" s="75"/>
      <c r="AD254" s="166"/>
      <c r="AE254" s="75">
        <v>6.2539999999999996</v>
      </c>
      <c r="AF254" s="82">
        <v>6</v>
      </c>
      <c r="AG254" s="82">
        <v>2</v>
      </c>
      <c r="AH254" s="82">
        <v>2</v>
      </c>
      <c r="AI254" s="82">
        <v>0.99999999998544808</v>
      </c>
      <c r="AJ254" s="166">
        <v>6.2542099999999996</v>
      </c>
      <c r="AK254" s="82">
        <v>6.2541099999999998</v>
      </c>
      <c r="AL254" s="162">
        <v>0</v>
      </c>
      <c r="AM254" s="162">
        <v>0</v>
      </c>
      <c r="AN254" s="162">
        <v>0</v>
      </c>
      <c r="AO254" s="162">
        <v>0</v>
      </c>
      <c r="AP254" s="162">
        <v>0</v>
      </c>
      <c r="AQ254" s="162">
        <v>0</v>
      </c>
      <c r="AR254" s="710" t="str">
        <v>1313.par</v>
      </c>
      <c r="AV254" s="82" t="str">
        <v>188,121,255</v>
      </c>
      <c r="AW254" s="947">
        <v>100.03561890671624</v>
      </c>
      <c r="AX254" s="947">
        <v>100.03561890671624</v>
      </c>
      <c r="AY254" s="947">
        <v>0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3"/>
      <c r="M255" s="973"/>
      <c r="N255" s="941"/>
      <c r="O255" s="942"/>
      <c r="Q255" s="162" t="str">
        <f t="shared" si="1076"/>
        <v/>
      </c>
      <c r="R255" s="162" t="str">
        <f t="shared" si="1077"/>
        <v/>
      </c>
      <c r="S255" s="162" t="str">
        <f t="shared" si="1078"/>
        <v/>
      </c>
      <c r="T255" s="162" t="str">
        <f t="shared" si="1079"/>
        <v/>
      </c>
      <c r="U255" s="162" t="str">
        <f t="shared" si="1080"/>
        <v/>
      </c>
      <c r="V255" s="162" t="str">
        <f t="shared" si="1081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2"/>
        <v/>
      </c>
      <c r="Y255" s="75"/>
      <c r="Z255" s="917" t="str">
        <f t="shared" si="1083"/>
        <v/>
      </c>
      <c r="AA255" s="82"/>
      <c r="AB255" s="75"/>
      <c r="AC255" s="75"/>
      <c r="AD255" s="166"/>
      <c r="AE255" s="75">
        <v>6.2480000000000002</v>
      </c>
      <c r="AF255" s="82">
        <v>6</v>
      </c>
      <c r="AG255" s="82">
        <v>2</v>
      </c>
      <c r="AH255" s="82">
        <v>2</v>
      </c>
      <c r="AI255" s="82">
        <v>1.0000000000582077</v>
      </c>
      <c r="AJ255" s="166">
        <v>6.2482100000000003</v>
      </c>
      <c r="AK255" s="82">
        <v>6.2481100000000005</v>
      </c>
      <c r="AL255" s="162">
        <v>0</v>
      </c>
      <c r="AM255" s="162">
        <v>0</v>
      </c>
      <c r="AN255" s="162">
        <v>0</v>
      </c>
      <c r="AO255" s="162">
        <v>0</v>
      </c>
      <c r="AP255" s="162">
        <v>0</v>
      </c>
      <c r="AQ255" s="162">
        <v>0</v>
      </c>
      <c r="AR255" s="710" t="str">
        <v>32193r1.par</v>
      </c>
      <c r="AV255" s="82" t="str">
        <v>188,121,255</v>
      </c>
      <c r="AW255" s="947">
        <v>89.999987005609597</v>
      </c>
      <c r="AX255" s="947">
        <v>89.999987005609597</v>
      </c>
      <c r="AY255" s="947">
        <v>0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3"/>
      <c r="M256" s="973"/>
      <c r="N256" s="941"/>
      <c r="O256" s="942"/>
      <c r="Q256" s="162" t="str">
        <f t="shared" si="1076"/>
        <v/>
      </c>
      <c r="R256" s="162" t="str">
        <f t="shared" si="1077"/>
        <v/>
      </c>
      <c r="S256" s="162" t="str">
        <f t="shared" si="1078"/>
        <v/>
      </c>
      <c r="T256" s="162" t="str">
        <f t="shared" si="1079"/>
        <v/>
      </c>
      <c r="U256" s="162" t="str">
        <f t="shared" si="1080"/>
        <v/>
      </c>
      <c r="V256" s="162" t="str">
        <f t="shared" si="1081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2"/>
        <v/>
      </c>
      <c r="Y256" s="75"/>
      <c r="Z256" s="917" t="str">
        <f t="shared" si="1083"/>
        <v/>
      </c>
      <c r="AA256" s="82"/>
      <c r="AB256" s="75"/>
      <c r="AC256" s="75"/>
      <c r="AD256" s="166"/>
      <c r="AE256" s="75">
        <v>6.242</v>
      </c>
      <c r="AF256" s="82">
        <v>6</v>
      </c>
      <c r="AG256" s="82">
        <v>2</v>
      </c>
      <c r="AH256" s="82">
        <v>2</v>
      </c>
      <c r="AI256" s="82">
        <v>0.99999999998544808</v>
      </c>
      <c r="AJ256" s="166">
        <v>6.24221</v>
      </c>
      <c r="AK256" s="82">
        <v>6.2421100000000003</v>
      </c>
      <c r="AL256" s="162">
        <v>0</v>
      </c>
      <c r="AM256" s="162">
        <v>0</v>
      </c>
      <c r="AN256" s="162">
        <v>0</v>
      </c>
      <c r="AO256" s="162">
        <v>0</v>
      </c>
      <c r="AP256" s="162">
        <v>0</v>
      </c>
      <c r="AQ256" s="162">
        <v>0</v>
      </c>
      <c r="AR256" s="710" t="str">
        <v>32193r1.par</v>
      </c>
      <c r="AV256" s="82" t="str">
        <v>188,121,255</v>
      </c>
      <c r="AW256" s="947">
        <v>89.999987005609626</v>
      </c>
      <c r="AX256" s="947">
        <v>89.999987005609626</v>
      </c>
      <c r="AY256" s="947">
        <v>0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3"/>
      <c r="M257" s="973"/>
      <c r="N257" s="941"/>
      <c r="O257" s="942"/>
      <c r="Q257" s="162" t="str">
        <f t="shared" si="1076"/>
        <v/>
      </c>
      <c r="R257" s="162" t="str">
        <f t="shared" si="1077"/>
        <v/>
      </c>
      <c r="S257" s="162" t="str">
        <f t="shared" si="1078"/>
        <v/>
      </c>
      <c r="T257" s="162" t="str">
        <f t="shared" si="1079"/>
        <v/>
      </c>
      <c r="U257" s="162" t="str">
        <f t="shared" si="1080"/>
        <v/>
      </c>
      <c r="V257" s="162" t="str">
        <f t="shared" si="1081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2"/>
        <v/>
      </c>
      <c r="Y257" s="75"/>
      <c r="Z257" s="917" t="str">
        <f t="shared" si="1083"/>
        <v/>
      </c>
      <c r="AA257" s="82"/>
      <c r="AB257" s="75"/>
      <c r="AC257" s="75"/>
      <c r="AD257" s="166"/>
      <c r="AE257" s="75">
        <v>6.2359999999999998</v>
      </c>
      <c r="AF257" s="82">
        <v>6</v>
      </c>
      <c r="AG257" s="82">
        <v>2</v>
      </c>
      <c r="AH257" s="82">
        <v>2</v>
      </c>
      <c r="AI257" s="82">
        <v>0.99999999998544808</v>
      </c>
      <c r="AJ257" s="166">
        <v>6.2362099999999998</v>
      </c>
      <c r="AK257" s="82">
        <v>6.23611</v>
      </c>
      <c r="AL257" s="162">
        <v>0</v>
      </c>
      <c r="AM257" s="162">
        <v>0</v>
      </c>
      <c r="AN257" s="162">
        <v>0</v>
      </c>
      <c r="AO257" s="162">
        <v>0</v>
      </c>
      <c r="AP257" s="162">
        <v>0</v>
      </c>
      <c r="AQ257" s="162">
        <v>0</v>
      </c>
      <c r="AR257" s="710" t="str">
        <v>32193r1.par</v>
      </c>
      <c r="AV257" s="82" t="str">
        <v>188,121,255</v>
      </c>
      <c r="AW257" s="947">
        <v>75.999989026959227</v>
      </c>
      <c r="AX257" s="947">
        <v>75.999989026959227</v>
      </c>
      <c r="AY257" s="947">
        <v>0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3"/>
      <c r="M258" s="973"/>
      <c r="N258" s="941"/>
      <c r="O258" s="942"/>
      <c r="Q258" s="162" t="str">
        <f t="shared" si="1076"/>
        <v/>
      </c>
      <c r="R258" s="162" t="str">
        <f t="shared" si="1077"/>
        <v/>
      </c>
      <c r="S258" s="162" t="str">
        <f t="shared" si="1078"/>
        <v/>
      </c>
      <c r="T258" s="162" t="str">
        <f t="shared" si="1079"/>
        <v/>
      </c>
      <c r="U258" s="162" t="str">
        <f t="shared" si="1080"/>
        <v/>
      </c>
      <c r="V258" s="162" t="str">
        <f t="shared" si="1081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2"/>
        <v/>
      </c>
      <c r="Y258" s="75"/>
      <c r="Z258" s="917" t="str">
        <f t="shared" si="1083"/>
        <v/>
      </c>
      <c r="AA258" s="82"/>
      <c r="AB258" s="75"/>
      <c r="AC258" s="75"/>
      <c r="AD258" s="166"/>
      <c r="AE258" s="75">
        <v>6.23</v>
      </c>
      <c r="AF258" s="82">
        <v>6</v>
      </c>
      <c r="AG258" s="82">
        <v>2</v>
      </c>
      <c r="AH258" s="82">
        <v>2</v>
      </c>
      <c r="AI258" s="82">
        <v>1.0000000000582077</v>
      </c>
      <c r="AJ258" s="166">
        <v>6.2302100000000005</v>
      </c>
      <c r="AK258" s="82">
        <v>6.2301100000000007</v>
      </c>
      <c r="AL258" s="162">
        <v>0</v>
      </c>
      <c r="AM258" s="162">
        <v>0</v>
      </c>
      <c r="AN258" s="162">
        <v>0</v>
      </c>
      <c r="AO258" s="162">
        <v>0</v>
      </c>
      <c r="AP258" s="162">
        <v>0</v>
      </c>
      <c r="AQ258" s="162">
        <v>0</v>
      </c>
      <c r="AR258" s="710" t="str">
        <v>32193r1.par</v>
      </c>
      <c r="AV258" s="82" t="str">
        <v>188,121,255</v>
      </c>
      <c r="AW258" s="947">
        <v>54.999992058983658</v>
      </c>
      <c r="AX258" s="947">
        <v>54.999992058983658</v>
      </c>
      <c r="AY258" s="947">
        <v>0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3"/>
      <c r="M259" s="973"/>
      <c r="N259" s="941"/>
      <c r="O259" s="942"/>
      <c r="Q259" s="162" t="str">
        <f t="shared" si="1076"/>
        <v/>
      </c>
      <c r="R259" s="162" t="str">
        <f t="shared" si="1077"/>
        <v/>
      </c>
      <c r="S259" s="162" t="str">
        <f t="shared" si="1078"/>
        <v/>
      </c>
      <c r="T259" s="162" t="str">
        <f t="shared" si="1079"/>
        <v/>
      </c>
      <c r="U259" s="162" t="str">
        <f t="shared" si="1080"/>
        <v/>
      </c>
      <c r="V259" s="162" t="str">
        <f t="shared" si="1081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2"/>
        <v/>
      </c>
      <c r="Y259" s="75"/>
      <c r="Z259" s="917" t="str">
        <f t="shared" si="1083"/>
        <v/>
      </c>
      <c r="AA259" s="82"/>
      <c r="AB259" s="75"/>
      <c r="AC259" s="75"/>
      <c r="AD259" s="166"/>
      <c r="AE259" s="75">
        <v>6.2240000000000002</v>
      </c>
      <c r="AF259" s="82">
        <v>6</v>
      </c>
      <c r="AG259" s="82">
        <v>2</v>
      </c>
      <c r="AH259" s="82">
        <v>2</v>
      </c>
      <c r="AI259" s="82">
        <v>1.0000000000582077</v>
      </c>
      <c r="AJ259" s="166">
        <v>6.2242100000000002</v>
      </c>
      <c r="AK259" s="82">
        <v>6.2241100000000005</v>
      </c>
      <c r="AL259" s="162">
        <v>0</v>
      </c>
      <c r="AM259" s="162">
        <v>0</v>
      </c>
      <c r="AN259" s="162">
        <v>0</v>
      </c>
      <c r="AO259" s="162">
        <v>0</v>
      </c>
      <c r="AP259" s="162">
        <v>0</v>
      </c>
      <c r="AQ259" s="162">
        <v>0</v>
      </c>
      <c r="AR259" s="710" t="str">
        <v>32193r1.par</v>
      </c>
      <c r="AV259" s="82" t="str">
        <v>188,121,255</v>
      </c>
      <c r="AW259" s="947">
        <v>33.999995091008067</v>
      </c>
      <c r="AX259" s="947">
        <v>33.999995091008067</v>
      </c>
      <c r="AY259" s="947">
        <v>0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3"/>
      <c r="M260" s="973"/>
      <c r="N260" s="941"/>
      <c r="O260" s="942"/>
      <c r="Q260" s="162" t="str">
        <f t="shared" si="1076"/>
        <v/>
      </c>
      <c r="R260" s="162" t="str">
        <f t="shared" si="1077"/>
        <v/>
      </c>
      <c r="S260" s="162" t="str">
        <f t="shared" si="1078"/>
        <v/>
      </c>
      <c r="T260" s="162" t="str">
        <f t="shared" si="1079"/>
        <v/>
      </c>
      <c r="U260" s="162" t="str">
        <f t="shared" si="1080"/>
        <v/>
      </c>
      <c r="V260" s="162" t="str">
        <f t="shared" si="1081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2"/>
        <v/>
      </c>
      <c r="Y260" s="75"/>
      <c r="Z260" s="917" t="str">
        <f t="shared" si="1083"/>
        <v/>
      </c>
      <c r="AA260" s="82"/>
      <c r="AB260" s="75"/>
      <c r="AC260" s="75"/>
      <c r="AD260" s="166"/>
      <c r="AE260" s="75">
        <v>6.218</v>
      </c>
      <c r="AF260" s="82">
        <v>6</v>
      </c>
      <c r="AG260" s="82">
        <v>2</v>
      </c>
      <c r="AH260" s="82">
        <v>2</v>
      </c>
      <c r="AI260" s="82">
        <v>0.99999999998544808</v>
      </c>
      <c r="AJ260" s="166">
        <v>6.21821</v>
      </c>
      <c r="AK260" s="82">
        <v>6.2181100000000002</v>
      </c>
      <c r="AL260" s="162">
        <v>0</v>
      </c>
      <c r="AM260" s="162">
        <v>0</v>
      </c>
      <c r="AN260" s="162">
        <v>0</v>
      </c>
      <c r="AO260" s="162">
        <v>0</v>
      </c>
      <c r="AP260" s="162">
        <v>0</v>
      </c>
      <c r="AQ260" s="162">
        <v>0</v>
      </c>
      <c r="AR260" s="710" t="str">
        <v>32193r1.par</v>
      </c>
      <c r="AV260" s="82" t="str">
        <v>188,121,255</v>
      </c>
      <c r="AW260" s="947">
        <v>12.999998123032499</v>
      </c>
      <c r="AX260" s="947">
        <v>12.999998123032499</v>
      </c>
      <c r="AY260" s="947">
        <v>0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3"/>
      <c r="M261" s="973"/>
      <c r="N261" s="941"/>
      <c r="O261" s="942"/>
      <c r="Q261" s="162" t="str">
        <f t="shared" si="1076"/>
        <v/>
      </c>
      <c r="R261" s="162" t="str">
        <f t="shared" si="1077"/>
        <v/>
      </c>
      <c r="S261" s="162" t="str">
        <f t="shared" si="1078"/>
        <v/>
      </c>
      <c r="T261" s="162" t="str">
        <f t="shared" si="1079"/>
        <v/>
      </c>
      <c r="U261" s="162" t="str">
        <f t="shared" si="1080"/>
        <v/>
      </c>
      <c r="V261" s="162" t="str">
        <f t="shared" si="1081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2"/>
        <v/>
      </c>
      <c r="Y261" s="75"/>
      <c r="Z261" s="917" t="str">
        <f t="shared" si="1083"/>
        <v/>
      </c>
      <c r="AA261" s="82"/>
      <c r="AB261" s="75"/>
      <c r="AC261" s="75"/>
      <c r="AD261" s="166"/>
      <c r="AE261" s="75">
        <v>6.1479999999999997</v>
      </c>
      <c r="AF261" s="82">
        <v>6</v>
      </c>
      <c r="AG261" s="82">
        <v>1</v>
      </c>
      <c r="AH261" s="82">
        <v>2</v>
      </c>
      <c r="AI261" s="82">
        <v>0.99999999998544808</v>
      </c>
      <c r="AJ261" s="166">
        <v>6.1482099999999997</v>
      </c>
      <c r="AK261" s="82">
        <v>6.14811</v>
      </c>
      <c r="AL261" s="162">
        <v>0</v>
      </c>
      <c r="AM261" s="162">
        <v>0</v>
      </c>
      <c r="AN261" s="162">
        <v>0</v>
      </c>
      <c r="AO261" s="162">
        <v>0</v>
      </c>
      <c r="AP261" s="162">
        <v>0</v>
      </c>
      <c r="AQ261" s="162">
        <v>0</v>
      </c>
      <c r="AR261" s="710" t="str">
        <v>1613.par</v>
      </c>
      <c r="AV261" s="82" t="str">
        <v>127,0,255</v>
      </c>
      <c r="AW261" s="947">
        <v>84.970117416838406</v>
      </c>
      <c r="AX261" s="947">
        <v>84.970117416838406</v>
      </c>
      <c r="AY261" s="947">
        <v>0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3"/>
      <c r="M262" s="973"/>
      <c r="N262" s="941"/>
      <c r="O262" s="942"/>
      <c r="Q262" s="162" t="str">
        <f t="shared" si="1076"/>
        <v/>
      </c>
      <c r="R262" s="162" t="str">
        <f t="shared" si="1077"/>
        <v/>
      </c>
      <c r="S262" s="162" t="str">
        <f t="shared" si="1078"/>
        <v/>
      </c>
      <c r="T262" s="162" t="str">
        <f t="shared" si="1079"/>
        <v/>
      </c>
      <c r="U262" s="162" t="str">
        <f t="shared" si="1080"/>
        <v/>
      </c>
      <c r="V262" s="162" t="str">
        <f t="shared" si="1081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2"/>
        <v/>
      </c>
      <c r="Y262" s="75"/>
      <c r="Z262" s="917" t="str">
        <f t="shared" si="1083"/>
        <v/>
      </c>
      <c r="AA262" s="82"/>
      <c r="AB262" s="75"/>
      <c r="AC262" s="75"/>
      <c r="AD262" s="166"/>
      <c r="AE262" s="75">
        <v>6.1420000000000003</v>
      </c>
      <c r="AF262" s="82">
        <v>6</v>
      </c>
      <c r="AG262" s="82">
        <v>1</v>
      </c>
      <c r="AH262" s="82">
        <v>2</v>
      </c>
      <c r="AI262" s="82">
        <v>1.0000000000582077</v>
      </c>
      <c r="AJ262" s="166">
        <v>6.1422100000000004</v>
      </c>
      <c r="AK262" s="82">
        <v>6.1421100000000006</v>
      </c>
      <c r="AL262" s="162">
        <v>0</v>
      </c>
      <c r="AM262" s="162">
        <v>0</v>
      </c>
      <c r="AN262" s="162">
        <v>0</v>
      </c>
      <c r="AO262" s="162">
        <v>0</v>
      </c>
      <c r="AP262" s="162">
        <v>0</v>
      </c>
      <c r="AQ262" s="162">
        <v>0</v>
      </c>
      <c r="AR262" s="710" t="str">
        <v>1613.par</v>
      </c>
      <c r="AV262" s="82" t="str">
        <v>127,0,255</v>
      </c>
      <c r="AW262" s="947">
        <v>84.96994937215598</v>
      </c>
      <c r="AX262" s="947">
        <v>84.96994937215598</v>
      </c>
      <c r="AY262" s="947">
        <v>0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3"/>
      <c r="M263" s="973"/>
      <c r="N263" s="941"/>
      <c r="O263" s="942"/>
      <c r="Q263" s="162" t="str">
        <f t="shared" si="1076"/>
        <v/>
      </c>
      <c r="R263" s="162" t="str">
        <f t="shared" si="1077"/>
        <v/>
      </c>
      <c r="S263" s="162" t="str">
        <f t="shared" si="1078"/>
        <v/>
      </c>
      <c r="T263" s="162" t="str">
        <f t="shared" si="1079"/>
        <v/>
      </c>
      <c r="U263" s="162" t="str">
        <f t="shared" si="1080"/>
        <v/>
      </c>
      <c r="V263" s="162" t="str">
        <f t="shared" si="1081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2"/>
        <v/>
      </c>
      <c r="Y263" s="75"/>
      <c r="Z263" s="917" t="str">
        <f t="shared" si="1083"/>
        <v/>
      </c>
      <c r="AA263" s="82"/>
      <c r="AB263" s="75"/>
      <c r="AC263" s="75"/>
      <c r="AD263" s="166"/>
      <c r="AE263" s="75">
        <v>6.1360000000000001</v>
      </c>
      <c r="AF263" s="82">
        <v>6</v>
      </c>
      <c r="AG263" s="82">
        <v>1</v>
      </c>
      <c r="AH263" s="82">
        <v>2</v>
      </c>
      <c r="AI263" s="82">
        <v>0.99999999998544808</v>
      </c>
      <c r="AJ263" s="166">
        <v>6.1362100000000002</v>
      </c>
      <c r="AK263" s="82">
        <v>6.1361100000000004</v>
      </c>
      <c r="AL263" s="162">
        <v>0</v>
      </c>
      <c r="AM263" s="162">
        <v>0</v>
      </c>
      <c r="AN263" s="162">
        <v>0</v>
      </c>
      <c r="AO263" s="162">
        <v>0</v>
      </c>
      <c r="AP263" s="162">
        <v>0</v>
      </c>
      <c r="AQ263" s="162">
        <v>0</v>
      </c>
      <c r="AR263" s="710" t="str">
        <v>1613.par</v>
      </c>
      <c r="AV263" s="82" t="str">
        <v>127,0,255</v>
      </c>
      <c r="AW263" s="947">
        <v>72.623499997444313</v>
      </c>
      <c r="AX263" s="947">
        <v>72.623499997444313</v>
      </c>
      <c r="AY263" s="947">
        <v>0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3"/>
      <c r="M264" s="973"/>
      <c r="N264" s="941"/>
      <c r="O264" s="942"/>
      <c r="Q264" s="162" t="str">
        <f t="shared" si="1076"/>
        <v/>
      </c>
      <c r="R264" s="162" t="str">
        <f t="shared" si="1077"/>
        <v/>
      </c>
      <c r="S264" s="162" t="str">
        <f t="shared" si="1078"/>
        <v/>
      </c>
      <c r="T264" s="162" t="str">
        <f t="shared" si="1079"/>
        <v/>
      </c>
      <c r="U264" s="162" t="str">
        <f t="shared" si="1080"/>
        <v/>
      </c>
      <c r="V264" s="162" t="str">
        <f t="shared" si="1081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2"/>
        <v/>
      </c>
      <c r="Y264" s="75"/>
      <c r="Z264" s="917" t="str">
        <f t="shared" si="1083"/>
        <v/>
      </c>
      <c r="AA264" s="82"/>
      <c r="AB264" s="75"/>
      <c r="AC264" s="75"/>
      <c r="AD264" s="166"/>
      <c r="AE264" s="75">
        <v>6.13</v>
      </c>
      <c r="AF264" s="82">
        <v>6</v>
      </c>
      <c r="AG264" s="82">
        <v>1</v>
      </c>
      <c r="AH264" s="82">
        <v>2</v>
      </c>
      <c r="AI264" s="82">
        <v>0.99999999998544808</v>
      </c>
      <c r="AJ264" s="166">
        <v>6.1302099999999999</v>
      </c>
      <c r="AK264" s="82">
        <v>6.1301100000000002</v>
      </c>
      <c r="AL264" s="162">
        <v>0</v>
      </c>
      <c r="AM264" s="162">
        <v>0</v>
      </c>
      <c r="AN264" s="162">
        <v>0</v>
      </c>
      <c r="AO264" s="162">
        <v>0</v>
      </c>
      <c r="AP264" s="162">
        <v>0</v>
      </c>
      <c r="AQ264" s="162">
        <v>0</v>
      </c>
      <c r="AR264" s="710" t="str">
        <v>1613.par</v>
      </c>
      <c r="AV264" s="82" t="str">
        <v>127,0,255</v>
      </c>
      <c r="AW264" s="947">
        <v>54.048010045486649</v>
      </c>
      <c r="AX264" s="947">
        <v>54.048010045486649</v>
      </c>
      <c r="AY264" s="947">
        <v>0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3"/>
      <c r="M265" s="973"/>
      <c r="N265" s="941"/>
      <c r="O265" s="942"/>
      <c r="Q265" s="162" t="str">
        <f t="shared" si="1076"/>
        <v/>
      </c>
      <c r="R265" s="162" t="str">
        <f t="shared" si="1077"/>
        <v/>
      </c>
      <c r="S265" s="162" t="str">
        <f t="shared" si="1078"/>
        <v/>
      </c>
      <c r="T265" s="162" t="str">
        <f t="shared" si="1079"/>
        <v/>
      </c>
      <c r="U265" s="162" t="str">
        <f t="shared" si="1080"/>
        <v/>
      </c>
      <c r="V265" s="162" t="str">
        <f t="shared" si="1081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2"/>
        <v/>
      </c>
      <c r="Y265" s="75"/>
      <c r="Z265" s="917" t="str">
        <f t="shared" si="1083"/>
        <v/>
      </c>
      <c r="AA265" s="82"/>
      <c r="AB265" s="75"/>
      <c r="AC265" s="75"/>
      <c r="AD265" s="166"/>
      <c r="AE265" s="75">
        <v>6.1239999999999997</v>
      </c>
      <c r="AF265" s="82">
        <v>6</v>
      </c>
      <c r="AG265" s="82">
        <v>1</v>
      </c>
      <c r="AH265" s="82">
        <v>2</v>
      </c>
      <c r="AI265" s="82">
        <v>0.99999999998544808</v>
      </c>
      <c r="AJ265" s="166">
        <v>6.1242099999999997</v>
      </c>
      <c r="AK265" s="82">
        <v>6.1241099999999999</v>
      </c>
      <c r="AL265" s="162">
        <v>0</v>
      </c>
      <c r="AM265" s="162">
        <v>0</v>
      </c>
      <c r="AN265" s="162">
        <v>0</v>
      </c>
      <c r="AO265" s="162">
        <v>0</v>
      </c>
      <c r="AP265" s="162">
        <v>0</v>
      </c>
      <c r="AQ265" s="162">
        <v>0</v>
      </c>
      <c r="AR265" s="710" t="str">
        <v>1613.par</v>
      </c>
      <c r="AV265" s="82" t="str">
        <v>127,0,255</v>
      </c>
      <c r="AW265" s="947">
        <v>35.360276952469491</v>
      </c>
      <c r="AX265" s="947">
        <v>35.360276952469491</v>
      </c>
      <c r="AY265" s="947">
        <v>0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3"/>
      <c r="M266" s="973"/>
      <c r="N266" s="941"/>
      <c r="O266" s="942"/>
      <c r="Q266" s="162" t="str">
        <f t="shared" si="1076"/>
        <v/>
      </c>
      <c r="R266" s="162" t="str">
        <f t="shared" si="1077"/>
        <v/>
      </c>
      <c r="S266" s="162" t="str">
        <f t="shared" si="1078"/>
        <v/>
      </c>
      <c r="T266" s="162" t="str">
        <f t="shared" si="1079"/>
        <v/>
      </c>
      <c r="U266" s="162" t="str">
        <f t="shared" si="1080"/>
        <v/>
      </c>
      <c r="V266" s="162" t="str">
        <f t="shared" si="1081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2"/>
        <v/>
      </c>
      <c r="Y266" s="75"/>
      <c r="Z266" s="917" t="str">
        <f t="shared" si="1083"/>
        <v/>
      </c>
      <c r="AA266" s="82"/>
      <c r="AB266" s="75"/>
      <c r="AC266" s="75"/>
      <c r="AD266" s="166"/>
      <c r="AE266" s="75">
        <v>6.1180000000000003</v>
      </c>
      <c r="AF266" s="82">
        <v>6</v>
      </c>
      <c r="AG266" s="82">
        <v>1</v>
      </c>
      <c r="AH266" s="82">
        <v>2</v>
      </c>
      <c r="AI266" s="82">
        <v>1.0000000000582077</v>
      </c>
      <c r="AJ266" s="166">
        <v>6.1182100000000004</v>
      </c>
      <c r="AK266" s="82">
        <v>6.1181100000000006</v>
      </c>
      <c r="AL266" s="162">
        <v>0</v>
      </c>
      <c r="AM266" s="162">
        <v>0</v>
      </c>
      <c r="AN266" s="162">
        <v>0</v>
      </c>
      <c r="AO266" s="162">
        <v>0</v>
      </c>
      <c r="AP266" s="162">
        <v>0</v>
      </c>
      <c r="AQ266" s="162">
        <v>0</v>
      </c>
      <c r="AR266" s="710" t="str">
        <v>1613 Ripper.par</v>
      </c>
      <c r="AV266" s="82" t="str">
        <v>127,0,255</v>
      </c>
      <c r="AW266" s="947">
        <v>16.504059297615232</v>
      </c>
      <c r="AX266" s="947">
        <v>16.504059297615232</v>
      </c>
      <c r="AY266" s="947">
        <v>0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3"/>
      <c r="M267" s="973"/>
      <c r="N267" s="941"/>
      <c r="O267" s="942"/>
      <c r="Q267" s="162" t="str">
        <f t="shared" si="1076"/>
        <v/>
      </c>
      <c r="R267" s="162" t="str">
        <f t="shared" si="1077"/>
        <v/>
      </c>
      <c r="S267" s="162" t="str">
        <f t="shared" si="1078"/>
        <v/>
      </c>
      <c r="T267" s="162" t="str">
        <f t="shared" si="1079"/>
        <v/>
      </c>
      <c r="U267" s="162" t="str">
        <f t="shared" si="1080"/>
        <v/>
      </c>
      <c r="V267" s="162" t="str">
        <f t="shared" si="1081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2"/>
        <v/>
      </c>
      <c r="Y267" s="75"/>
      <c r="Z267" s="917" t="str">
        <f t="shared" si="1083"/>
        <v/>
      </c>
      <c r="AA267" s="82"/>
      <c r="AB267" s="75"/>
      <c r="AC267" s="75"/>
      <c r="AD267" s="166"/>
      <c r="AE267" s="75">
        <v>6.1120000000000001</v>
      </c>
      <c r="AF267" s="82">
        <v>6</v>
      </c>
      <c r="AG267" s="82">
        <v>1</v>
      </c>
      <c r="AH267" s="82">
        <v>2</v>
      </c>
      <c r="AI267" s="82">
        <v>0.99999999998544808</v>
      </c>
      <c r="AJ267" s="166">
        <v>6.1122100000000001</v>
      </c>
      <c r="AK267" s="82">
        <v>6.1121100000000004</v>
      </c>
      <c r="AL267" s="162">
        <v>0</v>
      </c>
      <c r="AM267" s="162">
        <v>0</v>
      </c>
      <c r="AN267" s="162">
        <v>0</v>
      </c>
      <c r="AO267" s="162">
        <v>0</v>
      </c>
      <c r="AP267" s="162">
        <v>0</v>
      </c>
      <c r="AQ267" s="162">
        <v>0</v>
      </c>
      <c r="AR267" s="710" t="str">
        <v>1613 Ripper.par</v>
      </c>
      <c r="AV267" s="82" t="str">
        <v>127,0,255</v>
      </c>
      <c r="AW267" s="947">
        <v>-2.3119637600075813</v>
      </c>
      <c r="AX267" s="947">
        <v>-2.3119637600075813</v>
      </c>
      <c r="AY267" s="947">
        <v>0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3"/>
      <c r="M268" s="973"/>
      <c r="N268" s="941"/>
      <c r="O268" s="942"/>
      <c r="Q268" s="162" t="str">
        <f t="shared" si="1076"/>
        <v/>
      </c>
      <c r="R268" s="162" t="str">
        <f t="shared" si="1077"/>
        <v/>
      </c>
      <c r="S268" s="162" t="str">
        <f t="shared" si="1078"/>
        <v/>
      </c>
      <c r="T268" s="162" t="str">
        <f t="shared" si="1079"/>
        <v/>
      </c>
      <c r="U268" s="162" t="str">
        <f t="shared" si="1080"/>
        <v/>
      </c>
      <c r="V268" s="162" t="str">
        <f t="shared" si="1081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2"/>
        <v/>
      </c>
      <c r="Y268" s="75"/>
      <c r="Z268" s="917" t="str">
        <f t="shared" si="1083"/>
        <v/>
      </c>
      <c r="AA268" s="82"/>
      <c r="AB268" s="75"/>
      <c r="AC268" s="75"/>
      <c r="AD268" s="166"/>
      <c r="AE268" s="75">
        <v>5.2549999999999999</v>
      </c>
      <c r="AF268" s="82">
        <v>5</v>
      </c>
      <c r="AG268" s="82">
        <v>2</v>
      </c>
      <c r="AH268" s="82">
        <v>2</v>
      </c>
      <c r="AI268" s="82">
        <v>0.99999999998544808</v>
      </c>
      <c r="AJ268" s="166">
        <v>5.2552099999999999</v>
      </c>
      <c r="AK268" s="82">
        <v>5.2551100000000002</v>
      </c>
      <c r="AL268" s="162">
        <v>0</v>
      </c>
      <c r="AM268" s="162">
        <v>0</v>
      </c>
      <c r="AN268" s="162">
        <v>0</v>
      </c>
      <c r="AO268" s="162">
        <v>0</v>
      </c>
      <c r="AP268" s="162">
        <v>0</v>
      </c>
      <c r="AQ268" s="162">
        <v>0</v>
      </c>
      <c r="AR268" s="710" t="str">
        <v>1313.par</v>
      </c>
      <c r="AV268" s="82" t="str">
        <v>121,188,255</v>
      </c>
      <c r="AW268" s="947">
        <v>100.03561890671617</v>
      </c>
      <c r="AX268" s="947">
        <v>100.03561890671617</v>
      </c>
      <c r="AY268" s="947">
        <v>0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3"/>
      <c r="M269" s="973"/>
      <c r="N269" s="941"/>
      <c r="O269" s="942"/>
      <c r="Q269" s="162" t="str">
        <f t="shared" si="1076"/>
        <v/>
      </c>
      <c r="R269" s="162" t="str">
        <f t="shared" si="1077"/>
        <v/>
      </c>
      <c r="S269" s="162" t="str">
        <f t="shared" si="1078"/>
        <v/>
      </c>
      <c r="T269" s="162" t="str">
        <f t="shared" si="1079"/>
        <v/>
      </c>
      <c r="U269" s="162" t="str">
        <f t="shared" si="1080"/>
        <v/>
      </c>
      <c r="V269" s="162" t="str">
        <f t="shared" si="1081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2"/>
        <v/>
      </c>
      <c r="Y269" s="75"/>
      <c r="Z269" s="917" t="str">
        <f t="shared" si="1083"/>
        <v/>
      </c>
      <c r="AA269" s="82"/>
      <c r="AB269" s="75"/>
      <c r="AC269" s="75"/>
      <c r="AD269" s="166"/>
      <c r="AE269" s="75">
        <v>5.2489999999999997</v>
      </c>
      <c r="AF269" s="82">
        <v>5</v>
      </c>
      <c r="AG269" s="82">
        <v>2</v>
      </c>
      <c r="AH269" s="82">
        <v>2</v>
      </c>
      <c r="AI269" s="82">
        <v>0.99999999998544808</v>
      </c>
      <c r="AJ269" s="166">
        <v>5.2492099999999997</v>
      </c>
      <c r="AK269" s="82">
        <v>5.2491099999999999</v>
      </c>
      <c r="AL269" s="162">
        <v>0</v>
      </c>
      <c r="AM269" s="162">
        <v>0</v>
      </c>
      <c r="AN269" s="162">
        <v>0</v>
      </c>
      <c r="AO269" s="162">
        <v>0</v>
      </c>
      <c r="AP269" s="162">
        <v>0</v>
      </c>
      <c r="AQ269" s="162">
        <v>0</v>
      </c>
      <c r="AR269" s="710" t="str">
        <v>32193r1.par</v>
      </c>
      <c r="AV269" s="82" t="str">
        <v>121,188,255</v>
      </c>
      <c r="AW269" s="947">
        <v>89.999987005609597</v>
      </c>
      <c r="AX269" s="947">
        <v>89.999987005609597</v>
      </c>
      <c r="AY269" s="947">
        <v>0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3"/>
      <c r="M270" s="973"/>
      <c r="N270" s="941"/>
      <c r="O270" s="942"/>
      <c r="Q270" s="162" t="str">
        <f t="shared" si="1076"/>
        <v/>
      </c>
      <c r="R270" s="162" t="str">
        <f t="shared" si="1077"/>
        <v/>
      </c>
      <c r="S270" s="162" t="str">
        <f t="shared" si="1078"/>
        <v/>
      </c>
      <c r="T270" s="162" t="str">
        <f t="shared" si="1079"/>
        <v/>
      </c>
      <c r="U270" s="162" t="str">
        <f t="shared" si="1080"/>
        <v/>
      </c>
      <c r="V270" s="162" t="str">
        <f t="shared" si="1081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2"/>
        <v/>
      </c>
      <c r="Y270" s="75"/>
      <c r="Z270" s="917" t="str">
        <f t="shared" si="1083"/>
        <v/>
      </c>
      <c r="AA270" s="82"/>
      <c r="AB270" s="75"/>
      <c r="AC270" s="75"/>
      <c r="AD270" s="166"/>
      <c r="AE270" s="75">
        <v>5.2430000000000003</v>
      </c>
      <c r="AF270" s="82">
        <v>5</v>
      </c>
      <c r="AG270" s="82">
        <v>2</v>
      </c>
      <c r="AH270" s="82">
        <v>2</v>
      </c>
      <c r="AI270" s="82">
        <v>1.0000000000582077</v>
      </c>
      <c r="AJ270" s="166">
        <v>5.2432100000000004</v>
      </c>
      <c r="AK270" s="82">
        <v>5.2431100000000006</v>
      </c>
      <c r="AL270" s="162">
        <v>0</v>
      </c>
      <c r="AM270" s="162">
        <v>0</v>
      </c>
      <c r="AN270" s="162">
        <v>0</v>
      </c>
      <c r="AO270" s="162">
        <v>0</v>
      </c>
      <c r="AP270" s="162">
        <v>0</v>
      </c>
      <c r="AQ270" s="162">
        <v>0</v>
      </c>
      <c r="AR270" s="710" t="str">
        <v>32193r1.par</v>
      </c>
      <c r="AV270" s="82" t="str">
        <v>121,188,255</v>
      </c>
      <c r="AW270" s="947">
        <v>89.999987005609597</v>
      </c>
      <c r="AX270" s="947">
        <v>89.999987005609597</v>
      </c>
      <c r="AY270" s="947">
        <v>0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3"/>
      <c r="M271" s="973"/>
      <c r="N271" s="941"/>
      <c r="O271" s="942"/>
      <c r="Q271" s="162" t="str">
        <f t="shared" si="1076"/>
        <v/>
      </c>
      <c r="R271" s="162" t="str">
        <f t="shared" si="1077"/>
        <v/>
      </c>
      <c r="S271" s="162" t="str">
        <f t="shared" si="1078"/>
        <v/>
      </c>
      <c r="T271" s="162" t="str">
        <f t="shared" si="1079"/>
        <v/>
      </c>
      <c r="U271" s="162" t="str">
        <f t="shared" si="1080"/>
        <v/>
      </c>
      <c r="V271" s="162" t="str">
        <f t="shared" si="1081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2"/>
        <v/>
      </c>
      <c r="Y271" s="75"/>
      <c r="Z271" s="917" t="str">
        <f t="shared" si="1083"/>
        <v/>
      </c>
      <c r="AA271" s="82"/>
      <c r="AB271" s="75"/>
      <c r="AC271" s="75"/>
      <c r="AD271" s="166"/>
      <c r="AE271" s="75">
        <v>5.2370000000000001</v>
      </c>
      <c r="AF271" s="82">
        <v>5</v>
      </c>
      <c r="AG271" s="82">
        <v>2</v>
      </c>
      <c r="AH271" s="82">
        <v>2</v>
      </c>
      <c r="AI271" s="82">
        <v>0.99999999998544808</v>
      </c>
      <c r="AJ271" s="166">
        <v>5.2372100000000001</v>
      </c>
      <c r="AK271" s="82">
        <v>5.2371100000000004</v>
      </c>
      <c r="AL271" s="162">
        <v>0</v>
      </c>
      <c r="AM271" s="162">
        <v>0</v>
      </c>
      <c r="AN271" s="162">
        <v>0</v>
      </c>
      <c r="AO271" s="162">
        <v>0</v>
      </c>
      <c r="AP271" s="162">
        <v>0</v>
      </c>
      <c r="AQ271" s="162">
        <v>0</v>
      </c>
      <c r="AR271" s="710" t="str">
        <v>1313.par</v>
      </c>
      <c r="AV271" s="82" t="str">
        <v>121,188,255</v>
      </c>
      <c r="AW271" s="947">
        <v>75.733702256223253</v>
      </c>
      <c r="AX271" s="947">
        <v>75.733702256223253</v>
      </c>
      <c r="AY271" s="947">
        <v>0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3"/>
      <c r="M272" s="973"/>
      <c r="N272" s="941"/>
      <c r="O272" s="942"/>
      <c r="Q272" s="162" t="str">
        <f t="shared" si="1076"/>
        <v/>
      </c>
      <c r="R272" s="162" t="str">
        <f t="shared" si="1077"/>
        <v/>
      </c>
      <c r="S272" s="162" t="str">
        <f t="shared" si="1078"/>
        <v/>
      </c>
      <c r="T272" s="162" t="str">
        <f t="shared" si="1079"/>
        <v/>
      </c>
      <c r="U272" s="162" t="str">
        <f t="shared" si="1080"/>
        <v/>
      </c>
      <c r="V272" s="162" t="str">
        <f t="shared" si="1081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2"/>
        <v/>
      </c>
      <c r="Y272" s="75"/>
      <c r="Z272" s="917" t="str">
        <f t="shared" si="1083"/>
        <v/>
      </c>
      <c r="AA272" s="82"/>
      <c r="AB272" s="75"/>
      <c r="AC272" s="75"/>
      <c r="AD272" s="166"/>
      <c r="AE272" s="75">
        <v>5.2309999999999999</v>
      </c>
      <c r="AF272" s="82">
        <v>5</v>
      </c>
      <c r="AG272" s="82">
        <v>2</v>
      </c>
      <c r="AH272" s="82">
        <v>2</v>
      </c>
      <c r="AI272" s="82">
        <v>0.99999999998544808</v>
      </c>
      <c r="AJ272" s="166">
        <v>5.2312099999999999</v>
      </c>
      <c r="AK272" s="82">
        <v>5.2311100000000001</v>
      </c>
      <c r="AL272" s="162">
        <v>0</v>
      </c>
      <c r="AM272" s="162">
        <v>0</v>
      </c>
      <c r="AN272" s="162">
        <v>0</v>
      </c>
      <c r="AO272" s="162">
        <v>0</v>
      </c>
      <c r="AP272" s="162">
        <v>0</v>
      </c>
      <c r="AQ272" s="162">
        <v>0</v>
      </c>
      <c r="AR272" s="710" t="str">
        <v>1313.par</v>
      </c>
      <c r="AV272" s="82" t="str">
        <v>121,188,255</v>
      </c>
      <c r="AW272" s="947">
        <v>57.213428741154814</v>
      </c>
      <c r="AX272" s="947">
        <v>57.213428741154814</v>
      </c>
      <c r="AY272" s="947">
        <v>0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3"/>
      <c r="M273" s="973"/>
      <c r="N273" s="941"/>
      <c r="O273" s="942"/>
      <c r="Q273" s="162" t="str">
        <f t="shared" si="1076"/>
        <v/>
      </c>
      <c r="R273" s="162" t="str">
        <f t="shared" si="1077"/>
        <v/>
      </c>
      <c r="S273" s="162" t="str">
        <f t="shared" si="1078"/>
        <v/>
      </c>
      <c r="T273" s="162" t="str">
        <f t="shared" si="1079"/>
        <v/>
      </c>
      <c r="U273" s="162" t="str">
        <f t="shared" si="1080"/>
        <v/>
      </c>
      <c r="V273" s="162" t="str">
        <f t="shared" si="1081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2"/>
        <v/>
      </c>
      <c r="Y273" s="75"/>
      <c r="Z273" s="917" t="str">
        <f t="shared" si="1083"/>
        <v/>
      </c>
      <c r="AA273" s="82"/>
      <c r="AB273" s="75"/>
      <c r="AC273" s="75"/>
      <c r="AD273" s="166"/>
      <c r="AE273" s="75">
        <v>5.2249999999999996</v>
      </c>
      <c r="AF273" s="82">
        <v>5</v>
      </c>
      <c r="AG273" s="82">
        <v>2</v>
      </c>
      <c r="AH273" s="82">
        <v>2</v>
      </c>
      <c r="AI273" s="82">
        <v>0.99999999998544808</v>
      </c>
      <c r="AJ273" s="166">
        <v>5.2252099999999997</v>
      </c>
      <c r="AK273" s="82">
        <v>5.2251099999999999</v>
      </c>
      <c r="AL273" s="162">
        <v>0</v>
      </c>
      <c r="AM273" s="162">
        <v>0</v>
      </c>
      <c r="AN273" s="162">
        <v>0</v>
      </c>
      <c r="AO273" s="162">
        <v>0</v>
      </c>
      <c r="AP273" s="162">
        <v>0</v>
      </c>
      <c r="AQ273" s="162">
        <v>0</v>
      </c>
      <c r="AR273" s="710" t="str">
        <v>1313.par</v>
      </c>
      <c r="AV273" s="82" t="str">
        <v>121,188,255</v>
      </c>
      <c r="AW273" s="947">
        <v>38.623227592362632</v>
      </c>
      <c r="AX273" s="947">
        <v>38.623227592362632</v>
      </c>
      <c r="AY273" s="947">
        <v>0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3"/>
      <c r="M274" s="973"/>
      <c r="N274" s="941"/>
      <c r="O274" s="942"/>
      <c r="Q274" s="162" t="str">
        <f t="shared" ref="Q274:Q305" si="1085">IFERROR(INDEX(B$164:B$305,MATCH($Y274,$J$164:$J$305,0)),"")</f>
        <v/>
      </c>
      <c r="R274" s="162" t="str">
        <f t="shared" ref="R274:R305" si="1086">IFERROR(INDEX(C$164:C$305,MATCH($Y274,$J$164:$J$305,0)),"")</f>
        <v/>
      </c>
      <c r="S274" s="162" t="str">
        <f t="shared" ref="S274:S305" si="1087">IFERROR(INDEX(D$164:D$305,MATCH($Y274,$J$164:$J$305,0)),"")</f>
        <v/>
      </c>
      <c r="T274" s="162" t="str">
        <f t="shared" ref="T274:T305" si="1088">IFERROR(IF($N274="Y",-1*INDEX(E$164:E$305,MATCH($Y274,$J$164:$J$305,0)),INDEX(E$164:E$305,MATCH($Y274,$J$164:$J$305,0))),"")</f>
        <v/>
      </c>
      <c r="U274" s="162" t="str">
        <f t="shared" ref="U274:U305" si="1089">IFERROR(IF($N274="Y",-1*INDEX(F$164:F$305,MATCH($Y274,$J$164:$J$305,0)),INDEX(F$164:F$305,MATCH($Y274,$J$164:$J$305,0))),"")</f>
        <v/>
      </c>
      <c r="V274" s="162" t="str">
        <f t="shared" ref="V274:V305" si="1090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91">IFERROR(INDEX(I$164:I$305,MATCH($Y274,$J$164:$J$305,0)),"")</f>
        <v/>
      </c>
      <c r="Y274" s="75"/>
      <c r="Z274" s="917" t="str">
        <f t="shared" ref="Z274:Z305" si="1092">IFERROR(INDEX(K$164:K$305,MATCH($Y274,$J$164:$J$305,0)),"")</f>
        <v/>
      </c>
      <c r="AA274" s="82"/>
      <c r="AB274" s="75"/>
      <c r="AC274" s="75"/>
      <c r="AD274" s="166"/>
      <c r="AE274" s="75">
        <v>5.2190000000000003</v>
      </c>
      <c r="AF274" s="82">
        <v>5</v>
      </c>
      <c r="AG274" s="82">
        <v>2</v>
      </c>
      <c r="AH274" s="82">
        <v>2</v>
      </c>
      <c r="AI274" s="82">
        <v>1.0000000000582077</v>
      </c>
      <c r="AJ274" s="166">
        <v>5.2192100000000003</v>
      </c>
      <c r="AK274" s="82">
        <v>5.2191100000000006</v>
      </c>
      <c r="AL274" s="162">
        <v>0</v>
      </c>
      <c r="AM274" s="162">
        <v>0</v>
      </c>
      <c r="AN274" s="162">
        <v>0</v>
      </c>
      <c r="AO274" s="162">
        <v>0</v>
      </c>
      <c r="AP274" s="162">
        <v>0</v>
      </c>
      <c r="AQ274" s="162">
        <v>0</v>
      </c>
      <c r="AR274" s="710" t="str">
        <v>32193r1.par</v>
      </c>
      <c r="AV274" s="82" t="str">
        <v>121,188,255</v>
      </c>
      <c r="AW274" s="947">
        <v>12.999998123032507</v>
      </c>
      <c r="AX274" s="947">
        <v>12.999998123032507</v>
      </c>
      <c r="AY274" s="947">
        <v>0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3"/>
      <c r="M275" s="973"/>
      <c r="N275" s="941"/>
      <c r="O275" s="942"/>
      <c r="Q275" s="162" t="str">
        <f t="shared" si="1085"/>
        <v/>
      </c>
      <c r="R275" s="162" t="str">
        <f t="shared" si="1086"/>
        <v/>
      </c>
      <c r="S275" s="162" t="str">
        <f t="shared" si="1087"/>
        <v/>
      </c>
      <c r="T275" s="162" t="str">
        <f t="shared" si="1088"/>
        <v/>
      </c>
      <c r="U275" s="162" t="str">
        <f t="shared" si="1089"/>
        <v/>
      </c>
      <c r="V275" s="162" t="str">
        <f t="shared" si="1090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91"/>
        <v/>
      </c>
      <c r="Y275" s="75"/>
      <c r="Z275" s="917" t="str">
        <f t="shared" si="1092"/>
        <v/>
      </c>
      <c r="AA275" s="82"/>
      <c r="AB275" s="75"/>
      <c r="AC275" s="75"/>
      <c r="AD275" s="166"/>
      <c r="AE275" s="75">
        <v>5.149</v>
      </c>
      <c r="AF275" s="82">
        <v>5</v>
      </c>
      <c r="AG275" s="82">
        <v>1</v>
      </c>
      <c r="AH275" s="82">
        <v>2</v>
      </c>
      <c r="AI275" s="82">
        <v>0.99999999998544808</v>
      </c>
      <c r="AJ275" s="166">
        <v>5.1492100000000001</v>
      </c>
      <c r="AK275" s="82">
        <v>5.1491100000000003</v>
      </c>
      <c r="AL275" s="162">
        <v>0</v>
      </c>
      <c r="AM275" s="162">
        <v>0</v>
      </c>
      <c r="AN275" s="162">
        <v>0</v>
      </c>
      <c r="AO275" s="162">
        <v>0</v>
      </c>
      <c r="AP275" s="162">
        <v>0</v>
      </c>
      <c r="AQ275" s="162">
        <v>0</v>
      </c>
      <c r="AR275" s="710" t="str">
        <v>1613.par</v>
      </c>
      <c r="AV275" s="82" t="str">
        <v>0,102,204</v>
      </c>
      <c r="AW275" s="947">
        <v>84.97011741683842</v>
      </c>
      <c r="AX275" s="947">
        <v>84.97011741683842</v>
      </c>
      <c r="AY275" s="947">
        <v>0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3"/>
      <c r="M276" s="973"/>
      <c r="N276" s="941"/>
      <c r="O276" s="942"/>
      <c r="Q276" s="162" t="str">
        <f t="shared" si="1085"/>
        <v/>
      </c>
      <c r="R276" s="162" t="str">
        <f t="shared" si="1086"/>
        <v/>
      </c>
      <c r="S276" s="162" t="str">
        <f t="shared" si="1087"/>
        <v/>
      </c>
      <c r="T276" s="162" t="str">
        <f t="shared" si="1088"/>
        <v/>
      </c>
      <c r="U276" s="162" t="str">
        <f t="shared" si="1089"/>
        <v/>
      </c>
      <c r="V276" s="162" t="str">
        <f t="shared" si="1090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91"/>
        <v/>
      </c>
      <c r="Y276" s="75"/>
      <c r="Z276" s="917" t="str">
        <f t="shared" si="1092"/>
        <v/>
      </c>
      <c r="AA276" s="82"/>
      <c r="AB276" s="75"/>
      <c r="AC276" s="75"/>
      <c r="AD276" s="166"/>
      <c r="AE276" s="75">
        <v>5.1429999999999998</v>
      </c>
      <c r="AF276" s="82">
        <v>5</v>
      </c>
      <c r="AG276" s="82">
        <v>1</v>
      </c>
      <c r="AH276" s="82">
        <v>2</v>
      </c>
      <c r="AI276" s="82">
        <v>0.99999999998544808</v>
      </c>
      <c r="AJ276" s="166">
        <v>5.1432099999999998</v>
      </c>
      <c r="AK276" s="82">
        <v>5.1431100000000001</v>
      </c>
      <c r="AL276" s="162">
        <v>0</v>
      </c>
      <c r="AM276" s="162">
        <v>0</v>
      </c>
      <c r="AN276" s="162">
        <v>0</v>
      </c>
      <c r="AO276" s="162">
        <v>0</v>
      </c>
      <c r="AP276" s="162">
        <v>0</v>
      </c>
      <c r="AQ276" s="162">
        <v>0</v>
      </c>
      <c r="AR276" s="710" t="str">
        <v>1613.par</v>
      </c>
      <c r="AV276" s="82" t="str">
        <v>0,102,204</v>
      </c>
      <c r="AW276" s="947">
        <v>84.969949372155952</v>
      </c>
      <c r="AX276" s="947">
        <v>84.969949372155952</v>
      </c>
      <c r="AY276" s="947">
        <v>0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3"/>
      <c r="M277" s="973"/>
      <c r="N277" s="941"/>
      <c r="O277" s="942"/>
      <c r="Q277" s="162" t="str">
        <f t="shared" si="1085"/>
        <v/>
      </c>
      <c r="R277" s="162" t="str">
        <f t="shared" si="1086"/>
        <v/>
      </c>
      <c r="S277" s="162" t="str">
        <f t="shared" si="1087"/>
        <v/>
      </c>
      <c r="T277" s="162" t="str">
        <f t="shared" si="1088"/>
        <v/>
      </c>
      <c r="U277" s="162" t="str">
        <f t="shared" si="1089"/>
        <v/>
      </c>
      <c r="V277" s="162" t="str">
        <f t="shared" si="1090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91"/>
        <v/>
      </c>
      <c r="Y277" s="75"/>
      <c r="Z277" s="917" t="str">
        <f t="shared" si="1092"/>
        <v/>
      </c>
      <c r="AA277" s="82"/>
      <c r="AB277" s="75"/>
      <c r="AC277" s="75"/>
      <c r="AD277" s="166"/>
      <c r="AE277" s="75">
        <v>5.1369999999999996</v>
      </c>
      <c r="AF277" s="82">
        <v>5</v>
      </c>
      <c r="AG277" s="82">
        <v>1</v>
      </c>
      <c r="AH277" s="82">
        <v>2</v>
      </c>
      <c r="AI277" s="82">
        <v>0.99999999998544808</v>
      </c>
      <c r="AJ277" s="166">
        <v>5.1372099999999996</v>
      </c>
      <c r="AK277" s="82">
        <v>5.1371099999999998</v>
      </c>
      <c r="AL277" s="162">
        <v>0</v>
      </c>
      <c r="AM277" s="162">
        <v>0</v>
      </c>
      <c r="AN277" s="162">
        <v>0</v>
      </c>
      <c r="AO277" s="162">
        <v>0</v>
      </c>
      <c r="AP277" s="162">
        <v>0</v>
      </c>
      <c r="AQ277" s="162">
        <v>0</v>
      </c>
      <c r="AR277" s="710" t="str">
        <v>1613.par</v>
      </c>
      <c r="AV277" s="82" t="str">
        <v>0,102,204</v>
      </c>
      <c r="AW277" s="947">
        <v>75.712346529077777</v>
      </c>
      <c r="AX277" s="947">
        <v>75.712346529077777</v>
      </c>
      <c r="AY277" s="947">
        <v>0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3"/>
      <c r="M278" s="973"/>
      <c r="N278" s="941"/>
      <c r="O278" s="942"/>
      <c r="Q278" s="162" t="str">
        <f t="shared" si="1085"/>
        <v/>
      </c>
      <c r="R278" s="162" t="str">
        <f t="shared" si="1086"/>
        <v/>
      </c>
      <c r="S278" s="162" t="str">
        <f t="shared" si="1087"/>
        <v/>
      </c>
      <c r="T278" s="162" t="str">
        <f t="shared" si="1088"/>
        <v/>
      </c>
      <c r="U278" s="162" t="str">
        <f t="shared" si="1089"/>
        <v/>
      </c>
      <c r="V278" s="162" t="str">
        <f t="shared" si="1090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91"/>
        <v/>
      </c>
      <c r="Y278" s="75"/>
      <c r="Z278" s="917" t="str">
        <f t="shared" si="1092"/>
        <v/>
      </c>
      <c r="AA278" s="82"/>
      <c r="AB278" s="75"/>
      <c r="AC278" s="75"/>
      <c r="AD278" s="166"/>
      <c r="AE278" s="75">
        <v>5.1310000000000002</v>
      </c>
      <c r="AF278" s="82">
        <v>5</v>
      </c>
      <c r="AG278" s="82">
        <v>1</v>
      </c>
      <c r="AH278" s="82">
        <v>2</v>
      </c>
      <c r="AI278" s="82">
        <v>1.0000000000582077</v>
      </c>
      <c r="AJ278" s="166">
        <v>5.1312100000000003</v>
      </c>
      <c r="AK278" s="82">
        <v>5.1311100000000005</v>
      </c>
      <c r="AL278" s="162">
        <v>0</v>
      </c>
      <c r="AM278" s="162">
        <v>0</v>
      </c>
      <c r="AN278" s="162">
        <v>0</v>
      </c>
      <c r="AO278" s="162">
        <v>0</v>
      </c>
      <c r="AP278" s="162">
        <v>0</v>
      </c>
      <c r="AQ278" s="162">
        <v>0</v>
      </c>
      <c r="AR278" s="710" t="str">
        <v>1613.par</v>
      </c>
      <c r="AV278" s="82" t="str">
        <v>0,102,204</v>
      </c>
      <c r="AW278" s="947">
        <v>57.149982620263913</v>
      </c>
      <c r="AX278" s="947">
        <v>57.149982620263913</v>
      </c>
      <c r="AY278" s="947">
        <v>0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73"/>
      <c r="N279" s="941"/>
      <c r="O279" s="942"/>
      <c r="Q279" s="162" t="str">
        <f t="shared" si="1085"/>
        <v/>
      </c>
      <c r="R279" s="162" t="str">
        <f t="shared" si="1086"/>
        <v/>
      </c>
      <c r="S279" s="162" t="str">
        <f t="shared" si="1087"/>
        <v/>
      </c>
      <c r="T279" s="162" t="str">
        <f t="shared" si="1088"/>
        <v/>
      </c>
      <c r="U279" s="162" t="str">
        <f t="shared" si="1089"/>
        <v/>
      </c>
      <c r="V279" s="162" t="str">
        <f t="shared" si="1090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91"/>
        <v/>
      </c>
      <c r="Y279" s="75"/>
      <c r="Z279" s="917" t="str">
        <f t="shared" si="1092"/>
        <v/>
      </c>
      <c r="AA279" s="82"/>
      <c r="AB279" s="75"/>
      <c r="AC279" s="75"/>
      <c r="AD279" s="166"/>
      <c r="AE279" s="75">
        <v>5.125</v>
      </c>
      <c r="AF279" s="82">
        <v>5</v>
      </c>
      <c r="AG279" s="82">
        <v>1</v>
      </c>
      <c r="AH279" s="82">
        <v>2</v>
      </c>
      <c r="AI279" s="82">
        <v>0.99999999998544808</v>
      </c>
      <c r="AJ279" s="166">
        <v>5.12521</v>
      </c>
      <c r="AK279" s="82">
        <v>5.1251100000000003</v>
      </c>
      <c r="AL279" s="162">
        <v>0</v>
      </c>
      <c r="AM279" s="162">
        <v>0</v>
      </c>
      <c r="AN279" s="162">
        <v>0</v>
      </c>
      <c r="AO279" s="162">
        <v>0</v>
      </c>
      <c r="AP279" s="162">
        <v>0</v>
      </c>
      <c r="AQ279" s="162">
        <v>0</v>
      </c>
      <c r="AR279" s="710" t="str">
        <v>1613.par</v>
      </c>
      <c r="AV279" s="82" t="str">
        <v>0,102,204</v>
      </c>
      <c r="AW279" s="947">
        <v>38.485986851085471</v>
      </c>
      <c r="AX279" s="947">
        <v>38.485986851085471</v>
      </c>
      <c r="AY279" s="947">
        <v>0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73"/>
      <c r="N280" s="941"/>
      <c r="O280" s="942"/>
      <c r="Q280" s="162" t="str">
        <f t="shared" si="1085"/>
        <v/>
      </c>
      <c r="R280" s="162" t="str">
        <f t="shared" si="1086"/>
        <v/>
      </c>
      <c r="S280" s="162" t="str">
        <f t="shared" si="1087"/>
        <v/>
      </c>
      <c r="T280" s="162" t="str">
        <f t="shared" si="1088"/>
        <v/>
      </c>
      <c r="U280" s="162" t="str">
        <f t="shared" si="1089"/>
        <v/>
      </c>
      <c r="V280" s="162" t="str">
        <f t="shared" si="1090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91"/>
        <v/>
      </c>
      <c r="Y280" s="75"/>
      <c r="Z280" s="917" t="str">
        <f t="shared" si="1092"/>
        <v/>
      </c>
      <c r="AA280" s="82"/>
      <c r="AB280" s="75"/>
      <c r="AC280" s="75"/>
      <c r="AD280" s="166"/>
      <c r="AE280" s="75">
        <v>5.1189999999999998</v>
      </c>
      <c r="AF280" s="82">
        <v>5</v>
      </c>
      <c r="AG280" s="82">
        <v>1</v>
      </c>
      <c r="AH280" s="82">
        <v>2</v>
      </c>
      <c r="AI280" s="82">
        <v>0.99999999998544808</v>
      </c>
      <c r="AJ280" s="166">
        <v>5.1192099999999998</v>
      </c>
      <c r="AK280" s="82">
        <v>5.11911</v>
      </c>
      <c r="AL280" s="162">
        <v>0</v>
      </c>
      <c r="AM280" s="162">
        <v>0</v>
      </c>
      <c r="AN280" s="162">
        <v>0</v>
      </c>
      <c r="AO280" s="162">
        <v>0</v>
      </c>
      <c r="AP280" s="162">
        <v>0</v>
      </c>
      <c r="AQ280" s="162">
        <v>0</v>
      </c>
      <c r="AR280" s="710" t="str">
        <v>1613 Ripper.par</v>
      </c>
      <c r="AV280" s="82" t="str">
        <v>0,102,204</v>
      </c>
      <c r="AW280" s="947">
        <v>19.63131247542724</v>
      </c>
      <c r="AX280" s="947">
        <v>19.63131247542724</v>
      </c>
      <c r="AY280" s="947">
        <v>0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73"/>
      <c r="N281" s="941"/>
      <c r="O281" s="942"/>
      <c r="Q281" s="162" t="str">
        <f t="shared" si="1085"/>
        <v/>
      </c>
      <c r="R281" s="162" t="str">
        <f t="shared" si="1086"/>
        <v/>
      </c>
      <c r="S281" s="162" t="str">
        <f t="shared" si="1087"/>
        <v/>
      </c>
      <c r="T281" s="162" t="str">
        <f t="shared" si="1088"/>
        <v/>
      </c>
      <c r="U281" s="162" t="str">
        <f t="shared" si="1089"/>
        <v/>
      </c>
      <c r="V281" s="162" t="str">
        <f t="shared" si="1090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91"/>
        <v/>
      </c>
      <c r="Y281" s="75"/>
      <c r="Z281" s="917" t="str">
        <f t="shared" si="1092"/>
        <v/>
      </c>
      <c r="AA281" s="82"/>
      <c r="AB281" s="75"/>
      <c r="AC281" s="75"/>
      <c r="AD281" s="166"/>
      <c r="AE281" s="75">
        <v>5.1130000000000004</v>
      </c>
      <c r="AF281" s="82">
        <v>5</v>
      </c>
      <c r="AG281" s="82">
        <v>1</v>
      </c>
      <c r="AH281" s="82">
        <v>2</v>
      </c>
      <c r="AI281" s="82">
        <v>1.0000000000582077</v>
      </c>
      <c r="AJ281" s="166">
        <v>5.1132100000000005</v>
      </c>
      <c r="AK281" s="82">
        <v>5.1131100000000007</v>
      </c>
      <c r="AL281" s="162">
        <v>0</v>
      </c>
      <c r="AM281" s="162">
        <v>0</v>
      </c>
      <c r="AN281" s="162">
        <v>0</v>
      </c>
      <c r="AO281" s="162">
        <v>0</v>
      </c>
      <c r="AP281" s="162">
        <v>0</v>
      </c>
      <c r="AQ281" s="162">
        <v>0</v>
      </c>
      <c r="AR281" s="710" t="str">
        <v>1613 Ripper.par</v>
      </c>
      <c r="AV281" s="82" t="str">
        <v>0,102,204</v>
      </c>
      <c r="AW281" s="947">
        <v>0.8306004126858153</v>
      </c>
      <c r="AX281" s="947">
        <v>0.8306004126858153</v>
      </c>
      <c r="AY281" s="947">
        <v>0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73"/>
      <c r="N282" s="941"/>
      <c r="O282" s="942"/>
      <c r="Q282" s="162" t="str">
        <f t="shared" si="1085"/>
        <v/>
      </c>
      <c r="R282" s="162" t="str">
        <f t="shared" si="1086"/>
        <v/>
      </c>
      <c r="S282" s="162" t="str">
        <f t="shared" si="1087"/>
        <v/>
      </c>
      <c r="T282" s="162" t="str">
        <f t="shared" si="1088"/>
        <v/>
      </c>
      <c r="U282" s="162" t="str">
        <f t="shared" si="1089"/>
        <v/>
      </c>
      <c r="V282" s="162" t="str">
        <f t="shared" si="1090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91"/>
        <v/>
      </c>
      <c r="Y282" s="75"/>
      <c r="Z282" s="917" t="str">
        <f t="shared" si="1092"/>
        <v/>
      </c>
      <c r="AA282" s="82"/>
      <c r="AB282" s="75"/>
      <c r="AC282" s="75"/>
      <c r="AD282" s="166"/>
      <c r="AE282" s="75">
        <v>5.1079999999999997</v>
      </c>
      <c r="AF282" s="82">
        <v>5</v>
      </c>
      <c r="AG282" s="82">
        <v>1</v>
      </c>
      <c r="AH282" s="82">
        <v>2</v>
      </c>
      <c r="AI282" s="82">
        <v>0.99999999998544808</v>
      </c>
      <c r="AJ282" s="166">
        <v>5.1082099999999997</v>
      </c>
      <c r="AK282" s="82">
        <v>5.1081099999999999</v>
      </c>
      <c r="AL282" s="162">
        <v>0</v>
      </c>
      <c r="AM282" s="162">
        <v>0</v>
      </c>
      <c r="AN282" s="162">
        <v>0</v>
      </c>
      <c r="AO282" s="162">
        <v>0</v>
      </c>
      <c r="AP282" s="162">
        <v>0</v>
      </c>
      <c r="AQ282" s="162">
        <v>0</v>
      </c>
      <c r="AR282" s="710" t="str">
        <v>1613 Ripper.par</v>
      </c>
      <c r="AV282" s="82" t="str">
        <v>0,102,204</v>
      </c>
      <c r="AW282" s="947">
        <v>-11.945289726695552</v>
      </c>
      <c r="AX282" s="947">
        <v>-11.945289726695552</v>
      </c>
      <c r="AY282" s="947">
        <v>0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73"/>
      <c r="N283" s="941"/>
      <c r="O283" s="942"/>
      <c r="Q283" s="162" t="str">
        <f t="shared" si="1085"/>
        <v/>
      </c>
      <c r="R283" s="162" t="str">
        <f t="shared" si="1086"/>
        <v/>
      </c>
      <c r="S283" s="162" t="str">
        <f t="shared" si="1087"/>
        <v/>
      </c>
      <c r="T283" s="162" t="str">
        <f t="shared" si="1088"/>
        <v/>
      </c>
      <c r="U283" s="162" t="str">
        <f t="shared" si="1089"/>
        <v/>
      </c>
      <c r="V283" s="162" t="str">
        <f t="shared" si="1090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91"/>
        <v/>
      </c>
      <c r="Y283" s="75"/>
      <c r="Z283" s="917" t="str">
        <f t="shared" si="1092"/>
        <v/>
      </c>
      <c r="AA283" s="82"/>
      <c r="AB283" s="75"/>
      <c r="AC283" s="75"/>
      <c r="AD283" s="166"/>
      <c r="AE283" s="75">
        <v>5.1050000000000004</v>
      </c>
      <c r="AF283" s="82">
        <v>5</v>
      </c>
      <c r="AG283" s="82">
        <v>1</v>
      </c>
      <c r="AH283" s="82">
        <v>2</v>
      </c>
      <c r="AI283" s="82">
        <v>1.0000000000582077</v>
      </c>
      <c r="AJ283" s="166">
        <v>5.1052100000000005</v>
      </c>
      <c r="AK283" s="82">
        <v>5.1051100000000007</v>
      </c>
      <c r="AL283" s="162">
        <v>0</v>
      </c>
      <c r="AM283" s="162">
        <v>0</v>
      </c>
      <c r="AN283" s="162">
        <v>0</v>
      </c>
      <c r="AO283" s="162">
        <v>0</v>
      </c>
      <c r="AP283" s="162">
        <v>0</v>
      </c>
      <c r="AQ283" s="162">
        <v>0</v>
      </c>
      <c r="AR283" s="710" t="str">
        <v>1613 Ripper.par</v>
      </c>
      <c r="AV283" s="82" t="str">
        <v>0,102,204</v>
      </c>
      <c r="AW283" s="947">
        <v>-12.949138827495569</v>
      </c>
      <c r="AX283" s="947">
        <v>-12.949138827495569</v>
      </c>
      <c r="AY283" s="947">
        <v>0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73"/>
      <c r="N284" s="941"/>
      <c r="O284" s="942"/>
      <c r="Q284" s="162" t="str">
        <f t="shared" si="1085"/>
        <v/>
      </c>
      <c r="R284" s="162" t="str">
        <f t="shared" si="1086"/>
        <v/>
      </c>
      <c r="S284" s="162" t="str">
        <f t="shared" si="1087"/>
        <v/>
      </c>
      <c r="T284" s="162" t="str">
        <f t="shared" si="1088"/>
        <v/>
      </c>
      <c r="U284" s="162" t="str">
        <f t="shared" si="1089"/>
        <v/>
      </c>
      <c r="V284" s="162" t="str">
        <f t="shared" si="1090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91"/>
        <v/>
      </c>
      <c r="Y284" s="75"/>
      <c r="Z284" s="917" t="str">
        <f t="shared" si="1092"/>
        <v/>
      </c>
      <c r="AA284" s="82"/>
      <c r="AB284" s="75"/>
      <c r="AC284" s="75"/>
      <c r="AD284" s="166"/>
      <c r="AE284" s="75">
        <v>5.1020000000000003</v>
      </c>
      <c r="AF284" s="82">
        <v>5</v>
      </c>
      <c r="AG284" s="82">
        <v>1</v>
      </c>
      <c r="AH284" s="82">
        <v>2</v>
      </c>
      <c r="AI284" s="82">
        <v>1.0000000000582077</v>
      </c>
      <c r="AJ284" s="166">
        <v>5.1022100000000004</v>
      </c>
      <c r="AK284" s="82">
        <v>5.1021100000000006</v>
      </c>
      <c r="AL284" s="162">
        <v>0</v>
      </c>
      <c r="AM284" s="162">
        <v>0</v>
      </c>
      <c r="AN284" s="162">
        <v>0</v>
      </c>
      <c r="AO284" s="162">
        <v>0</v>
      </c>
      <c r="AP284" s="162">
        <v>0</v>
      </c>
      <c r="AQ284" s="162">
        <v>0</v>
      </c>
      <c r="AR284" s="710" t="str">
        <v>1613.par</v>
      </c>
      <c r="AV284" s="82" t="str">
        <v>0,102,204</v>
      </c>
      <c r="AW284" s="947">
        <v>-15.496960293563548</v>
      </c>
      <c r="AX284" s="947">
        <v>-15.496960293563548</v>
      </c>
      <c r="AY284" s="947">
        <v>0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73"/>
      <c r="N285" s="941"/>
      <c r="O285" s="942"/>
      <c r="Q285" s="162" t="str">
        <f t="shared" si="1085"/>
        <v/>
      </c>
      <c r="R285" s="162" t="str">
        <f t="shared" si="1086"/>
        <v/>
      </c>
      <c r="S285" s="162" t="str">
        <f t="shared" si="1087"/>
        <v/>
      </c>
      <c r="T285" s="162" t="str">
        <f t="shared" si="1088"/>
        <v/>
      </c>
      <c r="U285" s="162" t="str">
        <f t="shared" si="1089"/>
        <v/>
      </c>
      <c r="V285" s="162" t="str">
        <f t="shared" si="1090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91"/>
        <v/>
      </c>
      <c r="Y285" s="75"/>
      <c r="Z285" s="917" t="str">
        <f t="shared" si="1092"/>
        <v/>
      </c>
      <c r="AA285" s="82"/>
      <c r="AB285" s="75"/>
      <c r="AC285" s="75"/>
      <c r="AD285" s="166"/>
      <c r="AE285" s="75">
        <v>4.25</v>
      </c>
      <c r="AF285" s="82">
        <v>4</v>
      </c>
      <c r="AG285" s="82">
        <v>2</v>
      </c>
      <c r="AH285" s="82">
        <v>2</v>
      </c>
      <c r="AI285" s="82">
        <v>0.99999999998544808</v>
      </c>
      <c r="AJ285" s="166">
        <v>4.25021</v>
      </c>
      <c r="AK285" s="82">
        <v>4.2501100000000003</v>
      </c>
      <c r="AL285" s="162">
        <v>0</v>
      </c>
      <c r="AM285" s="162">
        <v>0</v>
      </c>
      <c r="AN285" s="162">
        <v>0</v>
      </c>
      <c r="AO285" s="162">
        <v>0</v>
      </c>
      <c r="AP285" s="162">
        <v>0</v>
      </c>
      <c r="AQ285" s="162">
        <v>0</v>
      </c>
      <c r="AR285" s="710" t="str">
        <v>1313.par</v>
      </c>
      <c r="AV285" s="82" t="str">
        <v>91,255,255</v>
      </c>
      <c r="AW285" s="947">
        <v>100.03561890671628</v>
      </c>
      <c r="AX285" s="947">
        <v>100.03561890671628</v>
      </c>
      <c r="AY285" s="947">
        <v>0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73"/>
      <c r="N286" s="941"/>
      <c r="O286" s="942"/>
      <c r="Q286" s="162" t="str">
        <f t="shared" si="1085"/>
        <v/>
      </c>
      <c r="R286" s="162" t="str">
        <f t="shared" si="1086"/>
        <v/>
      </c>
      <c r="S286" s="162" t="str">
        <f t="shared" si="1087"/>
        <v/>
      </c>
      <c r="T286" s="162" t="str">
        <f t="shared" si="1088"/>
        <v/>
      </c>
      <c r="U286" s="162" t="str">
        <f t="shared" si="1089"/>
        <v/>
      </c>
      <c r="V286" s="162" t="str">
        <f t="shared" si="1090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91"/>
        <v/>
      </c>
      <c r="Y286" s="75"/>
      <c r="Z286" s="917" t="str">
        <f t="shared" si="1092"/>
        <v/>
      </c>
      <c r="AA286" s="82"/>
      <c r="AB286" s="75"/>
      <c r="AC286" s="75"/>
      <c r="AD286" s="166"/>
      <c r="AE286" s="75">
        <v>4.2439999999999998</v>
      </c>
      <c r="AF286" s="82">
        <v>4</v>
      </c>
      <c r="AG286" s="82">
        <v>2</v>
      </c>
      <c r="AH286" s="82">
        <v>2</v>
      </c>
      <c r="AI286" s="82">
        <v>0.99999999998544808</v>
      </c>
      <c r="AJ286" s="166">
        <v>4.2442099999999998</v>
      </c>
      <c r="AK286" s="82">
        <v>4.24411</v>
      </c>
      <c r="AL286" s="162">
        <v>0</v>
      </c>
      <c r="AM286" s="162">
        <v>0</v>
      </c>
      <c r="AN286" s="162">
        <v>0</v>
      </c>
      <c r="AO286" s="162">
        <v>0</v>
      </c>
      <c r="AP286" s="162">
        <v>0</v>
      </c>
      <c r="AQ286" s="162">
        <v>0</v>
      </c>
      <c r="AR286" s="710" t="str">
        <v>32193r1.par</v>
      </c>
      <c r="AV286" s="82" t="str">
        <v>91,255,255</v>
      </c>
      <c r="AW286" s="947">
        <v>89.999987005609597</v>
      </c>
      <c r="AX286" s="947">
        <v>89.999987005609597</v>
      </c>
      <c r="AY286" s="947">
        <v>0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73"/>
      <c r="N287" s="941"/>
      <c r="O287" s="942"/>
      <c r="Q287" s="162" t="str">
        <f t="shared" si="1085"/>
        <v/>
      </c>
      <c r="R287" s="162" t="str">
        <f t="shared" si="1086"/>
        <v/>
      </c>
      <c r="S287" s="162" t="str">
        <f t="shared" si="1087"/>
        <v/>
      </c>
      <c r="T287" s="162" t="str">
        <f t="shared" si="1088"/>
        <v/>
      </c>
      <c r="U287" s="162" t="str">
        <f t="shared" si="1089"/>
        <v/>
      </c>
      <c r="V287" s="162" t="str">
        <f t="shared" si="1090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91"/>
        <v/>
      </c>
      <c r="Y287" s="75"/>
      <c r="Z287" s="917" t="str">
        <f t="shared" si="1092"/>
        <v/>
      </c>
      <c r="AA287" s="82"/>
      <c r="AB287" s="75"/>
      <c r="AC287" s="75"/>
      <c r="AD287" s="166"/>
      <c r="AE287" s="75">
        <v>4.2380000000000004</v>
      </c>
      <c r="AF287" s="82">
        <v>4</v>
      </c>
      <c r="AG287" s="82">
        <v>2</v>
      </c>
      <c r="AH287" s="82">
        <v>2</v>
      </c>
      <c r="AI287" s="82">
        <v>1.0000000000582077</v>
      </c>
      <c r="AJ287" s="166">
        <v>4.2382100000000005</v>
      </c>
      <c r="AK287" s="82">
        <v>4.2381100000000007</v>
      </c>
      <c r="AL287" s="162">
        <v>0</v>
      </c>
      <c r="AM287" s="162">
        <v>0</v>
      </c>
      <c r="AN287" s="162">
        <v>0</v>
      </c>
      <c r="AO287" s="162">
        <v>0</v>
      </c>
      <c r="AP287" s="162">
        <v>0</v>
      </c>
      <c r="AQ287" s="162">
        <v>0</v>
      </c>
      <c r="AR287" s="710" t="str">
        <v>32193r1.par</v>
      </c>
      <c r="AV287" s="82" t="str">
        <v>91,255,255</v>
      </c>
      <c r="AW287" s="947">
        <v>82.999988016284419</v>
      </c>
      <c r="AX287" s="947">
        <v>82.999988016284419</v>
      </c>
      <c r="AY287" s="947">
        <v>0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73"/>
      <c r="N288" s="941"/>
      <c r="O288" s="942"/>
      <c r="Q288" s="162" t="str">
        <f t="shared" si="1085"/>
        <v/>
      </c>
      <c r="R288" s="162" t="str">
        <f t="shared" si="1086"/>
        <v/>
      </c>
      <c r="S288" s="162" t="str">
        <f t="shared" si="1087"/>
        <v/>
      </c>
      <c r="T288" s="162" t="str">
        <f t="shared" si="1088"/>
        <v/>
      </c>
      <c r="U288" s="162" t="str">
        <f t="shared" si="1089"/>
        <v/>
      </c>
      <c r="V288" s="162" t="str">
        <f t="shared" si="1090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91"/>
        <v/>
      </c>
      <c r="Y288" s="75"/>
      <c r="Z288" s="917" t="str">
        <f t="shared" si="1092"/>
        <v/>
      </c>
      <c r="AA288" s="82"/>
      <c r="AB288" s="75"/>
      <c r="AC288" s="75"/>
      <c r="AD288" s="166"/>
      <c r="AE288" s="75">
        <v>4.2320000000000002</v>
      </c>
      <c r="AF288" s="82">
        <v>4</v>
      </c>
      <c r="AG288" s="82">
        <v>2</v>
      </c>
      <c r="AH288" s="82">
        <v>2</v>
      </c>
      <c r="AI288" s="82">
        <v>1.0000000000582077</v>
      </c>
      <c r="AJ288" s="166">
        <v>4.2322100000000002</v>
      </c>
      <c r="AK288" s="82">
        <v>4.2321100000000005</v>
      </c>
      <c r="AL288" s="162">
        <v>0</v>
      </c>
      <c r="AM288" s="162">
        <v>0</v>
      </c>
      <c r="AN288" s="162">
        <v>0</v>
      </c>
      <c r="AO288" s="162">
        <v>0</v>
      </c>
      <c r="AP288" s="162">
        <v>0</v>
      </c>
      <c r="AQ288" s="162">
        <v>0</v>
      </c>
      <c r="AR288" s="710" t="str">
        <v>32193r1.par</v>
      </c>
      <c r="AV288" s="82" t="str">
        <v>91,255,255</v>
      </c>
      <c r="AW288" s="947">
        <v>61.99999104830885</v>
      </c>
      <c r="AX288" s="947">
        <v>61.99999104830885</v>
      </c>
      <c r="AY288" s="947">
        <v>0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73"/>
      <c r="N289" s="941"/>
      <c r="O289" s="942"/>
      <c r="Q289" s="162" t="str">
        <f t="shared" si="1085"/>
        <v/>
      </c>
      <c r="R289" s="162" t="str">
        <f t="shared" si="1086"/>
        <v/>
      </c>
      <c r="S289" s="162" t="str">
        <f t="shared" si="1087"/>
        <v/>
      </c>
      <c r="T289" s="162" t="str">
        <f t="shared" si="1088"/>
        <v/>
      </c>
      <c r="U289" s="162" t="str">
        <f t="shared" si="1089"/>
        <v/>
      </c>
      <c r="V289" s="162" t="str">
        <f t="shared" si="1090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91"/>
        <v/>
      </c>
      <c r="Y289" s="75"/>
      <c r="Z289" s="917" t="str">
        <f t="shared" si="1092"/>
        <v/>
      </c>
      <c r="AA289" s="82"/>
      <c r="AB289" s="75"/>
      <c r="AC289" s="75"/>
      <c r="AD289" s="166"/>
      <c r="AE289" s="75">
        <v>4.226</v>
      </c>
      <c r="AF289" s="82">
        <v>4</v>
      </c>
      <c r="AG289" s="82">
        <v>2</v>
      </c>
      <c r="AH289" s="82">
        <v>2</v>
      </c>
      <c r="AI289" s="82">
        <v>0.99999999998544808</v>
      </c>
      <c r="AJ289" s="166">
        <v>4.22621</v>
      </c>
      <c r="AK289" s="82">
        <v>4.2261100000000003</v>
      </c>
      <c r="AL289" s="162">
        <v>0</v>
      </c>
      <c r="AM289" s="162">
        <v>0</v>
      </c>
      <c r="AN289" s="162">
        <v>0</v>
      </c>
      <c r="AO289" s="162">
        <v>0</v>
      </c>
      <c r="AP289" s="162">
        <v>0</v>
      </c>
      <c r="AQ289" s="162">
        <v>0</v>
      </c>
      <c r="AR289" s="710" t="str">
        <v>32193r1.par</v>
      </c>
      <c r="AV289" s="82" t="str">
        <v>91,255,255</v>
      </c>
      <c r="AW289" s="947">
        <v>40.999994080333266</v>
      </c>
      <c r="AX289" s="947">
        <v>40.999994080333266</v>
      </c>
      <c r="AY289" s="947">
        <v>0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73"/>
      <c r="N290" s="941"/>
      <c r="O290" s="942"/>
      <c r="Q290" s="162" t="str">
        <f t="shared" si="1085"/>
        <v/>
      </c>
      <c r="R290" s="162" t="str">
        <f t="shared" si="1086"/>
        <v/>
      </c>
      <c r="S290" s="162" t="str">
        <f t="shared" si="1087"/>
        <v/>
      </c>
      <c r="T290" s="162" t="str">
        <f t="shared" si="1088"/>
        <v/>
      </c>
      <c r="U290" s="162" t="str">
        <f t="shared" si="1089"/>
        <v/>
      </c>
      <c r="V290" s="162" t="str">
        <f t="shared" si="1090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91"/>
        <v/>
      </c>
      <c r="Y290" s="75"/>
      <c r="Z290" s="917" t="str">
        <f t="shared" si="1092"/>
        <v/>
      </c>
      <c r="AA290" s="82"/>
      <c r="AB290" s="75"/>
      <c r="AC290" s="75"/>
      <c r="AD290" s="166"/>
      <c r="AE290" s="75">
        <v>4.22</v>
      </c>
      <c r="AF290" s="82">
        <v>4</v>
      </c>
      <c r="AG290" s="82">
        <v>2</v>
      </c>
      <c r="AH290" s="82">
        <v>2</v>
      </c>
      <c r="AI290" s="82">
        <v>0.99999999998544808</v>
      </c>
      <c r="AJ290" s="166">
        <v>4.2202099999999998</v>
      </c>
      <c r="AK290" s="82">
        <v>4.22011</v>
      </c>
      <c r="AL290" s="162">
        <v>0</v>
      </c>
      <c r="AM290" s="162">
        <v>0</v>
      </c>
      <c r="AN290" s="162">
        <v>0</v>
      </c>
      <c r="AO290" s="162">
        <v>0</v>
      </c>
      <c r="AP290" s="162">
        <v>0</v>
      </c>
      <c r="AQ290" s="162">
        <v>0</v>
      </c>
      <c r="AR290" s="710" t="str">
        <v>32193r1.par</v>
      </c>
      <c r="AV290" s="82" t="str">
        <v>91,255,255</v>
      </c>
      <c r="AW290" s="947">
        <v>19.99999711235769</v>
      </c>
      <c r="AX290" s="947">
        <v>19.99999711235769</v>
      </c>
      <c r="AY290" s="947">
        <v>0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73"/>
      <c r="N291" s="941"/>
      <c r="O291" s="942"/>
      <c r="Q291" s="162" t="str">
        <f t="shared" si="1085"/>
        <v/>
      </c>
      <c r="R291" s="162" t="str">
        <f t="shared" si="1086"/>
        <v/>
      </c>
      <c r="S291" s="162" t="str">
        <f t="shared" si="1087"/>
        <v/>
      </c>
      <c r="T291" s="162" t="str">
        <f t="shared" si="1088"/>
        <v/>
      </c>
      <c r="U291" s="162" t="str">
        <f t="shared" si="1089"/>
        <v/>
      </c>
      <c r="V291" s="162" t="str">
        <f t="shared" si="1090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91"/>
        <v/>
      </c>
      <c r="Y291" s="75"/>
      <c r="Z291" s="917" t="str">
        <f t="shared" si="1092"/>
        <v/>
      </c>
      <c r="AA291" s="82"/>
      <c r="AB291" s="75"/>
      <c r="AC291" s="75"/>
      <c r="AD291" s="166"/>
      <c r="AE291" s="75">
        <v>4.1440000000000001</v>
      </c>
      <c r="AF291" s="82">
        <v>4</v>
      </c>
      <c r="AG291" s="82">
        <v>1</v>
      </c>
      <c r="AH291" s="82">
        <v>2</v>
      </c>
      <c r="AI291" s="82">
        <v>0.99999999998544808</v>
      </c>
      <c r="AJ291" s="166">
        <v>4.1442100000000002</v>
      </c>
      <c r="AK291" s="82">
        <v>4.1441100000000004</v>
      </c>
      <c r="AL291" s="162">
        <v>0</v>
      </c>
      <c r="AM291" s="162">
        <v>0</v>
      </c>
      <c r="AN291" s="162">
        <v>0</v>
      </c>
      <c r="AO291" s="162">
        <v>0</v>
      </c>
      <c r="AP291" s="162">
        <v>0</v>
      </c>
      <c r="AQ291" s="162">
        <v>0</v>
      </c>
      <c r="AR291" s="710" t="str">
        <v>1613.par</v>
      </c>
      <c r="AV291" s="82" t="str">
        <v>0,204,204</v>
      </c>
      <c r="AW291" s="947">
        <v>84.970117416838406</v>
      </c>
      <c r="AX291" s="947">
        <v>84.970117416838406</v>
      </c>
      <c r="AY291" s="947">
        <v>0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73"/>
      <c r="N292" s="941"/>
      <c r="O292" s="942"/>
      <c r="Q292" s="162" t="str">
        <f t="shared" si="1085"/>
        <v/>
      </c>
      <c r="R292" s="162" t="str">
        <f t="shared" si="1086"/>
        <v/>
      </c>
      <c r="S292" s="162" t="str">
        <f t="shared" si="1087"/>
        <v/>
      </c>
      <c r="T292" s="162" t="str">
        <f t="shared" si="1088"/>
        <v/>
      </c>
      <c r="U292" s="162" t="str">
        <f t="shared" si="1089"/>
        <v/>
      </c>
      <c r="V292" s="162" t="str">
        <f t="shared" si="1090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91"/>
        <v/>
      </c>
      <c r="Y292" s="75"/>
      <c r="Z292" s="917" t="str">
        <f t="shared" si="1092"/>
        <v/>
      </c>
      <c r="AA292" s="82"/>
      <c r="AB292" s="75"/>
      <c r="AC292" s="75"/>
      <c r="AD292" s="166"/>
      <c r="AE292" s="75">
        <v>4.1379999999999999</v>
      </c>
      <c r="AF292" s="82">
        <v>4</v>
      </c>
      <c r="AG292" s="82">
        <v>1</v>
      </c>
      <c r="AH292" s="82">
        <v>2</v>
      </c>
      <c r="AI292" s="82">
        <v>0.99999999998544808</v>
      </c>
      <c r="AJ292" s="166">
        <v>4.1382099999999999</v>
      </c>
      <c r="AK292" s="82">
        <v>4.1381100000000002</v>
      </c>
      <c r="AL292" s="162">
        <v>0</v>
      </c>
      <c r="AM292" s="162">
        <v>0</v>
      </c>
      <c r="AN292" s="162">
        <v>0</v>
      </c>
      <c r="AO292" s="162">
        <v>0</v>
      </c>
      <c r="AP292" s="162">
        <v>0</v>
      </c>
      <c r="AQ292" s="162">
        <v>0</v>
      </c>
      <c r="AR292" s="710" t="str">
        <v>1613.par</v>
      </c>
      <c r="AV292" s="82" t="str">
        <v>0,204,204</v>
      </c>
      <c r="AW292" s="947">
        <v>78.799617313561896</v>
      </c>
      <c r="AX292" s="947">
        <v>78.799617313561896</v>
      </c>
      <c r="AY292" s="947">
        <v>0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73"/>
      <c r="N293" s="941"/>
      <c r="O293" s="942"/>
      <c r="Q293" s="162" t="str">
        <f t="shared" si="1085"/>
        <v/>
      </c>
      <c r="R293" s="162" t="str">
        <f t="shared" si="1086"/>
        <v/>
      </c>
      <c r="S293" s="162" t="str">
        <f t="shared" si="1087"/>
        <v/>
      </c>
      <c r="T293" s="162" t="str">
        <f t="shared" si="1088"/>
        <v/>
      </c>
      <c r="U293" s="162" t="str">
        <f t="shared" si="1089"/>
        <v/>
      </c>
      <c r="V293" s="162" t="str">
        <f t="shared" si="1090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91"/>
        <v/>
      </c>
      <c r="Y293" s="75"/>
      <c r="Z293" s="917" t="str">
        <f t="shared" si="1092"/>
        <v/>
      </c>
      <c r="AA293" s="82"/>
      <c r="AB293" s="75"/>
      <c r="AC293" s="75"/>
      <c r="AD293" s="166"/>
      <c r="AE293" s="75">
        <v>4.1319999999999997</v>
      </c>
      <c r="AF293" s="82">
        <v>4</v>
      </c>
      <c r="AG293" s="82">
        <v>1</v>
      </c>
      <c r="AH293" s="82">
        <v>2</v>
      </c>
      <c r="AI293" s="82">
        <v>0.99999999998544808</v>
      </c>
      <c r="AJ293" s="166">
        <v>4.1322099999999997</v>
      </c>
      <c r="AK293" s="82">
        <v>4.1321099999999999</v>
      </c>
      <c r="AL293" s="162">
        <v>0</v>
      </c>
      <c r="AM293" s="162">
        <v>0</v>
      </c>
      <c r="AN293" s="162">
        <v>0</v>
      </c>
      <c r="AO293" s="162">
        <v>0</v>
      </c>
      <c r="AP293" s="162">
        <v>0</v>
      </c>
      <c r="AQ293" s="162">
        <v>0</v>
      </c>
      <c r="AR293" s="710" t="str">
        <v>1613.par</v>
      </c>
      <c r="AV293" s="82" t="str">
        <v>0,204,204</v>
      </c>
      <c r="AW293" s="947">
        <v>60.249226457616452</v>
      </c>
      <c r="AX293" s="947">
        <v>60.249226457616452</v>
      </c>
      <c r="AY293" s="947">
        <v>0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73"/>
      <c r="N294" s="941"/>
      <c r="O294" s="942"/>
      <c r="Q294" s="162" t="str">
        <f t="shared" si="1085"/>
        <v/>
      </c>
      <c r="R294" s="162" t="str">
        <f t="shared" si="1086"/>
        <v/>
      </c>
      <c r="S294" s="162" t="str">
        <f t="shared" si="1087"/>
        <v/>
      </c>
      <c r="T294" s="162" t="str">
        <f t="shared" si="1088"/>
        <v/>
      </c>
      <c r="U294" s="162" t="str">
        <f t="shared" si="1089"/>
        <v/>
      </c>
      <c r="V294" s="162" t="str">
        <f t="shared" si="1090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91"/>
        <v/>
      </c>
      <c r="Y294" s="75"/>
      <c r="Z294" s="917" t="str">
        <f t="shared" si="1092"/>
        <v/>
      </c>
      <c r="AA294" s="82"/>
      <c r="AB294" s="75"/>
      <c r="AC294" s="75"/>
      <c r="AD294" s="166"/>
      <c r="AE294" s="75">
        <v>4.1260000000000003</v>
      </c>
      <c r="AF294" s="82">
        <v>4</v>
      </c>
      <c r="AG294" s="82">
        <v>1</v>
      </c>
      <c r="AH294" s="82">
        <v>2</v>
      </c>
      <c r="AI294" s="82">
        <v>1.0000000000582077</v>
      </c>
      <c r="AJ294" s="166">
        <v>4.1262100000000004</v>
      </c>
      <c r="AK294" s="82">
        <v>4.1261100000000006</v>
      </c>
      <c r="AL294" s="162">
        <v>0</v>
      </c>
      <c r="AM294" s="162">
        <v>0</v>
      </c>
      <c r="AN294" s="162">
        <v>0</v>
      </c>
      <c r="AO294" s="162">
        <v>0</v>
      </c>
      <c r="AP294" s="162">
        <v>0</v>
      </c>
      <c r="AQ294" s="162">
        <v>0</v>
      </c>
      <c r="AR294" s="710" t="str">
        <v>1613.par</v>
      </c>
      <c r="AV294" s="82" t="str">
        <v>0,204,204</v>
      </c>
      <c r="AW294" s="947">
        <v>41.606624611766414</v>
      </c>
      <c r="AX294" s="947">
        <v>41.606624611766414</v>
      </c>
      <c r="AY294" s="947">
        <v>0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73"/>
      <c r="N295" s="941"/>
      <c r="O295" s="942"/>
      <c r="Q295" s="162" t="str">
        <f t="shared" si="1085"/>
        <v/>
      </c>
      <c r="R295" s="162" t="str">
        <f t="shared" si="1086"/>
        <v/>
      </c>
      <c r="S295" s="162" t="str">
        <f t="shared" si="1087"/>
        <v/>
      </c>
      <c r="T295" s="162" t="str">
        <f t="shared" si="1088"/>
        <v/>
      </c>
      <c r="U295" s="162" t="str">
        <f t="shared" si="1089"/>
        <v/>
      </c>
      <c r="V295" s="162" t="str">
        <f t="shared" si="1090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91"/>
        <v/>
      </c>
      <c r="Y295" s="75"/>
      <c r="Z295" s="917" t="str">
        <f t="shared" si="1092"/>
        <v/>
      </c>
      <c r="AA295" s="82"/>
      <c r="AB295" s="75"/>
      <c r="AC295" s="75"/>
      <c r="AD295" s="166"/>
      <c r="AE295" s="75">
        <v>4.12</v>
      </c>
      <c r="AF295" s="82">
        <v>4</v>
      </c>
      <c r="AG295" s="82">
        <v>1</v>
      </c>
      <c r="AH295" s="82">
        <v>2</v>
      </c>
      <c r="AI295" s="82">
        <v>0.99999999998544808</v>
      </c>
      <c r="AJ295" s="166">
        <v>4.1202100000000002</v>
      </c>
      <c r="AK295" s="82">
        <v>4.1201100000000004</v>
      </c>
      <c r="AL295" s="162">
        <v>0</v>
      </c>
      <c r="AM295" s="162">
        <v>0</v>
      </c>
      <c r="AN295" s="162">
        <v>0</v>
      </c>
      <c r="AO295" s="162">
        <v>0</v>
      </c>
      <c r="AP295" s="162">
        <v>0</v>
      </c>
      <c r="AQ295" s="162">
        <v>0</v>
      </c>
      <c r="AR295" s="710" t="str">
        <v>1613 Ripper.par</v>
      </c>
      <c r="AV295" s="82" t="str">
        <v>0,204,204</v>
      </c>
      <c r="AW295" s="947">
        <v>22.793338283804125</v>
      </c>
      <c r="AX295" s="947">
        <v>22.793338283804125</v>
      </c>
      <c r="AY295" s="947">
        <v>0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73"/>
      <c r="N296" s="941"/>
      <c r="O296" s="942"/>
      <c r="Q296" s="162" t="str">
        <f t="shared" si="1085"/>
        <v/>
      </c>
      <c r="R296" s="162" t="str">
        <f t="shared" si="1086"/>
        <v/>
      </c>
      <c r="S296" s="162" t="str">
        <f t="shared" si="1087"/>
        <v/>
      </c>
      <c r="T296" s="162" t="str">
        <f t="shared" si="1088"/>
        <v/>
      </c>
      <c r="U296" s="162" t="str">
        <f t="shared" si="1089"/>
        <v/>
      </c>
      <c r="V296" s="162" t="str">
        <f t="shared" si="1090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91"/>
        <v/>
      </c>
      <c r="Y296" s="75"/>
      <c r="Z296" s="917" t="str">
        <f t="shared" si="1092"/>
        <v/>
      </c>
      <c r="AA296" s="82"/>
      <c r="AB296" s="75"/>
      <c r="AC296" s="75"/>
      <c r="AD296" s="166"/>
      <c r="AE296" s="75">
        <v>4.1139999999999999</v>
      </c>
      <c r="AF296" s="82">
        <v>4</v>
      </c>
      <c r="AG296" s="82">
        <v>1</v>
      </c>
      <c r="AH296" s="82">
        <v>2</v>
      </c>
      <c r="AI296" s="82">
        <v>0.99999999998544808</v>
      </c>
      <c r="AJ296" s="166">
        <v>4.1142099999999999</v>
      </c>
      <c r="AK296" s="82">
        <v>4.1141100000000002</v>
      </c>
      <c r="AL296" s="162">
        <v>0</v>
      </c>
      <c r="AM296" s="162">
        <v>0</v>
      </c>
      <c r="AN296" s="162">
        <v>0</v>
      </c>
      <c r="AO296" s="162">
        <v>0</v>
      </c>
      <c r="AP296" s="162">
        <v>0</v>
      </c>
      <c r="AQ296" s="162">
        <v>0</v>
      </c>
      <c r="AR296" s="710" t="str">
        <v>1613 Ripper.par</v>
      </c>
      <c r="AV296" s="82" t="str">
        <v>0,204,204</v>
      </c>
      <c r="AW296" s="947">
        <v>3.9705087662236287</v>
      </c>
      <c r="AX296" s="947">
        <v>3.9705087662236287</v>
      </c>
      <c r="AY296" s="947">
        <v>0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73"/>
      <c r="N297" s="941"/>
      <c r="O297" s="942"/>
      <c r="Q297" s="162" t="str">
        <f t="shared" si="1085"/>
        <v/>
      </c>
      <c r="R297" s="162" t="str">
        <f t="shared" si="1086"/>
        <v/>
      </c>
      <c r="S297" s="162" t="str">
        <f t="shared" si="1087"/>
        <v/>
      </c>
      <c r="T297" s="162" t="str">
        <f t="shared" si="1088"/>
        <v/>
      </c>
      <c r="U297" s="162" t="str">
        <f t="shared" si="1089"/>
        <v/>
      </c>
      <c r="V297" s="162" t="str">
        <f t="shared" si="1090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91"/>
        <v/>
      </c>
      <c r="Y297" s="75"/>
      <c r="Z297" s="917" t="str">
        <f t="shared" si="1092"/>
        <v/>
      </c>
      <c r="AA297" s="82"/>
      <c r="AB297" s="75"/>
      <c r="AC297" s="75"/>
      <c r="AD297" s="166"/>
      <c r="AE297" s="75">
        <v>3.2509999999999999</v>
      </c>
      <c r="AF297" s="82">
        <v>3</v>
      </c>
      <c r="AG297" s="82">
        <v>2</v>
      </c>
      <c r="AH297" s="82">
        <v>2</v>
      </c>
      <c r="AI297" s="82">
        <v>0.99999999998544808</v>
      </c>
      <c r="AJ297" s="166">
        <v>3.2512099999999999</v>
      </c>
      <c r="AK297" s="82">
        <v>3.2511099999999997</v>
      </c>
      <c r="AL297" s="162">
        <v>0</v>
      </c>
      <c r="AM297" s="162">
        <v>0</v>
      </c>
      <c r="AN297" s="162">
        <v>0</v>
      </c>
      <c r="AO297" s="162">
        <v>0</v>
      </c>
      <c r="AP297" s="162">
        <v>0</v>
      </c>
      <c r="AQ297" s="162">
        <v>0</v>
      </c>
      <c r="AR297" s="710" t="str">
        <v>1313.par</v>
      </c>
      <c r="AV297" s="82" t="str">
        <v>97,255,97</v>
      </c>
      <c r="AW297" s="947">
        <v>100.03561890671625</v>
      </c>
      <c r="AX297" s="947">
        <v>100.03561890671625</v>
      </c>
      <c r="AY297" s="947">
        <v>0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73"/>
      <c r="N298" s="941"/>
      <c r="O298" s="942"/>
      <c r="Q298" s="162" t="str">
        <f t="shared" si="1085"/>
        <v/>
      </c>
      <c r="R298" s="162" t="str">
        <f t="shared" si="1086"/>
        <v/>
      </c>
      <c r="S298" s="162" t="str">
        <f t="shared" si="1087"/>
        <v/>
      </c>
      <c r="T298" s="162" t="str">
        <f t="shared" si="1088"/>
        <v/>
      </c>
      <c r="U298" s="162" t="str">
        <f t="shared" si="1089"/>
        <v/>
      </c>
      <c r="V298" s="162" t="str">
        <f t="shared" si="1090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91"/>
        <v/>
      </c>
      <c r="Y298" s="75"/>
      <c r="Z298" s="917" t="str">
        <f t="shared" si="1092"/>
        <v/>
      </c>
      <c r="AA298" s="82"/>
      <c r="AB298" s="75"/>
      <c r="AC298" s="75"/>
      <c r="AD298" s="166"/>
      <c r="AE298" s="75">
        <v>3.2450000000000001</v>
      </c>
      <c r="AF298" s="82">
        <v>3</v>
      </c>
      <c r="AG298" s="82">
        <v>2</v>
      </c>
      <c r="AH298" s="82">
        <v>2</v>
      </c>
      <c r="AI298" s="82">
        <v>1.0000000000218279</v>
      </c>
      <c r="AJ298" s="166">
        <v>3.2452100000000002</v>
      </c>
      <c r="AK298" s="82">
        <v>3.2451099999999999</v>
      </c>
      <c r="AL298" s="162">
        <v>0</v>
      </c>
      <c r="AM298" s="162">
        <v>0</v>
      </c>
      <c r="AN298" s="162">
        <v>0</v>
      </c>
      <c r="AO298" s="162">
        <v>0</v>
      </c>
      <c r="AP298" s="162">
        <v>0</v>
      </c>
      <c r="AQ298" s="162">
        <v>0</v>
      </c>
      <c r="AR298" s="710" t="str">
        <v>32193r1.par</v>
      </c>
      <c r="AV298" s="82" t="str">
        <v>97,255,97</v>
      </c>
      <c r="AW298" s="947">
        <v>89.999987005609611</v>
      </c>
      <c r="AX298" s="947">
        <v>89.999987005609611</v>
      </c>
      <c r="AY298" s="947">
        <v>0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73"/>
      <c r="N299" s="941"/>
      <c r="O299" s="942"/>
      <c r="Q299" s="162" t="str">
        <f t="shared" si="1085"/>
        <v/>
      </c>
      <c r="R299" s="162" t="str">
        <f t="shared" si="1086"/>
        <v/>
      </c>
      <c r="S299" s="162" t="str">
        <f t="shared" si="1087"/>
        <v/>
      </c>
      <c r="T299" s="162" t="str">
        <f t="shared" si="1088"/>
        <v/>
      </c>
      <c r="U299" s="162" t="str">
        <f t="shared" si="1089"/>
        <v/>
      </c>
      <c r="V299" s="162" t="str">
        <f t="shared" si="1090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91"/>
        <v/>
      </c>
      <c r="Y299" s="75"/>
      <c r="Z299" s="917" t="str">
        <f t="shared" si="1092"/>
        <v/>
      </c>
      <c r="AA299" s="82"/>
      <c r="AB299" s="75"/>
      <c r="AC299" s="75"/>
      <c r="AD299" s="166"/>
      <c r="AE299" s="75">
        <v>3.2389999999999999</v>
      </c>
      <c r="AF299" s="82">
        <v>3</v>
      </c>
      <c r="AG299" s="82">
        <v>2</v>
      </c>
      <c r="AH299" s="82">
        <v>2</v>
      </c>
      <c r="AI299" s="82">
        <v>0.99999999998544808</v>
      </c>
      <c r="AJ299" s="166">
        <v>3.2392099999999999</v>
      </c>
      <c r="AK299" s="82">
        <v>3.2391099999999997</v>
      </c>
      <c r="AL299" s="162">
        <v>0</v>
      </c>
      <c r="AM299" s="162">
        <v>0</v>
      </c>
      <c r="AN299" s="162">
        <v>0</v>
      </c>
      <c r="AO299" s="162">
        <v>0</v>
      </c>
      <c r="AP299" s="162">
        <v>0</v>
      </c>
      <c r="AQ299" s="162">
        <v>0</v>
      </c>
      <c r="AR299" s="710" t="str">
        <v>32193r1.par</v>
      </c>
      <c r="AV299" s="82" t="str">
        <v>97,255,97</v>
      </c>
      <c r="AW299" s="947">
        <v>82.999988016284419</v>
      </c>
      <c r="AX299" s="947">
        <v>82.999988016284419</v>
      </c>
      <c r="AY299" s="947">
        <v>0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73"/>
      <c r="N300" s="941"/>
      <c r="O300" s="942"/>
      <c r="Q300" s="162" t="str">
        <f t="shared" si="1085"/>
        <v/>
      </c>
      <c r="R300" s="162" t="str">
        <f t="shared" si="1086"/>
        <v/>
      </c>
      <c r="S300" s="162" t="str">
        <f t="shared" si="1087"/>
        <v/>
      </c>
      <c r="T300" s="162" t="str">
        <f t="shared" si="1088"/>
        <v/>
      </c>
      <c r="U300" s="162" t="str">
        <f t="shared" si="1089"/>
        <v/>
      </c>
      <c r="V300" s="162" t="str">
        <f t="shared" si="1090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91"/>
        <v/>
      </c>
      <c r="Y300" s="75"/>
      <c r="Z300" s="917" t="str">
        <f t="shared" si="1092"/>
        <v/>
      </c>
      <c r="AA300" s="82"/>
      <c r="AB300" s="75"/>
      <c r="AC300" s="75"/>
      <c r="AD300" s="166"/>
      <c r="AE300" s="75">
        <v>3.2330000000000001</v>
      </c>
      <c r="AF300" s="82">
        <v>3</v>
      </c>
      <c r="AG300" s="82">
        <v>2</v>
      </c>
      <c r="AH300" s="82">
        <v>2</v>
      </c>
      <c r="AI300" s="82">
        <v>1.0000000000218279</v>
      </c>
      <c r="AJ300" s="166">
        <v>3.2332100000000001</v>
      </c>
      <c r="AK300" s="82">
        <v>3.2331099999999999</v>
      </c>
      <c r="AL300" s="162">
        <v>0</v>
      </c>
      <c r="AM300" s="162">
        <v>0</v>
      </c>
      <c r="AN300" s="162">
        <v>0</v>
      </c>
      <c r="AO300" s="162">
        <v>0</v>
      </c>
      <c r="AP300" s="162">
        <v>0</v>
      </c>
      <c r="AQ300" s="162">
        <v>0</v>
      </c>
      <c r="AR300" s="710" t="str">
        <v>1313.par</v>
      </c>
      <c r="AV300" s="82" t="str">
        <v>97,255,97</v>
      </c>
      <c r="AW300" s="947">
        <v>63.392943063786667</v>
      </c>
      <c r="AX300" s="947">
        <v>63.392943063786667</v>
      </c>
      <c r="AY300" s="947">
        <v>0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73"/>
      <c r="N301" s="941"/>
      <c r="O301" s="942"/>
      <c r="Q301" s="162" t="str">
        <f t="shared" si="1085"/>
        <v/>
      </c>
      <c r="R301" s="162" t="str">
        <f t="shared" si="1086"/>
        <v/>
      </c>
      <c r="S301" s="162" t="str">
        <f t="shared" si="1087"/>
        <v/>
      </c>
      <c r="T301" s="162" t="str">
        <f t="shared" si="1088"/>
        <v/>
      </c>
      <c r="U301" s="162" t="str">
        <f t="shared" si="1089"/>
        <v/>
      </c>
      <c r="V301" s="162" t="str">
        <f t="shared" si="1090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91"/>
        <v/>
      </c>
      <c r="Y301" s="75"/>
      <c r="Z301" s="917" t="str">
        <f t="shared" si="1092"/>
        <v/>
      </c>
      <c r="AA301" s="82"/>
      <c r="AB301" s="75"/>
      <c r="AC301" s="75"/>
      <c r="AD301" s="166"/>
      <c r="AE301" s="75">
        <v>3.2269999999999999</v>
      </c>
      <c r="AF301" s="82">
        <v>3</v>
      </c>
      <c r="AG301" s="82">
        <v>2</v>
      </c>
      <c r="AH301" s="82">
        <v>2</v>
      </c>
      <c r="AI301" s="82">
        <v>0.99999999998544808</v>
      </c>
      <c r="AJ301" s="166">
        <v>3.2272099999999999</v>
      </c>
      <c r="AK301" s="82">
        <v>3.2271099999999997</v>
      </c>
      <c r="AL301" s="162">
        <v>0</v>
      </c>
      <c r="AM301" s="162">
        <v>0</v>
      </c>
      <c r="AN301" s="162">
        <v>0</v>
      </c>
      <c r="AO301" s="162">
        <v>0</v>
      </c>
      <c r="AP301" s="162">
        <v>0</v>
      </c>
      <c r="AQ301" s="162">
        <v>0</v>
      </c>
      <c r="AR301" s="710" t="str">
        <v>1313.par</v>
      </c>
      <c r="AV301" s="82" t="str">
        <v>97,255,97</v>
      </c>
      <c r="AW301" s="947">
        <v>44.830187859593472</v>
      </c>
      <c r="AX301" s="947">
        <v>44.830187859593472</v>
      </c>
      <c r="AY301" s="947">
        <v>0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73"/>
      <c r="N302" s="941"/>
      <c r="O302" s="942"/>
      <c r="Q302" s="162" t="str">
        <f t="shared" si="1085"/>
        <v/>
      </c>
      <c r="R302" s="162" t="str">
        <f t="shared" si="1086"/>
        <v/>
      </c>
      <c r="S302" s="162" t="str">
        <f t="shared" si="1087"/>
        <v/>
      </c>
      <c r="T302" s="162" t="str">
        <f t="shared" si="1088"/>
        <v/>
      </c>
      <c r="U302" s="162" t="str">
        <f t="shared" si="1089"/>
        <v/>
      </c>
      <c r="V302" s="162" t="str">
        <f t="shared" si="1090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91"/>
        <v/>
      </c>
      <c r="Y302" s="75"/>
      <c r="Z302" s="917" t="str">
        <f t="shared" si="1092"/>
        <v/>
      </c>
      <c r="AA302" s="82"/>
      <c r="AB302" s="75"/>
      <c r="AC302" s="75"/>
      <c r="AD302" s="166"/>
      <c r="AE302" s="75">
        <v>3.2210000000000001</v>
      </c>
      <c r="AF302" s="82">
        <v>3</v>
      </c>
      <c r="AG302" s="82">
        <v>2</v>
      </c>
      <c r="AH302" s="82">
        <v>2</v>
      </c>
      <c r="AI302" s="82">
        <v>1.0000000000218279</v>
      </c>
      <c r="AJ302" s="166">
        <v>3.2212100000000001</v>
      </c>
      <c r="AK302" s="82">
        <v>3.2211099999999999</v>
      </c>
      <c r="AL302" s="162">
        <v>0</v>
      </c>
      <c r="AM302" s="162">
        <v>0</v>
      </c>
      <c r="AN302" s="162">
        <v>0</v>
      </c>
      <c r="AO302" s="162">
        <v>0</v>
      </c>
      <c r="AP302" s="162">
        <v>0</v>
      </c>
      <c r="AQ302" s="162">
        <v>0</v>
      </c>
      <c r="AR302" s="710" t="str">
        <v>1313.par</v>
      </c>
      <c r="AV302" s="82" t="str">
        <v>97,255,97</v>
      </c>
      <c r="AW302" s="947">
        <v>26.167511622001179</v>
      </c>
      <c r="AX302" s="947">
        <v>26.167511622001179</v>
      </c>
      <c r="AY302" s="947">
        <v>0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73"/>
      <c r="N303" s="941"/>
      <c r="O303" s="942"/>
      <c r="Q303" s="162" t="str">
        <f t="shared" si="1085"/>
        <v/>
      </c>
      <c r="R303" s="162" t="str">
        <f t="shared" si="1086"/>
        <v/>
      </c>
      <c r="S303" s="162" t="str">
        <f t="shared" si="1087"/>
        <v/>
      </c>
      <c r="T303" s="162" t="str">
        <f t="shared" si="1088"/>
        <v/>
      </c>
      <c r="U303" s="162" t="str">
        <f t="shared" si="1089"/>
        <v/>
      </c>
      <c r="V303" s="162" t="str">
        <f t="shared" si="1090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91"/>
        <v/>
      </c>
      <c r="Y303" s="75"/>
      <c r="Z303" s="917" t="str">
        <f t="shared" si="1092"/>
        <v/>
      </c>
      <c r="AA303" s="82"/>
      <c r="AB303" s="75"/>
      <c r="AC303" s="75"/>
      <c r="AD303" s="166"/>
      <c r="AE303" s="75">
        <v>3.2149999999999999</v>
      </c>
      <c r="AF303" s="82">
        <v>3</v>
      </c>
      <c r="AG303" s="82">
        <v>2</v>
      </c>
      <c r="AH303" s="82">
        <v>2</v>
      </c>
      <c r="AI303" s="82">
        <v>0.99999999998544808</v>
      </c>
      <c r="AJ303" s="166">
        <v>3.2152099999999999</v>
      </c>
      <c r="AK303" s="82">
        <v>3.2151099999999997</v>
      </c>
      <c r="AL303" s="162">
        <v>0</v>
      </c>
      <c r="AM303" s="162">
        <v>0</v>
      </c>
      <c r="AN303" s="162">
        <v>0</v>
      </c>
      <c r="AO303" s="162">
        <v>0</v>
      </c>
      <c r="AP303" s="162">
        <v>0</v>
      </c>
      <c r="AQ303" s="162">
        <v>0</v>
      </c>
      <c r="AR303" s="710" t="str">
        <v>32193r1.par</v>
      </c>
      <c r="AV303" s="82" t="str">
        <v>97,255,97</v>
      </c>
      <c r="AW303" s="947">
        <v>-0.99999985561788196</v>
      </c>
      <c r="AX303" s="947">
        <v>-0.99999985561788196</v>
      </c>
      <c r="AY303" s="947">
        <v>0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73"/>
      <c r="N304" s="941"/>
      <c r="O304" s="942"/>
      <c r="Q304" s="162" t="str">
        <f t="shared" si="1085"/>
        <v/>
      </c>
      <c r="R304" s="162" t="str">
        <f t="shared" si="1086"/>
        <v/>
      </c>
      <c r="S304" s="162" t="str">
        <f t="shared" si="1087"/>
        <v/>
      </c>
      <c r="T304" s="162" t="str">
        <f t="shared" si="1088"/>
        <v/>
      </c>
      <c r="U304" s="162" t="str">
        <f t="shared" si="1089"/>
        <v/>
      </c>
      <c r="V304" s="162" t="str">
        <f t="shared" si="1090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91"/>
        <v/>
      </c>
      <c r="Y304" s="75"/>
      <c r="Z304" s="917" t="str">
        <f t="shared" si="1092"/>
        <v/>
      </c>
      <c r="AA304" s="82"/>
      <c r="AB304" s="75"/>
      <c r="AC304" s="75"/>
      <c r="AD304" s="166"/>
      <c r="AE304" s="75">
        <v>3.145</v>
      </c>
      <c r="AF304" s="82">
        <v>3</v>
      </c>
      <c r="AG304" s="82">
        <v>1</v>
      </c>
      <c r="AH304" s="82">
        <v>2</v>
      </c>
      <c r="AI304" s="82">
        <v>1.0000000000218279</v>
      </c>
      <c r="AJ304" s="166">
        <v>3.1452100000000001</v>
      </c>
      <c r="AK304" s="82">
        <v>3.1451099999999999</v>
      </c>
      <c r="AL304" s="162">
        <v>0</v>
      </c>
      <c r="AM304" s="162">
        <v>0</v>
      </c>
      <c r="AN304" s="162">
        <v>0</v>
      </c>
      <c r="AO304" s="162">
        <v>0</v>
      </c>
      <c r="AP304" s="162">
        <v>0</v>
      </c>
      <c r="AQ304" s="162">
        <v>0</v>
      </c>
      <c r="AR304" s="710" t="str">
        <v>1613.par</v>
      </c>
      <c r="AV304" s="82" t="str">
        <v>0,204,0</v>
      </c>
      <c r="AW304" s="947">
        <v>84.97011741683842</v>
      </c>
      <c r="AX304" s="947">
        <v>84.97011741683842</v>
      </c>
      <c r="AY304" s="947">
        <v>0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74"/>
      <c r="N305" s="945"/>
      <c r="O305" s="946"/>
      <c r="Q305" s="162" t="str">
        <f t="shared" si="1085"/>
        <v/>
      </c>
      <c r="R305" s="162" t="str">
        <f t="shared" si="1086"/>
        <v/>
      </c>
      <c r="S305" s="162" t="str">
        <f t="shared" si="1087"/>
        <v/>
      </c>
      <c r="T305" s="162" t="str">
        <f t="shared" si="1088"/>
        <v/>
      </c>
      <c r="U305" s="162" t="str">
        <f t="shared" si="1089"/>
        <v/>
      </c>
      <c r="V305" s="162" t="str">
        <f t="shared" si="1090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91"/>
        <v/>
      </c>
      <c r="Y305" s="75"/>
      <c r="Z305" s="917" t="str">
        <f t="shared" si="1092"/>
        <v/>
      </c>
      <c r="AA305" s="82"/>
      <c r="AB305" s="75"/>
      <c r="AC305" s="75"/>
      <c r="AD305" s="166"/>
      <c r="AE305" s="75">
        <v>3.1389999999999998</v>
      </c>
      <c r="AF305" s="82">
        <v>3</v>
      </c>
      <c r="AG305" s="82">
        <v>1</v>
      </c>
      <c r="AH305" s="82">
        <v>2</v>
      </c>
      <c r="AI305" s="82">
        <v>0.99999999998544808</v>
      </c>
      <c r="AJ305" s="166">
        <v>3.1392099999999998</v>
      </c>
      <c r="AK305" s="82">
        <v>3.1391099999999996</v>
      </c>
      <c r="AL305" s="162">
        <v>0</v>
      </c>
      <c r="AM305" s="162">
        <v>0</v>
      </c>
      <c r="AN305" s="162">
        <v>0</v>
      </c>
      <c r="AO305" s="162">
        <v>0</v>
      </c>
      <c r="AP305" s="162">
        <v>0</v>
      </c>
      <c r="AQ305" s="162">
        <v>0</v>
      </c>
      <c r="AR305" s="710" t="str">
        <v>1613.par</v>
      </c>
      <c r="AV305" s="82" t="str">
        <v>0,204,0</v>
      </c>
      <c r="AW305" s="947">
        <v>81.885446807640747</v>
      </c>
      <c r="AX305" s="947">
        <v>81.885446807640747</v>
      </c>
      <c r="AY305" s="947">
        <v>0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0"/>
      <c r="V306" s="971"/>
      <c r="W306" s="199"/>
      <c r="X306" s="199"/>
      <c r="AA306" s="82"/>
      <c r="AB306" s="75"/>
      <c r="AC306" s="75"/>
      <c r="AD306" s="166"/>
      <c r="AE306" s="75">
        <v>3.133</v>
      </c>
      <c r="AF306" s="82">
        <v>3</v>
      </c>
      <c r="AG306" s="82">
        <v>1</v>
      </c>
      <c r="AH306" s="82">
        <v>2</v>
      </c>
      <c r="AI306" s="82">
        <v>1.0000000000218279</v>
      </c>
      <c r="AJ306" s="166">
        <v>3.1332100000000001</v>
      </c>
      <c r="AK306" s="82">
        <v>3.1331099999999998</v>
      </c>
      <c r="AL306" s="162">
        <v>0</v>
      </c>
      <c r="AM306" s="162">
        <v>0</v>
      </c>
      <c r="AN306" s="162">
        <v>0</v>
      </c>
      <c r="AO306" s="162">
        <v>0</v>
      </c>
      <c r="AP306" s="162">
        <v>0</v>
      </c>
      <c r="AQ306" s="162">
        <v>0</v>
      </c>
      <c r="AR306" s="710" t="str">
        <v>1613.par</v>
      </c>
      <c r="AV306" s="82" t="str">
        <v>0,204,0</v>
      </c>
      <c r="AW306" s="947">
        <v>63.345987496311885</v>
      </c>
      <c r="AX306" s="947">
        <v>63.345987496311885</v>
      </c>
      <c r="AY306" s="947">
        <v>0</v>
      </c>
    </row>
    <row r="307" spans="2:51" x14ac:dyDescent="0.25">
      <c r="L307"/>
      <c r="Q307" s="139"/>
      <c r="R307" s="970"/>
      <c r="V307" s="971"/>
      <c r="W307" s="199"/>
      <c r="X307" s="199"/>
      <c r="AA307" s="82"/>
      <c r="AB307" s="75"/>
      <c r="AC307" s="75"/>
      <c r="AD307" s="166"/>
      <c r="AE307" s="75">
        <v>3.1269999999999998</v>
      </c>
      <c r="AF307" s="82">
        <v>3</v>
      </c>
      <c r="AG307" s="82">
        <v>1</v>
      </c>
      <c r="AH307" s="82">
        <v>2</v>
      </c>
      <c r="AI307" s="82">
        <v>0.99999999998544808</v>
      </c>
      <c r="AJ307" s="166">
        <v>3.1272099999999998</v>
      </c>
      <c r="AK307" s="82">
        <v>3.1271099999999996</v>
      </c>
      <c r="AL307" s="162">
        <v>0</v>
      </c>
      <c r="AM307" s="162">
        <v>0</v>
      </c>
      <c r="AN307" s="162">
        <v>0</v>
      </c>
      <c r="AO307" s="162">
        <v>0</v>
      </c>
      <c r="AP307" s="162">
        <v>0</v>
      </c>
      <c r="AQ307" s="162">
        <v>0</v>
      </c>
      <c r="AR307" s="710" t="str">
        <v>1613.par</v>
      </c>
      <c r="AV307" s="82" t="str">
        <v>0,204,0</v>
      </c>
      <c r="AW307" s="947">
        <v>44.722719194276351</v>
      </c>
      <c r="AX307" s="947">
        <v>44.722719194276351</v>
      </c>
      <c r="AY307" s="947">
        <v>0</v>
      </c>
    </row>
    <row r="308" spans="2:51" x14ac:dyDescent="0.25">
      <c r="L308"/>
      <c r="Q308" s="139"/>
      <c r="R308" s="970"/>
      <c r="V308" s="971"/>
      <c r="W308" s="199"/>
      <c r="X308" s="199"/>
      <c r="AA308" s="82"/>
      <c r="AB308" s="75"/>
      <c r="AC308" s="75"/>
      <c r="AD308" s="166"/>
      <c r="AE308" s="75">
        <v>3.121</v>
      </c>
      <c r="AF308" s="82">
        <v>3</v>
      </c>
      <c r="AG308" s="82">
        <v>1</v>
      </c>
      <c r="AH308" s="82">
        <v>2</v>
      </c>
      <c r="AI308" s="82">
        <v>1.0000000000218279</v>
      </c>
      <c r="AJ308" s="166">
        <v>3.12121</v>
      </c>
      <c r="AK308" s="82">
        <v>3.1211099999999998</v>
      </c>
      <c r="AL308" s="162">
        <v>0</v>
      </c>
      <c r="AM308" s="162">
        <v>0</v>
      </c>
      <c r="AN308" s="162">
        <v>0</v>
      </c>
      <c r="AO308" s="162">
        <v>0</v>
      </c>
      <c r="AP308" s="162">
        <v>0</v>
      </c>
      <c r="AQ308" s="162">
        <v>0</v>
      </c>
      <c r="AR308" s="710" t="str">
        <v>1613 Ripper.par</v>
      </c>
      <c r="AV308" s="82" t="str">
        <v>0,204,0</v>
      </c>
      <c r="AW308" s="947">
        <v>25.946275176386688</v>
      </c>
      <c r="AX308" s="947">
        <v>25.946275176386688</v>
      </c>
      <c r="AY308" s="947">
        <v>0</v>
      </c>
    </row>
    <row r="309" spans="2:51" x14ac:dyDescent="0.25">
      <c r="L309"/>
      <c r="Q309" s="139"/>
      <c r="R309" s="970"/>
      <c r="V309" s="971"/>
      <c r="W309" s="199"/>
      <c r="X309" s="199"/>
      <c r="AA309" s="82"/>
      <c r="AB309" s="75"/>
      <c r="AC309" s="75"/>
      <c r="AD309" s="166"/>
      <c r="AE309" s="75">
        <v>3.1150000000000002</v>
      </c>
      <c r="AF309" s="82">
        <v>3</v>
      </c>
      <c r="AG309" s="82">
        <v>1</v>
      </c>
      <c r="AH309" s="82">
        <v>2</v>
      </c>
      <c r="AI309" s="82">
        <v>1.0000000000218279</v>
      </c>
      <c r="AJ309" s="166">
        <v>3.1152100000000003</v>
      </c>
      <c r="AK309" s="82">
        <v>3.11511</v>
      </c>
      <c r="AL309" s="162">
        <v>0</v>
      </c>
      <c r="AM309" s="162">
        <v>0</v>
      </c>
      <c r="AN309" s="162">
        <v>0</v>
      </c>
      <c r="AO309" s="162">
        <v>0</v>
      </c>
      <c r="AP309" s="162">
        <v>0</v>
      </c>
      <c r="AQ309" s="162">
        <v>0</v>
      </c>
      <c r="AR309" s="710" t="str">
        <v>1613 Ripper.par</v>
      </c>
      <c r="AV309" s="82" t="str">
        <v>0,204,0</v>
      </c>
      <c r="AW309" s="947">
        <v>7.1077563806310833</v>
      </c>
      <c r="AX309" s="947">
        <v>7.1077563806310833</v>
      </c>
      <c r="AY309" s="947">
        <v>0</v>
      </c>
    </row>
    <row r="310" spans="2:51" x14ac:dyDescent="0.25">
      <c r="L310"/>
      <c r="Q310" s="139"/>
      <c r="R310" s="970"/>
      <c r="V310" s="971"/>
      <c r="W310" s="199"/>
      <c r="X310" s="199"/>
      <c r="AA310" s="82"/>
      <c r="AB310" s="75"/>
      <c r="AC310" s="75"/>
      <c r="AD310" s="166"/>
      <c r="AE310" s="75">
        <v>3.109</v>
      </c>
      <c r="AF310" s="82">
        <v>3</v>
      </c>
      <c r="AG310" s="82">
        <v>1</v>
      </c>
      <c r="AH310" s="82">
        <v>2</v>
      </c>
      <c r="AI310" s="82">
        <v>0.99999999998544808</v>
      </c>
      <c r="AJ310" s="166">
        <v>3.10921</v>
      </c>
      <c r="AK310" s="82">
        <v>3.1091099999999998</v>
      </c>
      <c r="AL310" s="162">
        <v>0</v>
      </c>
      <c r="AM310" s="162">
        <v>0</v>
      </c>
      <c r="AN310" s="162">
        <v>0</v>
      </c>
      <c r="AO310" s="162">
        <v>0</v>
      </c>
      <c r="AP310" s="162">
        <v>0</v>
      </c>
      <c r="AQ310" s="162">
        <v>0</v>
      </c>
      <c r="AR310" s="710" t="str">
        <v>1613 Ripper.par</v>
      </c>
      <c r="AV310" s="82" t="str">
        <v>0,204,0</v>
      </c>
      <c r="AW310" s="947">
        <v>-11.754573914654843</v>
      </c>
      <c r="AX310" s="947">
        <v>-11.754573914654843</v>
      </c>
      <c r="AY310" s="947">
        <v>0</v>
      </c>
    </row>
    <row r="311" spans="2:51" x14ac:dyDescent="0.25">
      <c r="L311"/>
      <c r="Q311" s="139"/>
      <c r="R311" s="970"/>
      <c r="V311" s="971"/>
      <c r="W311" s="199"/>
      <c r="X311" s="199"/>
      <c r="AA311" s="82"/>
      <c r="AB311" s="75"/>
      <c r="AC311" s="75"/>
      <c r="AD311" s="166"/>
      <c r="AE311" s="75">
        <v>3.1059999999999999</v>
      </c>
      <c r="AF311" s="82">
        <v>3</v>
      </c>
      <c r="AG311" s="82">
        <v>1</v>
      </c>
      <c r="AH311" s="82">
        <v>2</v>
      </c>
      <c r="AI311" s="82">
        <v>0.99999999998544808</v>
      </c>
      <c r="AJ311" s="166">
        <v>3.1062099999999999</v>
      </c>
      <c r="AK311" s="82">
        <v>3.1061099999999997</v>
      </c>
      <c r="AL311" s="162">
        <v>0</v>
      </c>
      <c r="AM311" s="162">
        <v>0</v>
      </c>
      <c r="AN311" s="162">
        <v>0</v>
      </c>
      <c r="AO311" s="162">
        <v>0</v>
      </c>
      <c r="AP311" s="162">
        <v>0</v>
      </c>
      <c r="AQ311" s="162">
        <v>0</v>
      </c>
      <c r="AR311" s="710" t="str">
        <v>1613 Ripper.par</v>
      </c>
      <c r="AV311" s="82" t="str">
        <v>0,204,0</v>
      </c>
      <c r="AW311" s="947">
        <v>-12.508515021959289</v>
      </c>
      <c r="AX311" s="947">
        <v>-12.508515021959289</v>
      </c>
      <c r="AY311" s="947">
        <v>0</v>
      </c>
    </row>
    <row r="312" spans="2:51" x14ac:dyDescent="0.25">
      <c r="L312"/>
      <c r="Q312" s="139"/>
      <c r="R312" s="970"/>
      <c r="V312" s="971"/>
      <c r="W312" s="199"/>
      <c r="X312" s="199"/>
      <c r="AA312" s="82"/>
      <c r="AB312" s="75"/>
      <c r="AC312" s="75"/>
      <c r="AD312" s="166"/>
      <c r="AE312" s="75">
        <v>3.1030000000000002</v>
      </c>
      <c r="AF312" s="82">
        <v>3</v>
      </c>
      <c r="AG312" s="82">
        <v>1</v>
      </c>
      <c r="AH312" s="82">
        <v>2</v>
      </c>
      <c r="AI312" s="82">
        <v>1.0000000000218279</v>
      </c>
      <c r="AJ312" s="166">
        <v>3.1032100000000002</v>
      </c>
      <c r="AK312" s="82">
        <v>3.10311</v>
      </c>
      <c r="AL312" s="162">
        <v>0</v>
      </c>
      <c r="AM312" s="162">
        <v>0</v>
      </c>
      <c r="AN312" s="162">
        <v>0</v>
      </c>
      <c r="AO312" s="162">
        <v>0</v>
      </c>
      <c r="AP312" s="162">
        <v>0</v>
      </c>
      <c r="AQ312" s="162">
        <v>0</v>
      </c>
      <c r="AR312" s="710" t="str">
        <v>1613.par</v>
      </c>
      <c r="AV312" s="82" t="str">
        <v>0,204,0</v>
      </c>
      <c r="AW312" s="947">
        <v>-14.302653650703496</v>
      </c>
      <c r="AX312" s="947">
        <v>-14.302653650703496</v>
      </c>
      <c r="AY312" s="947">
        <v>0</v>
      </c>
    </row>
    <row r="313" spans="2:51" x14ac:dyDescent="0.25">
      <c r="L313"/>
      <c r="Q313" s="139"/>
      <c r="R313" s="970"/>
      <c r="V313" s="971"/>
      <c r="W313" s="199"/>
      <c r="X313" s="199"/>
      <c r="AA313" s="82"/>
      <c r="AB313" s="75"/>
      <c r="AC313" s="75"/>
      <c r="AD313" s="166"/>
      <c r="AE313" s="75">
        <v>2.2519999999999998</v>
      </c>
      <c r="AF313" s="82">
        <v>2</v>
      </c>
      <c r="AG313" s="82">
        <v>2</v>
      </c>
      <c r="AH313" s="82">
        <v>2</v>
      </c>
      <c r="AI313" s="82">
        <v>0.99999999998544808</v>
      </c>
      <c r="AJ313" s="166">
        <v>2.2522099999999998</v>
      </c>
      <c r="AK313" s="82">
        <v>2.2521099999999996</v>
      </c>
      <c r="AL313" s="162">
        <v>0</v>
      </c>
      <c r="AM313" s="162">
        <v>0</v>
      </c>
      <c r="AN313" s="162">
        <v>0</v>
      </c>
      <c r="AO313" s="162">
        <v>0</v>
      </c>
      <c r="AP313" s="162">
        <v>0</v>
      </c>
      <c r="AQ313" s="162">
        <v>0</v>
      </c>
      <c r="AR313" s="710" t="str">
        <v>1313.par</v>
      </c>
      <c r="AV313" s="82" t="str">
        <v>255,255,91</v>
      </c>
      <c r="AW313" s="947">
        <v>100.03561890671624</v>
      </c>
      <c r="AX313" s="947">
        <v>100.03561890671624</v>
      </c>
      <c r="AY313" s="947">
        <v>0</v>
      </c>
    </row>
    <row r="314" spans="2:51" x14ac:dyDescent="0.25">
      <c r="L314"/>
      <c r="Q314" s="139"/>
      <c r="R314" s="970"/>
      <c r="V314" s="971"/>
      <c r="W314" s="199"/>
      <c r="X314" s="199"/>
      <c r="AA314" s="82"/>
      <c r="AB314" s="75"/>
      <c r="AC314" s="75"/>
      <c r="AD314" s="166"/>
      <c r="AE314" s="75">
        <v>2.246</v>
      </c>
      <c r="AF314" s="82">
        <v>2</v>
      </c>
      <c r="AG314" s="82">
        <v>2</v>
      </c>
      <c r="AH314" s="82">
        <v>2</v>
      </c>
      <c r="AI314" s="82">
        <v>1.0000000000218279</v>
      </c>
      <c r="AJ314" s="166">
        <v>2.24621</v>
      </c>
      <c r="AK314" s="82">
        <v>2.2461099999999998</v>
      </c>
      <c r="AL314" s="162">
        <v>0</v>
      </c>
      <c r="AM314" s="162">
        <v>0</v>
      </c>
      <c r="AN314" s="162">
        <v>0</v>
      </c>
      <c r="AO314" s="162">
        <v>0</v>
      </c>
      <c r="AP314" s="162">
        <v>0</v>
      </c>
      <c r="AQ314" s="162">
        <v>0</v>
      </c>
      <c r="AR314" s="710" t="str">
        <v>32193r1.par</v>
      </c>
      <c r="AV314" s="82" t="str">
        <v>255,255,91</v>
      </c>
      <c r="AW314" s="947">
        <v>89.999987005609626</v>
      </c>
      <c r="AX314" s="947">
        <v>89.999987005609626</v>
      </c>
      <c r="AY314" s="947">
        <v>0</v>
      </c>
    </row>
    <row r="315" spans="2:51" x14ac:dyDescent="0.25">
      <c r="L315"/>
      <c r="Q315" s="139"/>
      <c r="R315" s="970"/>
      <c r="V315" s="971"/>
      <c r="W315" s="199"/>
      <c r="X315" s="199"/>
      <c r="AA315" s="82"/>
      <c r="AB315" s="75"/>
      <c r="AC315" s="75"/>
      <c r="AD315" s="166"/>
      <c r="AE315" s="75">
        <v>2.2400000000000002</v>
      </c>
      <c r="AF315" s="82">
        <v>2</v>
      </c>
      <c r="AG315" s="82">
        <v>2</v>
      </c>
      <c r="AH315" s="82">
        <v>2</v>
      </c>
      <c r="AI315" s="82">
        <v>1.0000000000218279</v>
      </c>
      <c r="AJ315" s="166">
        <v>2.2402100000000003</v>
      </c>
      <c r="AK315" s="82">
        <v>2.24011</v>
      </c>
      <c r="AL315" s="162">
        <v>0</v>
      </c>
      <c r="AM315" s="162">
        <v>0</v>
      </c>
      <c r="AN315" s="162">
        <v>0</v>
      </c>
      <c r="AO315" s="162">
        <v>0</v>
      </c>
      <c r="AP315" s="162">
        <v>0</v>
      </c>
      <c r="AQ315" s="162">
        <v>0</v>
      </c>
      <c r="AR315" s="710" t="str">
        <v>32193r1.par</v>
      </c>
      <c r="AV315" s="82" t="str">
        <v>255,255,91</v>
      </c>
      <c r="AW315" s="947">
        <v>89.999987005609611</v>
      </c>
      <c r="AX315" s="947">
        <v>89.999987005609611</v>
      </c>
      <c r="AY315" s="947">
        <v>0</v>
      </c>
    </row>
    <row r="316" spans="2:51" x14ac:dyDescent="0.25">
      <c r="L316"/>
      <c r="Q316" s="139"/>
      <c r="R316" s="970"/>
      <c r="V316" s="971"/>
      <c r="W316" s="199"/>
      <c r="X316" s="199"/>
      <c r="AA316" s="82"/>
      <c r="AB316" s="75"/>
      <c r="AC316" s="75"/>
      <c r="AD316" s="166"/>
      <c r="AE316" s="75">
        <v>2.234</v>
      </c>
      <c r="AF316" s="82">
        <v>2</v>
      </c>
      <c r="AG316" s="82">
        <v>2</v>
      </c>
      <c r="AH316" s="82">
        <v>2</v>
      </c>
      <c r="AI316" s="82">
        <v>0.99999999998544808</v>
      </c>
      <c r="AJ316" s="166">
        <v>2.23421</v>
      </c>
      <c r="AK316" s="82">
        <v>2.2341099999999998</v>
      </c>
      <c r="AL316" s="162">
        <v>0</v>
      </c>
      <c r="AM316" s="162">
        <v>0</v>
      </c>
      <c r="AN316" s="162">
        <v>0</v>
      </c>
      <c r="AO316" s="162">
        <v>0</v>
      </c>
      <c r="AP316" s="162">
        <v>0</v>
      </c>
      <c r="AQ316" s="162">
        <v>0</v>
      </c>
      <c r="AR316" s="710" t="str">
        <v>32193r1.par</v>
      </c>
      <c r="AV316" s="82" t="str">
        <v>255,255,91</v>
      </c>
      <c r="AW316" s="947">
        <v>68.999990037634035</v>
      </c>
      <c r="AX316" s="947">
        <v>68.999990037634035</v>
      </c>
      <c r="AY316" s="947">
        <v>0</v>
      </c>
    </row>
    <row r="317" spans="2:51" x14ac:dyDescent="0.25">
      <c r="L317"/>
      <c r="Q317" s="139"/>
      <c r="R317" s="970"/>
      <c r="V317" s="971"/>
      <c r="W317" s="199"/>
      <c r="X317" s="199"/>
      <c r="AA317" s="82"/>
      <c r="AB317" s="75"/>
      <c r="AC317" s="75"/>
      <c r="AD317" s="166"/>
      <c r="AE317" s="75">
        <v>2.2280000000000002</v>
      </c>
      <c r="AF317" s="82">
        <v>2</v>
      </c>
      <c r="AG317" s="82">
        <v>2</v>
      </c>
      <c r="AH317" s="82">
        <v>2</v>
      </c>
      <c r="AI317" s="82">
        <v>1.0000000000218279</v>
      </c>
      <c r="AJ317" s="166">
        <v>2.2282100000000002</v>
      </c>
      <c r="AK317" s="82">
        <v>2.22811</v>
      </c>
      <c r="AL317" s="162">
        <v>0</v>
      </c>
      <c r="AM317" s="162">
        <v>0</v>
      </c>
      <c r="AN317" s="162">
        <v>0</v>
      </c>
      <c r="AO317" s="162">
        <v>0</v>
      </c>
      <c r="AP317" s="162">
        <v>0</v>
      </c>
      <c r="AQ317" s="162">
        <v>0</v>
      </c>
      <c r="AR317" s="710" t="str">
        <v>32193r1.par</v>
      </c>
      <c r="AV317" s="82" t="str">
        <v>255,255,91</v>
      </c>
      <c r="AW317" s="947">
        <v>47.999993069658451</v>
      </c>
      <c r="AX317" s="947">
        <v>47.999993069658451</v>
      </c>
      <c r="AY317" s="947">
        <v>0</v>
      </c>
    </row>
    <row r="318" spans="2:51" x14ac:dyDescent="0.25">
      <c r="L318"/>
      <c r="Q318" s="139"/>
      <c r="R318" s="970"/>
      <c r="V318" s="971"/>
      <c r="W318" s="199"/>
      <c r="X318" s="199"/>
      <c r="AA318" s="82"/>
      <c r="AB318" s="75"/>
      <c r="AC318" s="75"/>
      <c r="AD318" s="166"/>
      <c r="AE318" s="75">
        <v>2.222</v>
      </c>
      <c r="AF318" s="82">
        <v>2</v>
      </c>
      <c r="AG318" s="82">
        <v>2</v>
      </c>
      <c r="AH318" s="82">
        <v>2</v>
      </c>
      <c r="AI318" s="82">
        <v>0.99999999998544808</v>
      </c>
      <c r="AJ318" s="166">
        <v>2.22221</v>
      </c>
      <c r="AK318" s="82">
        <v>2.2221099999999998</v>
      </c>
      <c r="AL318" s="162">
        <v>0</v>
      </c>
      <c r="AM318" s="162">
        <v>0</v>
      </c>
      <c r="AN318" s="162">
        <v>0</v>
      </c>
      <c r="AO318" s="162">
        <v>0</v>
      </c>
      <c r="AP318" s="162">
        <v>0</v>
      </c>
      <c r="AQ318" s="162">
        <v>0</v>
      </c>
      <c r="AR318" s="710" t="str">
        <v>32193r1.par</v>
      </c>
      <c r="AV318" s="82" t="str">
        <v>255,255,91</v>
      </c>
      <c r="AW318" s="947">
        <v>26.999996101682878</v>
      </c>
      <c r="AX318" s="947">
        <v>26.999996101682878</v>
      </c>
      <c r="AY318" s="947">
        <v>0</v>
      </c>
    </row>
    <row r="319" spans="2:51" x14ac:dyDescent="0.25">
      <c r="L319"/>
      <c r="Q319" s="139"/>
      <c r="R319" s="970"/>
      <c r="V319" s="971"/>
      <c r="W319" s="199"/>
      <c r="X319" s="199"/>
      <c r="AA319" s="82"/>
      <c r="AB319" s="75"/>
      <c r="AC319" s="75"/>
      <c r="AD319" s="166"/>
      <c r="AE319" s="75">
        <v>2.2160000000000002</v>
      </c>
      <c r="AF319" s="82">
        <v>2</v>
      </c>
      <c r="AG319" s="82">
        <v>2</v>
      </c>
      <c r="AH319" s="82">
        <v>2</v>
      </c>
      <c r="AI319" s="82">
        <v>1.0000000000218279</v>
      </c>
      <c r="AJ319" s="166">
        <v>2.2162100000000002</v>
      </c>
      <c r="AK319" s="82">
        <v>2.21611</v>
      </c>
      <c r="AL319" s="162">
        <v>0</v>
      </c>
      <c r="AM319" s="162">
        <v>0</v>
      </c>
      <c r="AN319" s="162">
        <v>0</v>
      </c>
      <c r="AO319" s="162">
        <v>0</v>
      </c>
      <c r="AP319" s="162">
        <v>0</v>
      </c>
      <c r="AQ319" s="162">
        <v>0</v>
      </c>
      <c r="AR319" s="710" t="str">
        <v>32193r1.par</v>
      </c>
      <c r="AV319" s="82" t="str">
        <v>255,255,91</v>
      </c>
      <c r="AW319" s="947">
        <v>5.9999991337073082</v>
      </c>
      <c r="AX319" s="947">
        <v>5.9999991337073082</v>
      </c>
      <c r="AY319" s="947">
        <v>0</v>
      </c>
    </row>
    <row r="320" spans="2:51" x14ac:dyDescent="0.25">
      <c r="L320"/>
      <c r="Q320" s="139"/>
      <c r="R320" s="970"/>
      <c r="V320" s="971"/>
      <c r="W320" s="199"/>
      <c r="X320" s="199"/>
      <c r="AA320" s="82"/>
      <c r="AB320" s="75"/>
      <c r="AC320" s="75"/>
      <c r="AD320" s="166"/>
      <c r="AE320" s="75">
        <v>2.1459999999999999</v>
      </c>
      <c r="AF320" s="82">
        <v>2</v>
      </c>
      <c r="AG320" s="82">
        <v>1</v>
      </c>
      <c r="AH320" s="82">
        <v>2</v>
      </c>
      <c r="AI320" s="82">
        <v>0.99999999998544808</v>
      </c>
      <c r="AJ320" s="166">
        <v>2.14621</v>
      </c>
      <c r="AK320" s="82">
        <v>2.1461099999999997</v>
      </c>
      <c r="AL320" s="162">
        <v>0</v>
      </c>
      <c r="AM320" s="162">
        <v>0</v>
      </c>
      <c r="AN320" s="162">
        <v>0</v>
      </c>
      <c r="AO320" s="162">
        <v>0</v>
      </c>
      <c r="AP320" s="162">
        <v>0</v>
      </c>
      <c r="AQ320" s="162">
        <v>0</v>
      </c>
      <c r="AR320" s="710" t="str">
        <v>1613.par</v>
      </c>
      <c r="AV320" s="82" t="str">
        <v>204,204,0</v>
      </c>
      <c r="AW320" s="947">
        <v>84.97011741683842</v>
      </c>
      <c r="AX320" s="947">
        <v>84.97011741683842</v>
      </c>
      <c r="AY320" s="947">
        <v>0</v>
      </c>
    </row>
    <row r="321" spans="12:51" x14ac:dyDescent="0.25">
      <c r="L321"/>
      <c r="Q321" s="139"/>
      <c r="R321" s="970"/>
      <c r="V321" s="971"/>
      <c r="W321" s="199"/>
      <c r="X321" s="199"/>
      <c r="AA321" s="82"/>
      <c r="AB321" s="75"/>
      <c r="AC321" s="75"/>
      <c r="AD321" s="166"/>
      <c r="AE321" s="75">
        <v>2.14</v>
      </c>
      <c r="AF321" s="82">
        <v>2</v>
      </c>
      <c r="AG321" s="82">
        <v>1</v>
      </c>
      <c r="AH321" s="82">
        <v>2</v>
      </c>
      <c r="AI321" s="82">
        <v>1.0000000000218279</v>
      </c>
      <c r="AJ321" s="166">
        <v>2.1402100000000002</v>
      </c>
      <c r="AK321" s="82">
        <v>2.14011</v>
      </c>
      <c r="AL321" s="162">
        <v>0</v>
      </c>
      <c r="AM321" s="162">
        <v>0</v>
      </c>
      <c r="AN321" s="162">
        <v>0</v>
      </c>
      <c r="AO321" s="162">
        <v>0</v>
      </c>
      <c r="AP321" s="162">
        <v>0</v>
      </c>
      <c r="AQ321" s="162">
        <v>0</v>
      </c>
      <c r="AR321" s="710" t="str">
        <v>1613.par</v>
      </c>
      <c r="AV321" s="82" t="str">
        <v>204,204,0</v>
      </c>
      <c r="AW321" s="947">
        <v>84.969949372155938</v>
      </c>
      <c r="AX321" s="947">
        <v>84.969949372155938</v>
      </c>
      <c r="AY321" s="947">
        <v>0</v>
      </c>
    </row>
    <row r="322" spans="12:51" x14ac:dyDescent="0.25">
      <c r="L322"/>
      <c r="Q322" s="139"/>
      <c r="R322" s="970"/>
      <c r="V322" s="971"/>
      <c r="W322" s="199"/>
      <c r="X322" s="199"/>
      <c r="AA322" s="82"/>
      <c r="AB322" s="75"/>
      <c r="AC322" s="75"/>
      <c r="AD322" s="166"/>
      <c r="AE322" s="75">
        <v>2.1339999999999999</v>
      </c>
      <c r="AF322" s="82">
        <v>2</v>
      </c>
      <c r="AG322" s="82">
        <v>1</v>
      </c>
      <c r="AH322" s="82">
        <v>2</v>
      </c>
      <c r="AI322" s="82">
        <v>0.99999999998544808</v>
      </c>
      <c r="AJ322" s="166">
        <v>2.1342099999999999</v>
      </c>
      <c r="AK322" s="82">
        <v>2.1341099999999997</v>
      </c>
      <c r="AL322" s="162">
        <v>0</v>
      </c>
      <c r="AM322" s="162">
        <v>0</v>
      </c>
      <c r="AN322" s="162">
        <v>0</v>
      </c>
      <c r="AO322" s="162">
        <v>0</v>
      </c>
      <c r="AP322" s="162">
        <v>0</v>
      </c>
      <c r="AQ322" s="162">
        <v>0</v>
      </c>
      <c r="AR322" s="710" t="str">
        <v>1613.par</v>
      </c>
      <c r="AV322" s="82" t="str">
        <v>204,204,0</v>
      </c>
      <c r="AW322" s="947">
        <v>66.440489504246187</v>
      </c>
      <c r="AX322" s="947">
        <v>66.440489504246187</v>
      </c>
      <c r="AY322" s="947">
        <v>0</v>
      </c>
    </row>
    <row r="323" spans="12:51" x14ac:dyDescent="0.25">
      <c r="L323"/>
      <c r="Q323" s="139"/>
      <c r="R323" s="970"/>
      <c r="V323" s="971"/>
      <c r="W323" s="199"/>
      <c r="X323" s="199"/>
      <c r="AA323" s="82"/>
      <c r="AB323" s="75"/>
      <c r="AC323" s="75"/>
      <c r="AD323" s="166"/>
      <c r="AE323" s="75">
        <v>2.1280000000000001</v>
      </c>
      <c r="AF323" s="82">
        <v>2</v>
      </c>
      <c r="AG323" s="82">
        <v>1</v>
      </c>
      <c r="AH323" s="82">
        <v>2</v>
      </c>
      <c r="AI323" s="82">
        <v>1.0000000000218279</v>
      </c>
      <c r="AJ323" s="166">
        <v>2.1282100000000002</v>
      </c>
      <c r="AK323" s="82">
        <v>2.1281099999999999</v>
      </c>
      <c r="AL323" s="162">
        <v>0</v>
      </c>
      <c r="AM323" s="162">
        <v>0</v>
      </c>
      <c r="AN323" s="162">
        <v>0</v>
      </c>
      <c r="AO323" s="162">
        <v>0</v>
      </c>
      <c r="AP323" s="162">
        <v>0</v>
      </c>
      <c r="AQ323" s="162">
        <v>0</v>
      </c>
      <c r="AR323" s="710" t="str">
        <v>1613.par</v>
      </c>
      <c r="AV323" s="82" t="str">
        <v>204,204,0</v>
      </c>
      <c r="AW323" s="947">
        <v>47.834713669325687</v>
      </c>
      <c r="AX323" s="947">
        <v>47.834713669325687</v>
      </c>
      <c r="AY323" s="947">
        <v>0</v>
      </c>
    </row>
    <row r="324" spans="12:51" x14ac:dyDescent="0.25">
      <c r="L324"/>
      <c r="Q324" s="139"/>
      <c r="R324" s="970"/>
      <c r="V324" s="971"/>
      <c r="W324" s="199"/>
      <c r="X324" s="199"/>
      <c r="AA324" s="82"/>
      <c r="AB324" s="75"/>
      <c r="AC324" s="75"/>
      <c r="AD324" s="166"/>
      <c r="AE324" s="75">
        <v>2.1219999999999999</v>
      </c>
      <c r="AF324" s="82">
        <v>2</v>
      </c>
      <c r="AG324" s="82">
        <v>1</v>
      </c>
      <c r="AH324" s="82">
        <v>2</v>
      </c>
      <c r="AI324" s="82">
        <v>0.99999999998544808</v>
      </c>
      <c r="AJ324" s="166">
        <v>2.1222099999999999</v>
      </c>
      <c r="AK324" s="82">
        <v>2.1221099999999997</v>
      </c>
      <c r="AL324" s="162">
        <v>0</v>
      </c>
      <c r="AM324" s="162">
        <v>0</v>
      </c>
      <c r="AN324" s="162">
        <v>0</v>
      </c>
      <c r="AO324" s="162">
        <v>0</v>
      </c>
      <c r="AP324" s="162">
        <v>0</v>
      </c>
      <c r="AQ324" s="162">
        <v>0</v>
      </c>
      <c r="AR324" s="710" t="str">
        <v>1613.par</v>
      </c>
      <c r="AV324" s="82" t="str">
        <v>204,204,0</v>
      </c>
      <c r="AW324" s="947">
        <v>29.091158349317926</v>
      </c>
      <c r="AX324" s="947">
        <v>29.091158349317926</v>
      </c>
      <c r="AY324" s="947">
        <v>0</v>
      </c>
    </row>
    <row r="325" spans="12:51" x14ac:dyDescent="0.25">
      <c r="L325"/>
      <c r="Q325" s="139"/>
      <c r="R325" s="970"/>
      <c r="V325" s="971"/>
      <c r="W325" s="199"/>
      <c r="X325" s="199"/>
      <c r="AA325" s="82"/>
      <c r="AB325" s="75"/>
      <c r="AC325" s="75"/>
      <c r="AD325" s="166"/>
      <c r="AE325" s="75">
        <v>2.1160000000000001</v>
      </c>
      <c r="AF325" s="82">
        <v>2</v>
      </c>
      <c r="AG325" s="82">
        <v>1</v>
      </c>
      <c r="AH325" s="82">
        <v>2</v>
      </c>
      <c r="AI325" s="82">
        <v>1.0000000000218279</v>
      </c>
      <c r="AJ325" s="166">
        <v>2.1162100000000001</v>
      </c>
      <c r="AK325" s="82">
        <v>2.1161099999999999</v>
      </c>
      <c r="AL325" s="162">
        <v>0</v>
      </c>
      <c r="AM325" s="162">
        <v>0</v>
      </c>
      <c r="AN325" s="162">
        <v>0</v>
      </c>
      <c r="AO325" s="162">
        <v>0</v>
      </c>
      <c r="AP325" s="162">
        <v>0</v>
      </c>
      <c r="AQ325" s="162">
        <v>0</v>
      </c>
      <c r="AR325" s="710" t="str">
        <v>1613 Ripper.par</v>
      </c>
      <c r="AV325" s="82" t="str">
        <v>204,204,0</v>
      </c>
      <c r="AW325" s="947">
        <v>10.242376499105918</v>
      </c>
      <c r="AX325" s="947">
        <v>10.242376499105918</v>
      </c>
      <c r="AY325" s="947">
        <v>0</v>
      </c>
    </row>
    <row r="326" spans="12:51" x14ac:dyDescent="0.25">
      <c r="L326"/>
      <c r="Q326" s="139"/>
      <c r="R326" s="970"/>
      <c r="V326" s="971"/>
      <c r="W326" s="199"/>
      <c r="X326" s="199"/>
      <c r="AA326" s="82"/>
      <c r="AB326" s="75"/>
      <c r="AC326" s="75"/>
      <c r="AD326" s="166"/>
      <c r="AE326" s="75">
        <v>2.11</v>
      </c>
      <c r="AF326" s="82">
        <v>2</v>
      </c>
      <c r="AG326" s="82">
        <v>1</v>
      </c>
      <c r="AH326" s="82">
        <v>2</v>
      </c>
      <c r="AI326" s="82">
        <v>0.99999999998544808</v>
      </c>
      <c r="AJ326" s="166">
        <v>2.1102099999999999</v>
      </c>
      <c r="AK326" s="82">
        <v>2.1101099999999997</v>
      </c>
      <c r="AL326" s="162">
        <v>0</v>
      </c>
      <c r="AM326" s="162">
        <v>0</v>
      </c>
      <c r="AN326" s="162">
        <v>0</v>
      </c>
      <c r="AO326" s="162">
        <v>0</v>
      </c>
      <c r="AP326" s="162">
        <v>0</v>
      </c>
      <c r="AQ326" s="162">
        <v>0</v>
      </c>
      <c r="AR326" s="710" t="str">
        <v>1613 Ripper.par</v>
      </c>
      <c r="AV326" s="82" t="str">
        <v>204,204,0</v>
      </c>
      <c r="AW326" s="947">
        <v>-8.604830320611164</v>
      </c>
      <c r="AX326" s="947">
        <v>-8.604830320611164</v>
      </c>
      <c r="AY326" s="947">
        <v>0</v>
      </c>
    </row>
    <row r="327" spans="12:51" x14ac:dyDescent="0.25">
      <c r="L327"/>
      <c r="Q327" s="139"/>
      <c r="R327" s="970"/>
      <c r="V327" s="971"/>
      <c r="W327" s="199"/>
      <c r="X327" s="199"/>
      <c r="AA327" s="82"/>
      <c r="AB327" s="75"/>
      <c r="AC327" s="75"/>
      <c r="AD327" s="166"/>
      <c r="AE327" s="75">
        <v>1.2529999999999999</v>
      </c>
      <c r="AF327" s="82">
        <v>1</v>
      </c>
      <c r="AG327" s="82">
        <v>2</v>
      </c>
      <c r="AH327" s="82">
        <v>2</v>
      </c>
      <c r="AI327" s="82">
        <v>0.99999999998544808</v>
      </c>
      <c r="AJ327" s="166">
        <v>1.2532099999999999</v>
      </c>
      <c r="AK327" s="82">
        <v>1.2531099999999999</v>
      </c>
      <c r="AL327" s="162">
        <v>0</v>
      </c>
      <c r="AM327" s="162">
        <v>0</v>
      </c>
      <c r="AN327" s="162">
        <v>0</v>
      </c>
      <c r="AO327" s="162">
        <v>0</v>
      </c>
      <c r="AP327" s="162">
        <v>0</v>
      </c>
      <c r="AQ327" s="162">
        <v>0</v>
      </c>
      <c r="AR327" s="710" t="str">
        <v>1313.par</v>
      </c>
      <c r="AV327" s="82" t="str">
        <v>255,188,121</v>
      </c>
      <c r="AW327" s="947">
        <v>100.03561890671624</v>
      </c>
      <c r="AX327" s="947">
        <v>100.03561890671624</v>
      </c>
      <c r="AY327" s="947">
        <v>0</v>
      </c>
    </row>
    <row r="328" spans="12:51" x14ac:dyDescent="0.25">
      <c r="L328"/>
      <c r="Q328" s="139"/>
      <c r="R328" s="970"/>
      <c r="V328" s="971"/>
      <c r="W328" s="199"/>
      <c r="X328" s="199"/>
      <c r="AA328" s="82"/>
      <c r="AB328" s="75"/>
      <c r="AC328" s="75"/>
      <c r="AD328" s="166"/>
      <c r="AE328" s="75">
        <v>1.2470000000000001</v>
      </c>
      <c r="AF328" s="82">
        <v>1</v>
      </c>
      <c r="AG328" s="82">
        <v>2</v>
      </c>
      <c r="AH328" s="82">
        <v>2</v>
      </c>
      <c r="AI328" s="82">
        <v>1.0000000000218279</v>
      </c>
      <c r="AJ328" s="166">
        <v>1.2472100000000002</v>
      </c>
      <c r="AK328" s="82">
        <v>1.2471100000000002</v>
      </c>
      <c r="AL328" s="162">
        <v>0</v>
      </c>
      <c r="AM328" s="162">
        <v>0</v>
      </c>
      <c r="AN328" s="162">
        <v>0</v>
      </c>
      <c r="AO328" s="162">
        <v>0</v>
      </c>
      <c r="AP328" s="162">
        <v>0</v>
      </c>
      <c r="AQ328" s="162">
        <v>0</v>
      </c>
      <c r="AR328" s="710" t="str">
        <v>32193r1.par</v>
      </c>
      <c r="AV328" s="82" t="str">
        <v>255,188,121</v>
      </c>
      <c r="AW328" s="947">
        <v>89.999987005609597</v>
      </c>
      <c r="AX328" s="947">
        <v>89.999987005609597</v>
      </c>
      <c r="AY328" s="947">
        <v>0</v>
      </c>
    </row>
    <row r="329" spans="12:51" x14ac:dyDescent="0.25">
      <c r="L329"/>
      <c r="AA329" s="82"/>
      <c r="AB329" s="75"/>
      <c r="AC329" s="75"/>
      <c r="AD329" s="166"/>
      <c r="AE329" s="75">
        <v>1.2410000000000001</v>
      </c>
      <c r="AF329" s="82">
        <v>1</v>
      </c>
      <c r="AG329" s="82">
        <v>2</v>
      </c>
      <c r="AH329" s="82">
        <v>2</v>
      </c>
      <c r="AI329" s="82">
        <v>1.0000000000218279</v>
      </c>
      <c r="AJ329" s="166">
        <v>1.2412100000000001</v>
      </c>
      <c r="AK329" s="82">
        <v>1.2411100000000002</v>
      </c>
      <c r="AL329" s="162">
        <v>0</v>
      </c>
      <c r="AM329" s="162">
        <v>0</v>
      </c>
      <c r="AN329" s="162">
        <v>0</v>
      </c>
      <c r="AO329" s="162">
        <v>0</v>
      </c>
      <c r="AP329" s="162">
        <v>0</v>
      </c>
      <c r="AQ329" s="162">
        <v>0</v>
      </c>
      <c r="AR329" s="710" t="str">
        <v>32193r1.par</v>
      </c>
      <c r="AV329" s="82" t="str">
        <v>255,188,121</v>
      </c>
      <c r="AW329" s="947">
        <v>89.999987005609611</v>
      </c>
      <c r="AX329" s="947">
        <v>89.999987005609611</v>
      </c>
      <c r="AY329" s="947">
        <v>0</v>
      </c>
    </row>
    <row r="330" spans="12:51" x14ac:dyDescent="0.25">
      <c r="L330"/>
      <c r="AA330" s="82"/>
      <c r="AB330" s="75"/>
      <c r="AC330" s="75"/>
      <c r="AD330" s="166"/>
      <c r="AE330" s="75">
        <v>1.2350000000000001</v>
      </c>
      <c r="AF330" s="82">
        <v>1</v>
      </c>
      <c r="AG330" s="82">
        <v>2</v>
      </c>
      <c r="AH330" s="82">
        <v>2</v>
      </c>
      <c r="AI330" s="82">
        <v>1.0000000000218279</v>
      </c>
      <c r="AJ330" s="166">
        <v>1.2352100000000001</v>
      </c>
      <c r="AK330" s="82">
        <v>1.2351100000000002</v>
      </c>
      <c r="AL330" s="162">
        <v>0</v>
      </c>
      <c r="AM330" s="162">
        <v>0</v>
      </c>
      <c r="AN330" s="162">
        <v>0</v>
      </c>
      <c r="AO330" s="162">
        <v>0</v>
      </c>
      <c r="AP330" s="162">
        <v>0</v>
      </c>
      <c r="AQ330" s="162">
        <v>0</v>
      </c>
      <c r="AR330" s="710" t="str">
        <v>1313.par</v>
      </c>
      <c r="AV330" s="82" t="str">
        <v>255,188,121</v>
      </c>
      <c r="AW330" s="947">
        <v>69.566043588691343</v>
      </c>
      <c r="AX330" s="947">
        <v>69.566043588691343</v>
      </c>
      <c r="AY330" s="947">
        <v>0</v>
      </c>
    </row>
    <row r="331" spans="12:51" x14ac:dyDescent="0.25">
      <c r="L331"/>
      <c r="AA331" s="82"/>
      <c r="AB331" s="75"/>
      <c r="AC331" s="75"/>
      <c r="AD331" s="166"/>
      <c r="AE331" s="75">
        <v>1.2290000000000001</v>
      </c>
      <c r="AF331" s="82">
        <v>1</v>
      </c>
      <c r="AG331" s="82">
        <v>2</v>
      </c>
      <c r="AH331" s="82">
        <v>2</v>
      </c>
      <c r="AI331" s="82">
        <v>1.0000000000218279</v>
      </c>
      <c r="AJ331" s="166">
        <v>1.2292100000000001</v>
      </c>
      <c r="AK331" s="82">
        <v>1.2291100000000001</v>
      </c>
      <c r="AL331" s="162">
        <v>0</v>
      </c>
      <c r="AM331" s="162">
        <v>0</v>
      </c>
      <c r="AN331" s="162">
        <v>0</v>
      </c>
      <c r="AO331" s="162">
        <v>0</v>
      </c>
      <c r="AP331" s="162">
        <v>0</v>
      </c>
      <c r="AQ331" s="162">
        <v>0</v>
      </c>
      <c r="AR331" s="710" t="str">
        <v>1313.par</v>
      </c>
      <c r="AV331" s="82" t="str">
        <v>255,188,121</v>
      </c>
      <c r="AW331" s="947">
        <v>51.026324417745535</v>
      </c>
      <c r="AX331" s="947">
        <v>51.026324417745535</v>
      </c>
      <c r="AY331" s="947">
        <v>0</v>
      </c>
    </row>
    <row r="332" spans="12:51" x14ac:dyDescent="0.25">
      <c r="L332"/>
      <c r="AA332" s="82"/>
      <c r="AB332" s="75"/>
      <c r="AC332" s="75"/>
      <c r="AD332" s="166"/>
      <c r="AE332" s="75">
        <v>1.2230000000000001</v>
      </c>
      <c r="AF332" s="82">
        <v>1</v>
      </c>
      <c r="AG332" s="82">
        <v>2</v>
      </c>
      <c r="AH332" s="82">
        <v>2</v>
      </c>
      <c r="AI332" s="82">
        <v>1.0000000000218279</v>
      </c>
      <c r="AJ332" s="166">
        <v>1.2232100000000001</v>
      </c>
      <c r="AK332" s="82">
        <v>1.2231100000000001</v>
      </c>
      <c r="AL332" s="162">
        <v>0</v>
      </c>
      <c r="AM332" s="162">
        <v>0</v>
      </c>
      <c r="AN332" s="162">
        <v>0</v>
      </c>
      <c r="AO332" s="162">
        <v>0</v>
      </c>
      <c r="AP332" s="162">
        <v>0</v>
      </c>
      <c r="AQ332" s="162">
        <v>0</v>
      </c>
      <c r="AR332" s="710" t="str">
        <v>1313.par</v>
      </c>
      <c r="AV332" s="82" t="str">
        <v>255,188,121</v>
      </c>
      <c r="AW332" s="947">
        <v>32.403257224374144</v>
      </c>
      <c r="AX332" s="947">
        <v>32.403257224374144</v>
      </c>
      <c r="AY332" s="947">
        <v>0</v>
      </c>
    </row>
    <row r="333" spans="12:51" x14ac:dyDescent="0.25">
      <c r="L333"/>
      <c r="AA333" s="82"/>
      <c r="AB333" s="75"/>
      <c r="AC333" s="75"/>
      <c r="AD333" s="166"/>
      <c r="AE333" s="75">
        <v>1.2170000000000001</v>
      </c>
      <c r="AF333" s="82">
        <v>1</v>
      </c>
      <c r="AG333" s="82">
        <v>2</v>
      </c>
      <c r="AH333" s="82">
        <v>2</v>
      </c>
      <c r="AI333" s="82">
        <v>1.000000000003638</v>
      </c>
      <c r="AJ333" s="166">
        <v>1.2172100000000001</v>
      </c>
      <c r="AK333" s="82">
        <v>1.2171100000000001</v>
      </c>
      <c r="AL333" s="162">
        <v>0</v>
      </c>
      <c r="AM333" s="162">
        <v>0</v>
      </c>
      <c r="AN333" s="162">
        <v>0</v>
      </c>
      <c r="AO333" s="162">
        <v>0</v>
      </c>
      <c r="AP333" s="162">
        <v>0</v>
      </c>
      <c r="AQ333" s="162">
        <v>0</v>
      </c>
      <c r="AR333" s="710" t="str">
        <v>32193r1.par</v>
      </c>
      <c r="AV333" s="82" t="str">
        <v>255,188,121</v>
      </c>
      <c r="AW333" s="947">
        <v>5.9999991337073153</v>
      </c>
      <c r="AX333" s="947">
        <v>5.9999991337073153</v>
      </c>
      <c r="AY333" s="947">
        <v>0</v>
      </c>
    </row>
    <row r="334" spans="12:51" x14ac:dyDescent="0.25">
      <c r="L334"/>
      <c r="AA334" s="82"/>
      <c r="AB334" s="75"/>
      <c r="AC334" s="75"/>
      <c r="AD334" s="166"/>
      <c r="AE334" s="75">
        <v>1.147</v>
      </c>
      <c r="AF334" s="82">
        <v>1</v>
      </c>
      <c r="AG334" s="82">
        <v>1</v>
      </c>
      <c r="AH334" s="82">
        <v>2</v>
      </c>
      <c r="AI334" s="82">
        <v>1.000000000003638</v>
      </c>
      <c r="AJ334" s="166">
        <v>1.1472100000000001</v>
      </c>
      <c r="AK334" s="82">
        <v>1.1471100000000001</v>
      </c>
      <c r="AL334" s="162">
        <v>0</v>
      </c>
      <c r="AM334" s="162">
        <v>0</v>
      </c>
      <c r="AN334" s="162">
        <v>0</v>
      </c>
      <c r="AO334" s="162">
        <v>0</v>
      </c>
      <c r="AP334" s="162">
        <v>0</v>
      </c>
      <c r="AQ334" s="162">
        <v>0</v>
      </c>
      <c r="AR334" s="710" t="str">
        <v>1613.par</v>
      </c>
      <c r="AV334" s="82" t="str">
        <v>255,127,0</v>
      </c>
      <c r="AW334" s="947">
        <v>84.970117416838434</v>
      </c>
      <c r="AX334" s="947">
        <v>84.970117416838434</v>
      </c>
      <c r="AY334" s="947">
        <v>0</v>
      </c>
    </row>
    <row r="335" spans="12:51" x14ac:dyDescent="0.25">
      <c r="L335"/>
      <c r="AA335" s="82"/>
      <c r="AB335" s="75"/>
      <c r="AC335" s="75"/>
      <c r="AD335" s="166"/>
      <c r="AE335" s="75">
        <v>1.141</v>
      </c>
      <c r="AF335" s="82">
        <v>1</v>
      </c>
      <c r="AG335" s="82">
        <v>1</v>
      </c>
      <c r="AH335" s="82">
        <v>2</v>
      </c>
      <c r="AI335" s="82">
        <v>1.000000000003638</v>
      </c>
      <c r="AJ335" s="166">
        <v>1.1412100000000001</v>
      </c>
      <c r="AK335" s="82">
        <v>1.1411100000000001</v>
      </c>
      <c r="AL335" s="162">
        <v>0</v>
      </c>
      <c r="AM335" s="162">
        <v>0</v>
      </c>
      <c r="AN335" s="162">
        <v>0</v>
      </c>
      <c r="AO335" s="162">
        <v>0</v>
      </c>
      <c r="AP335" s="162">
        <v>0</v>
      </c>
      <c r="AQ335" s="162">
        <v>0</v>
      </c>
      <c r="AR335" s="710" t="str">
        <v>1613.par</v>
      </c>
      <c r="AV335" s="82" t="str">
        <v>255,127,0</v>
      </c>
      <c r="AW335" s="947">
        <v>84.96994937215598</v>
      </c>
      <c r="AX335" s="947">
        <v>84.96994937215598</v>
      </c>
      <c r="AY335" s="947">
        <v>0</v>
      </c>
    </row>
    <row r="336" spans="12:51" x14ac:dyDescent="0.25">
      <c r="L336"/>
      <c r="AA336" s="82"/>
      <c r="AB336" s="75"/>
      <c r="AC336" s="75"/>
      <c r="AD336" s="166"/>
      <c r="AE336" s="75">
        <v>1.135</v>
      </c>
      <c r="AF336" s="82">
        <v>1</v>
      </c>
      <c r="AG336" s="82">
        <v>1</v>
      </c>
      <c r="AH336" s="82">
        <v>2</v>
      </c>
      <c r="AI336" s="82">
        <v>1.000000000003638</v>
      </c>
      <c r="AJ336" s="166">
        <v>1.1352100000000001</v>
      </c>
      <c r="AK336" s="82">
        <v>1.1351100000000001</v>
      </c>
      <c r="AL336" s="162">
        <v>0</v>
      </c>
      <c r="AM336" s="162">
        <v>0</v>
      </c>
      <c r="AN336" s="162">
        <v>0</v>
      </c>
      <c r="AO336" s="162">
        <v>0</v>
      </c>
      <c r="AP336" s="162">
        <v>0</v>
      </c>
      <c r="AQ336" s="162">
        <v>0</v>
      </c>
      <c r="AR336" s="710" t="str">
        <v>1613.par</v>
      </c>
      <c r="AV336" s="82" t="str">
        <v>255,127,0</v>
      </c>
      <c r="AW336" s="947">
        <v>69.53293472939626</v>
      </c>
      <c r="AX336" s="947">
        <v>69.53293472939626</v>
      </c>
      <c r="AY336" s="947">
        <v>0</v>
      </c>
    </row>
    <row r="337" spans="12:51" x14ac:dyDescent="0.25">
      <c r="L337"/>
      <c r="AA337" s="82"/>
      <c r="AB337" s="75"/>
      <c r="AC337" s="75"/>
      <c r="AD337" s="166"/>
      <c r="AE337" s="75">
        <v>1.129</v>
      </c>
      <c r="AF337" s="82">
        <v>1</v>
      </c>
      <c r="AG337" s="82">
        <v>1</v>
      </c>
      <c r="AH337" s="82">
        <v>2</v>
      </c>
      <c r="AI337" s="82">
        <v>1.000000000003638</v>
      </c>
      <c r="AJ337" s="166">
        <v>1.12921</v>
      </c>
      <c r="AK337" s="82">
        <v>1.1291100000000001</v>
      </c>
      <c r="AL337" s="162">
        <v>0</v>
      </c>
      <c r="AM337" s="162">
        <v>0</v>
      </c>
      <c r="AN337" s="162">
        <v>0</v>
      </c>
      <c r="AO337" s="162">
        <v>0</v>
      </c>
      <c r="AP337" s="162">
        <v>0</v>
      </c>
      <c r="AQ337" s="162">
        <v>0</v>
      </c>
      <c r="AR337" s="710" t="str">
        <v>1613.par</v>
      </c>
      <c r="AV337" s="82" t="str">
        <v>255,127,0</v>
      </c>
      <c r="AW337" s="947">
        <v>50.943025181030578</v>
      </c>
      <c r="AX337" s="947">
        <v>50.943025181030578</v>
      </c>
      <c r="AY337" s="947">
        <v>0</v>
      </c>
    </row>
    <row r="338" spans="12:51" x14ac:dyDescent="0.25">
      <c r="L338"/>
      <c r="AA338" s="82"/>
      <c r="AB338" s="75"/>
      <c r="AC338" s="75"/>
      <c r="AD338" s="166"/>
      <c r="AE338" s="75">
        <v>1.123</v>
      </c>
      <c r="AF338" s="82">
        <v>1</v>
      </c>
      <c r="AG338" s="82">
        <v>1</v>
      </c>
      <c r="AH338" s="82">
        <v>2</v>
      </c>
      <c r="AI338" s="82">
        <v>1.000000000003638</v>
      </c>
      <c r="AJ338" s="166">
        <v>1.12321</v>
      </c>
      <c r="AK338" s="82">
        <v>1.1231100000000001</v>
      </c>
      <c r="AL338" s="162">
        <v>0</v>
      </c>
      <c r="AM338" s="162">
        <v>0</v>
      </c>
      <c r="AN338" s="162">
        <v>0</v>
      </c>
      <c r="AO338" s="162">
        <v>0</v>
      </c>
      <c r="AP338" s="162">
        <v>0</v>
      </c>
      <c r="AQ338" s="162">
        <v>0</v>
      </c>
      <c r="AR338" s="710" t="str">
        <v>1613.par</v>
      </c>
      <c r="AV338" s="82" t="str">
        <v>255,127,0</v>
      </c>
      <c r="AW338" s="947">
        <v>32.228901208944677</v>
      </c>
      <c r="AX338" s="947">
        <v>32.228901208944677</v>
      </c>
      <c r="AY338" s="947">
        <v>0</v>
      </c>
    </row>
    <row r="339" spans="12:51" x14ac:dyDescent="0.25">
      <c r="L339"/>
      <c r="AA339" s="82"/>
      <c r="AB339" s="75"/>
      <c r="AC339" s="75"/>
      <c r="AD339" s="166"/>
      <c r="AE339" s="75">
        <v>1.117</v>
      </c>
      <c r="AF339" s="82">
        <v>1</v>
      </c>
      <c r="AG339" s="82">
        <v>1</v>
      </c>
      <c r="AH339" s="82">
        <v>2</v>
      </c>
      <c r="AI339" s="82">
        <v>1.000000000003638</v>
      </c>
      <c r="AJ339" s="166">
        <v>1.11721</v>
      </c>
      <c r="AK339" s="82">
        <v>1.11711</v>
      </c>
      <c r="AL339" s="162">
        <v>0</v>
      </c>
      <c r="AM339" s="162">
        <v>0</v>
      </c>
      <c r="AN339" s="162">
        <v>0</v>
      </c>
      <c r="AO339" s="162">
        <v>0</v>
      </c>
      <c r="AP339" s="162">
        <v>0</v>
      </c>
      <c r="AQ339" s="162">
        <v>0</v>
      </c>
      <c r="AR339" s="710" t="str">
        <v>1613 Ripper.par</v>
      </c>
      <c r="AV339" s="82" t="str">
        <v>255,127,0</v>
      </c>
      <c r="AW339" s="947">
        <v>13.374429842880255</v>
      </c>
      <c r="AX339" s="947">
        <v>13.374429842880255</v>
      </c>
      <c r="AY339" s="947">
        <v>0</v>
      </c>
    </row>
    <row r="340" spans="12:51" x14ac:dyDescent="0.25">
      <c r="L340"/>
      <c r="AA340" s="82"/>
      <c r="AB340" s="75"/>
      <c r="AC340" s="75"/>
      <c r="AD340" s="166"/>
      <c r="AE340" s="75">
        <v>1.111</v>
      </c>
      <c r="AF340" s="82">
        <v>1</v>
      </c>
      <c r="AG340" s="82">
        <v>1</v>
      </c>
      <c r="AH340" s="82">
        <v>2</v>
      </c>
      <c r="AI340" s="82">
        <v>1.000000000003638</v>
      </c>
      <c r="AJ340" s="166">
        <v>1.11121</v>
      </c>
      <c r="AK340" s="82">
        <v>1.11111</v>
      </c>
      <c r="AL340" s="162">
        <v>0</v>
      </c>
      <c r="AM340" s="162">
        <v>0</v>
      </c>
      <c r="AN340" s="162">
        <v>0</v>
      </c>
      <c r="AO340" s="162">
        <v>0</v>
      </c>
      <c r="AP340" s="162">
        <v>0</v>
      </c>
      <c r="AQ340" s="162">
        <v>0</v>
      </c>
      <c r="AR340" s="710" t="str">
        <v>1613 Ripper.par</v>
      </c>
      <c r="AV340" s="82" t="str">
        <v>255,127,0</v>
      </c>
      <c r="AW340" s="947">
        <v>-5.4571267998021593</v>
      </c>
      <c r="AX340" s="947">
        <v>-5.4571267998021593</v>
      </c>
      <c r="AY340" s="947">
        <v>0</v>
      </c>
    </row>
    <row r="341" spans="12:51" x14ac:dyDescent="0.25">
      <c r="L341"/>
      <c r="AA341" s="82"/>
      <c r="AB341" s="75"/>
      <c r="AC341" s="75"/>
      <c r="AD341" s="166"/>
      <c r="AE341" s="75">
        <v>1.107</v>
      </c>
      <c r="AF341" s="82">
        <v>1</v>
      </c>
      <c r="AG341" s="82">
        <v>1</v>
      </c>
      <c r="AH341" s="82">
        <v>2</v>
      </c>
      <c r="AI341" s="82">
        <v>1.000000000003638</v>
      </c>
      <c r="AJ341" s="166">
        <v>1.10721</v>
      </c>
      <c r="AK341" s="82">
        <v>1.10711</v>
      </c>
      <c r="AL341" s="162">
        <v>0</v>
      </c>
      <c r="AM341" s="162">
        <v>0</v>
      </c>
      <c r="AN341" s="162">
        <v>0</v>
      </c>
      <c r="AO341" s="162">
        <v>0</v>
      </c>
      <c r="AP341" s="162">
        <v>0</v>
      </c>
      <c r="AQ341" s="162">
        <v>0</v>
      </c>
      <c r="AR341" s="710" t="str">
        <v>1613 Ripper.par</v>
      </c>
      <c r="AV341" s="82" t="str">
        <v>255,127,0</v>
      </c>
      <c r="AW341" s="947">
        <v>-12.188363844259069</v>
      </c>
      <c r="AX341" s="947">
        <v>-12.188363844259069</v>
      </c>
      <c r="AY341" s="947">
        <v>0</v>
      </c>
    </row>
    <row r="342" spans="12:51" x14ac:dyDescent="0.25">
      <c r="L342"/>
      <c r="AA342" s="82"/>
      <c r="AB342" s="75"/>
      <c r="AC342" s="75"/>
      <c r="AD342" s="166"/>
      <c r="AE342" s="75">
        <v>1.1040000000000001</v>
      </c>
      <c r="AF342" s="82">
        <v>1</v>
      </c>
      <c r="AG342" s="82">
        <v>1</v>
      </c>
      <c r="AH342" s="82">
        <v>2</v>
      </c>
      <c r="AI342" s="82">
        <v>1.0000000000218279</v>
      </c>
      <c r="AJ342" s="166">
        <v>1.1042100000000001</v>
      </c>
      <c r="AK342" s="82">
        <v>1.1041100000000001</v>
      </c>
      <c r="AL342" s="162">
        <v>0</v>
      </c>
      <c r="AM342" s="162">
        <v>0</v>
      </c>
      <c r="AN342" s="162">
        <v>0</v>
      </c>
      <c r="AO342" s="162">
        <v>0</v>
      </c>
      <c r="AP342" s="162">
        <v>0</v>
      </c>
      <c r="AQ342" s="162">
        <v>0</v>
      </c>
      <c r="AR342" s="710" t="str">
        <v>1613 Ripper.par</v>
      </c>
      <c r="AV342" s="82" t="str">
        <v>255,127,0</v>
      </c>
      <c r="AW342" s="947">
        <v>-13.592723484172373</v>
      </c>
      <c r="AX342" s="947">
        <v>-13.592723484172373</v>
      </c>
      <c r="AY342" s="947">
        <v>0</v>
      </c>
    </row>
    <row r="343" spans="12:51" x14ac:dyDescent="0.25">
      <c r="L343"/>
      <c r="AA343" s="82"/>
      <c r="AB343" s="75"/>
      <c r="AC343" s="75"/>
      <c r="AD343" s="166"/>
      <c r="AE343" s="75">
        <v>1.101</v>
      </c>
      <c r="AF343" s="82">
        <v>1</v>
      </c>
      <c r="AG343" s="82">
        <v>1</v>
      </c>
      <c r="AH343" s="82">
        <v>2</v>
      </c>
      <c r="AI343" s="82">
        <v>1.000000000003638</v>
      </c>
      <c r="AJ343" s="166">
        <v>1.10121</v>
      </c>
      <c r="AK343" s="82">
        <v>1.10111</v>
      </c>
      <c r="AL343" s="162">
        <v>0</v>
      </c>
      <c r="AM343" s="162">
        <v>0</v>
      </c>
      <c r="AN343" s="162">
        <v>0</v>
      </c>
      <c r="AO343" s="162">
        <v>0</v>
      </c>
      <c r="AP343" s="162">
        <v>0</v>
      </c>
      <c r="AQ343" s="162">
        <v>0</v>
      </c>
      <c r="AR343" s="710" t="str">
        <v>1613.par</v>
      </c>
      <c r="AV343" s="82" t="str">
        <v>255,127,0</v>
      </c>
      <c r="AW343" s="947">
        <v>-18.141294048916745</v>
      </c>
      <c r="AX343" s="947">
        <v>-18.141294048916745</v>
      </c>
      <c r="AY343" s="947">
        <v>0</v>
      </c>
    </row>
    <row r="344" spans="12:51" x14ac:dyDescent="0.25">
      <c r="L344"/>
      <c r="AA344" s="82"/>
      <c r="AB344" s="75"/>
      <c r="AC344" s="75"/>
      <c r="AD344" s="166"/>
      <c r="AE344" s="75">
        <v>6.2539999999999996</v>
      </c>
      <c r="AF344" s="82">
        <v>6</v>
      </c>
      <c r="AG344" s="82">
        <v>2</v>
      </c>
      <c r="AH344" s="82">
        <v>1</v>
      </c>
      <c r="AI344" s="82">
        <v>1.9999999999708962</v>
      </c>
      <c r="AJ344" s="166">
        <v>6.2541199999999995</v>
      </c>
      <c r="AK344" s="82" t="str">
        <v>Base</v>
      </c>
      <c r="AL344" s="162">
        <v>-17.25</v>
      </c>
      <c r="AM344" s="162">
        <v>-5.1223779559634774</v>
      </c>
      <c r="AN344" s="162">
        <v>-9.4775027158551772</v>
      </c>
      <c r="AO344" s="162">
        <v>100.03561890671624</v>
      </c>
      <c r="AP344" s="162">
        <v>-39.831236627249652</v>
      </c>
      <c r="AQ344" s="162">
        <v>0</v>
      </c>
      <c r="AR344" s="710" t="str">
        <v>1313.par</v>
      </c>
      <c r="AV344" s="82" t="str">
        <v>188,121,255</v>
      </c>
      <c r="AW344" s="947">
        <v>100.03561890671624</v>
      </c>
      <c r="AX344" s="947">
        <v>100.03561890671624</v>
      </c>
      <c r="AY344" s="947">
        <v>0</v>
      </c>
    </row>
    <row r="345" spans="12:51" x14ac:dyDescent="0.25">
      <c r="L345"/>
      <c r="AA345" s="82"/>
      <c r="AB345" s="75"/>
      <c r="AC345" s="75"/>
      <c r="AD345" s="166"/>
      <c r="AE345" s="75">
        <v>6.2480000000000002</v>
      </c>
      <c r="AF345" s="82">
        <v>6</v>
      </c>
      <c r="AG345" s="82">
        <v>2</v>
      </c>
      <c r="AH345" s="82">
        <v>1</v>
      </c>
      <c r="AI345" s="82">
        <v>2.0000000000436557</v>
      </c>
      <c r="AJ345" s="166">
        <v>6.2481200000000001</v>
      </c>
      <c r="AK345" s="82" t="str">
        <v>Base</v>
      </c>
      <c r="AL345" s="162">
        <v>-17.25</v>
      </c>
      <c r="AM345" s="162">
        <v>-5.02087479466259</v>
      </c>
      <c r="AN345" s="162">
        <v>-3.2968894986275505</v>
      </c>
      <c r="AO345" s="162">
        <v>89.999987005609597</v>
      </c>
      <c r="AP345" s="162">
        <v>0</v>
      </c>
      <c r="AQ345" s="162">
        <v>0</v>
      </c>
      <c r="AR345" s="710" t="str">
        <v>32193r1.par</v>
      </c>
      <c r="AV345" s="82" t="str">
        <v>188,121,255</v>
      </c>
      <c r="AW345" s="947">
        <v>89.999987005609597</v>
      </c>
      <c r="AX345" s="947">
        <v>89.999987005609597</v>
      </c>
      <c r="AY345" s="947">
        <v>0</v>
      </c>
    </row>
    <row r="346" spans="12:51" x14ac:dyDescent="0.25">
      <c r="L346"/>
      <c r="AA346" s="82"/>
      <c r="AB346" s="75"/>
      <c r="AC346" s="75"/>
      <c r="AD346" s="166"/>
      <c r="AE346" s="75">
        <v>6.242</v>
      </c>
      <c r="AF346" s="82">
        <v>6</v>
      </c>
      <c r="AG346" s="82">
        <v>2</v>
      </c>
      <c r="AH346" s="82">
        <v>1</v>
      </c>
      <c r="AI346" s="82">
        <v>1.9999999999708962</v>
      </c>
      <c r="AJ346" s="166">
        <v>6.2421199999999999</v>
      </c>
      <c r="AK346" s="82" t="str">
        <v>Base</v>
      </c>
      <c r="AL346" s="162">
        <v>-17.25</v>
      </c>
      <c r="AM346" s="162">
        <v>-4.9927899012947687</v>
      </c>
      <c r="AN346" s="162">
        <v>-2.5455030774520115</v>
      </c>
      <c r="AO346" s="162">
        <v>89.999987005609626</v>
      </c>
      <c r="AP346" s="162">
        <v>0</v>
      </c>
      <c r="AQ346" s="162">
        <v>0</v>
      </c>
      <c r="AR346" s="710" t="str">
        <v>32193r1.par</v>
      </c>
      <c r="AV346" s="82" t="str">
        <v>188,121,255</v>
      </c>
      <c r="AW346" s="947">
        <v>89.999987005609626</v>
      </c>
      <c r="AX346" s="947">
        <v>89.999987005609626</v>
      </c>
      <c r="AY346" s="947">
        <v>0</v>
      </c>
    </row>
    <row r="347" spans="12:51" x14ac:dyDescent="0.25">
      <c r="L347"/>
      <c r="AA347" s="82"/>
      <c r="AB347" s="75"/>
      <c r="AC347" s="75"/>
      <c r="AD347" s="166"/>
      <c r="AE347" s="75">
        <v>6.2359999999999998</v>
      </c>
      <c r="AF347" s="82">
        <v>6</v>
      </c>
      <c r="AG347" s="82">
        <v>2</v>
      </c>
      <c r="AH347" s="82">
        <v>1</v>
      </c>
      <c r="AI347" s="82">
        <v>1.9999999999708962</v>
      </c>
      <c r="AJ347" s="166">
        <v>6.2361199999999997</v>
      </c>
      <c r="AK347" s="82" t="str">
        <v>Base</v>
      </c>
      <c r="AL347" s="162">
        <v>-17.25</v>
      </c>
      <c r="AM347" s="162">
        <v>-4.9489444380016616</v>
      </c>
      <c r="AN347" s="162">
        <v>-1.7903852060931913</v>
      </c>
      <c r="AO347" s="162">
        <v>75.999989026959227</v>
      </c>
      <c r="AP347" s="162">
        <v>0</v>
      </c>
      <c r="AQ347" s="162">
        <v>0</v>
      </c>
      <c r="AR347" s="710" t="str">
        <v>32193r1.par</v>
      </c>
      <c r="AV347" s="82" t="str">
        <v>188,121,255</v>
      </c>
      <c r="AW347" s="947">
        <v>75.999989026959227</v>
      </c>
      <c r="AX347" s="947">
        <v>75.999989026959227</v>
      </c>
      <c r="AY347" s="947">
        <v>0</v>
      </c>
    </row>
    <row r="348" spans="12:51" x14ac:dyDescent="0.25">
      <c r="L348"/>
      <c r="AA348" s="82"/>
      <c r="AB348" s="75"/>
      <c r="AC348" s="75"/>
      <c r="AD348" s="166"/>
      <c r="AE348" s="75">
        <v>6.23</v>
      </c>
      <c r="AF348" s="82">
        <v>6</v>
      </c>
      <c r="AG348" s="82">
        <v>2</v>
      </c>
      <c r="AH348" s="82">
        <v>1</v>
      </c>
      <c r="AI348" s="82">
        <v>2.0000000000436557</v>
      </c>
      <c r="AJ348" s="166">
        <v>6.2301200000000003</v>
      </c>
      <c r="AK348" s="82" t="str">
        <v>Base</v>
      </c>
      <c r="AL348" s="162">
        <v>-17.25</v>
      </c>
      <c r="AM348" s="162">
        <v>-4.6587367544457434</v>
      </c>
      <c r="AN348" s="162">
        <v>-1.0900551153501228</v>
      </c>
      <c r="AO348" s="162">
        <v>54.999992058983658</v>
      </c>
      <c r="AP348" s="162">
        <v>0</v>
      </c>
      <c r="AQ348" s="162">
        <v>0</v>
      </c>
      <c r="AR348" s="710" t="str">
        <v>32193r1.par</v>
      </c>
      <c r="AV348" s="82" t="str">
        <v>188,121,255</v>
      </c>
      <c r="AW348" s="947">
        <v>54.999992058983658</v>
      </c>
      <c r="AX348" s="947">
        <v>54.999992058983658</v>
      </c>
      <c r="AY348" s="947">
        <v>0</v>
      </c>
    </row>
    <row r="349" spans="12:51" x14ac:dyDescent="0.25">
      <c r="L349"/>
      <c r="AA349" s="82"/>
      <c r="AB349" s="75"/>
      <c r="AC349" s="75"/>
      <c r="AD349" s="166"/>
      <c r="AE349" s="75">
        <v>6.2240000000000002</v>
      </c>
      <c r="AF349" s="82">
        <v>6</v>
      </c>
      <c r="AG349" s="82">
        <v>2</v>
      </c>
      <c r="AH349" s="82">
        <v>1</v>
      </c>
      <c r="AI349" s="82">
        <v>2.0000000000436557</v>
      </c>
      <c r="AJ349" s="166">
        <v>6.2241200000000001</v>
      </c>
      <c r="AK349" s="82" t="str">
        <v>Base</v>
      </c>
      <c r="AL349" s="162">
        <v>-17.25</v>
      </c>
      <c r="AM349" s="162">
        <v>-4.1347966802298517</v>
      </c>
      <c r="AN349" s="162">
        <v>-0.53953428553508054</v>
      </c>
      <c r="AO349" s="162">
        <v>33.999995091008067</v>
      </c>
      <c r="AP349" s="162">
        <v>0</v>
      </c>
      <c r="AQ349" s="162">
        <v>0</v>
      </c>
      <c r="AR349" s="710" t="str">
        <v>32193r1.par</v>
      </c>
      <c r="AV349" s="82" t="str">
        <v>188,121,255</v>
      </c>
      <c r="AW349" s="947">
        <v>33.999995091008067</v>
      </c>
      <c r="AX349" s="947">
        <v>33.999995091008067</v>
      </c>
      <c r="AY349" s="947">
        <v>0</v>
      </c>
    </row>
    <row r="350" spans="12:51" x14ac:dyDescent="0.25">
      <c r="L350"/>
      <c r="AA350" s="82"/>
      <c r="AB350" s="75"/>
      <c r="AC350" s="75"/>
      <c r="AD350" s="166"/>
      <c r="AE350" s="75">
        <v>6.218</v>
      </c>
      <c r="AF350" s="82">
        <v>6</v>
      </c>
      <c r="AG350" s="82">
        <v>2</v>
      </c>
      <c r="AH350" s="82">
        <v>1</v>
      </c>
      <c r="AI350" s="82">
        <v>1.9999999999708962</v>
      </c>
      <c r="AJ350" s="166">
        <v>6.2181199999999999</v>
      </c>
      <c r="AK350" s="82" t="str">
        <v>Base</v>
      </c>
      <c r="AL350" s="162">
        <v>-17.25</v>
      </c>
      <c r="AM350" s="162">
        <v>-3.4452199378410095</v>
      </c>
      <c r="AN350" s="162">
        <v>-0.21378922074917706</v>
      </c>
      <c r="AO350" s="162">
        <v>12.999998123032499</v>
      </c>
      <c r="AP350" s="162">
        <v>0</v>
      </c>
      <c r="AQ350" s="162">
        <v>0</v>
      </c>
      <c r="AR350" s="710" t="str">
        <v>32193r1.par</v>
      </c>
      <c r="AV350" s="82" t="str">
        <v>188,121,255</v>
      </c>
      <c r="AW350" s="947">
        <v>12.999998123032499</v>
      </c>
      <c r="AX350" s="947">
        <v>12.999998123032499</v>
      </c>
      <c r="AY350" s="947">
        <v>0</v>
      </c>
    </row>
    <row r="351" spans="12:51" x14ac:dyDescent="0.25">
      <c r="L351"/>
      <c r="AA351" s="82"/>
      <c r="AB351" s="75"/>
      <c r="AC351" s="75"/>
      <c r="AD351" s="166"/>
      <c r="AE351" s="75">
        <v>6.1479999999999997</v>
      </c>
      <c r="AF351" s="82">
        <v>6</v>
      </c>
      <c r="AG351" s="82">
        <v>1</v>
      </c>
      <c r="AH351" s="82">
        <v>1</v>
      </c>
      <c r="AI351" s="82">
        <v>1.9999999999708962</v>
      </c>
      <c r="AJ351" s="166">
        <v>6.1481199999999996</v>
      </c>
      <c r="AK351" s="82" t="str">
        <v>Base</v>
      </c>
      <c r="AL351" s="162">
        <v>-16.5</v>
      </c>
      <c r="AM351" s="162">
        <v>-5.0550887932628417</v>
      </c>
      <c r="AN351" s="162">
        <v>-3.2766240860770965</v>
      </c>
      <c r="AO351" s="162">
        <v>84.970117416838406</v>
      </c>
      <c r="AP351" s="162">
        <v>-29.785208788526884</v>
      </c>
      <c r="AQ351" s="162">
        <v>0</v>
      </c>
      <c r="AR351" s="710" t="str">
        <v>1613.par</v>
      </c>
      <c r="AV351" s="82" t="str">
        <v>127,0,255</v>
      </c>
      <c r="AW351" s="947">
        <v>84.970117416838406</v>
      </c>
      <c r="AX351" s="947">
        <v>84.970117416838406</v>
      </c>
      <c r="AY351" s="947">
        <v>0</v>
      </c>
    </row>
    <row r="352" spans="12:51" x14ac:dyDescent="0.25">
      <c r="L352"/>
      <c r="AA352" s="82"/>
      <c r="AB352" s="75"/>
      <c r="AC352" s="75"/>
      <c r="AD352" s="166"/>
      <c r="AE352" s="75">
        <v>6.1420000000000003</v>
      </c>
      <c r="AF352" s="82">
        <v>6</v>
      </c>
      <c r="AG352" s="82">
        <v>1</v>
      </c>
      <c r="AH352" s="82">
        <v>1</v>
      </c>
      <c r="AI352" s="82">
        <v>2.0000000000436557</v>
      </c>
      <c r="AJ352" s="166">
        <v>6.1421200000000002</v>
      </c>
      <c r="AK352" s="82" t="str">
        <v>Base</v>
      </c>
      <c r="AL352" s="162">
        <v>-16.5</v>
      </c>
      <c r="AM352" s="162">
        <v>-5.0270040657372705</v>
      </c>
      <c r="AN352" s="162">
        <v>-2.5251398038465385</v>
      </c>
      <c r="AO352" s="162">
        <v>84.96994937215598</v>
      </c>
      <c r="AP352" s="162">
        <v>-29.78411602484832</v>
      </c>
      <c r="AQ352" s="162">
        <v>0</v>
      </c>
      <c r="AR352" s="710" t="str">
        <v>1613.par</v>
      </c>
      <c r="AV352" s="82" t="str">
        <v>127,0,255</v>
      </c>
      <c r="AW352" s="947">
        <v>84.96994937215598</v>
      </c>
      <c r="AX352" s="947">
        <v>84.96994937215598</v>
      </c>
      <c r="AY352" s="947">
        <v>0</v>
      </c>
    </row>
    <row r="353" spans="12:51" x14ac:dyDescent="0.25">
      <c r="L353"/>
      <c r="AA353" s="82"/>
      <c r="AB353" s="75"/>
      <c r="AC353" s="75"/>
      <c r="AD353" s="166"/>
      <c r="AE353" s="75">
        <v>6.1360000000000001</v>
      </c>
      <c r="AF353" s="82">
        <v>6</v>
      </c>
      <c r="AG353" s="82">
        <v>1</v>
      </c>
      <c r="AH353" s="82">
        <v>1</v>
      </c>
      <c r="AI353" s="82">
        <v>1.9999999999708962</v>
      </c>
      <c r="AJ353" s="166">
        <v>6.13612</v>
      </c>
      <c r="AK353" s="82" t="str">
        <v>Base</v>
      </c>
      <c r="AL353" s="162">
        <v>-16.5</v>
      </c>
      <c r="AM353" s="162">
        <v>-4.9750965181077582</v>
      </c>
      <c r="AN353" s="162">
        <v>-1.7647085328028758</v>
      </c>
      <c r="AO353" s="162">
        <v>72.623499997444313</v>
      </c>
      <c r="AP353" s="162">
        <v>-27.122431911212644</v>
      </c>
      <c r="AQ353" s="162">
        <v>0</v>
      </c>
      <c r="AR353" s="710" t="str">
        <v>1613.par</v>
      </c>
      <c r="AV353" s="82" t="str">
        <v>127,0,255</v>
      </c>
      <c r="AW353" s="947">
        <v>72.623499997444313</v>
      </c>
      <c r="AX353" s="947">
        <v>72.623499997444313</v>
      </c>
      <c r="AY353" s="947">
        <v>0</v>
      </c>
    </row>
    <row r="354" spans="12:51" x14ac:dyDescent="0.25">
      <c r="L354"/>
      <c r="AA354" s="82"/>
      <c r="AB354" s="75"/>
      <c r="AC354" s="75"/>
      <c r="AD354" s="166"/>
      <c r="AE354" s="75">
        <v>6.13</v>
      </c>
      <c r="AF354" s="82">
        <v>6</v>
      </c>
      <c r="AG354" s="82">
        <v>1</v>
      </c>
      <c r="AH354" s="82">
        <v>1</v>
      </c>
      <c r="AI354" s="82">
        <v>1.9999999999708962</v>
      </c>
      <c r="AJ354" s="166">
        <v>6.1301199999999998</v>
      </c>
      <c r="AK354" s="82" t="str">
        <v>Base</v>
      </c>
      <c r="AL354" s="162">
        <v>-16.5</v>
      </c>
      <c r="AM354" s="162">
        <v>-4.6734295163530577</v>
      </c>
      <c r="AN354" s="162">
        <v>-1.0608189594201338</v>
      </c>
      <c r="AO354" s="162">
        <v>54.048010045486649</v>
      </c>
      <c r="AP354" s="162">
        <v>-23.140655756290503</v>
      </c>
      <c r="AQ354" s="162">
        <v>0</v>
      </c>
      <c r="AR354" s="710" t="str">
        <v>1613.par</v>
      </c>
      <c r="AV354" s="82" t="str">
        <v>127,0,255</v>
      </c>
      <c r="AW354" s="947">
        <v>54.048010045486649</v>
      </c>
      <c r="AX354" s="947">
        <v>54.048010045486649</v>
      </c>
      <c r="AY354" s="947">
        <v>0</v>
      </c>
    </row>
    <row r="355" spans="12:51" x14ac:dyDescent="0.25">
      <c r="L355"/>
      <c r="AA355" s="82"/>
      <c r="AB355" s="75"/>
      <c r="AC355" s="75"/>
      <c r="AD355" s="166"/>
      <c r="AE355" s="75">
        <v>6.1239999999999997</v>
      </c>
      <c r="AF355" s="82">
        <v>6</v>
      </c>
      <c r="AG355" s="82">
        <v>1</v>
      </c>
      <c r="AH355" s="82">
        <v>1</v>
      </c>
      <c r="AI355" s="82">
        <v>1.9999999999708962</v>
      </c>
      <c r="AJ355" s="166">
        <v>6.1241199999999996</v>
      </c>
      <c r="AK355" s="82" t="str">
        <v>Base</v>
      </c>
      <c r="AL355" s="162">
        <v>-16.5</v>
      </c>
      <c r="AM355" s="162">
        <v>-4.1407800265276293</v>
      </c>
      <c r="AN355" s="162">
        <v>-0.51014823193188308</v>
      </c>
      <c r="AO355" s="162">
        <v>35.360276952469491</v>
      </c>
      <c r="AP355" s="162">
        <v>-19.176506828006705</v>
      </c>
      <c r="AQ355" s="162">
        <v>0</v>
      </c>
      <c r="AR355" s="710" t="str">
        <v>1613.par</v>
      </c>
      <c r="AV355" s="82" t="str">
        <v>127,0,255</v>
      </c>
      <c r="AW355" s="947">
        <v>35.360276952469491</v>
      </c>
      <c r="AX355" s="947">
        <v>35.360276952469491</v>
      </c>
      <c r="AY355" s="947">
        <v>0</v>
      </c>
    </row>
    <row r="356" spans="12:51" x14ac:dyDescent="0.25">
      <c r="L356"/>
      <c r="AA356" s="82"/>
      <c r="AB356" s="75"/>
      <c r="AC356" s="75"/>
      <c r="AD356" s="166"/>
      <c r="AE356" s="75">
        <v>6.1180000000000003</v>
      </c>
      <c r="AF356" s="82">
        <v>6</v>
      </c>
      <c r="AG356" s="82">
        <v>1</v>
      </c>
      <c r="AH356" s="82">
        <v>1</v>
      </c>
      <c r="AI356" s="82">
        <v>2.0000000000436557</v>
      </c>
      <c r="AJ356" s="166">
        <v>6.1181200000000002</v>
      </c>
      <c r="AK356" s="82" t="str">
        <v>Base</v>
      </c>
      <c r="AL356" s="162">
        <v>-16.5</v>
      </c>
      <c r="AM356" s="162">
        <v>-3.4466194971855479</v>
      </c>
      <c r="AN356" s="162">
        <v>-0.18498111901251746</v>
      </c>
      <c r="AO356" s="162">
        <v>16.504059297615232</v>
      </c>
      <c r="AP356" s="162">
        <v>-15.806279282856705</v>
      </c>
      <c r="AQ356" s="162">
        <v>0</v>
      </c>
      <c r="AR356" s="710" t="str">
        <v>1613 Ripper.par</v>
      </c>
      <c r="AV356" s="82" t="str">
        <v>127,0,255</v>
      </c>
      <c r="AW356" s="947">
        <v>16.504059297615232</v>
      </c>
      <c r="AX356" s="947">
        <v>16.504059297615232</v>
      </c>
      <c r="AY356" s="947">
        <v>0</v>
      </c>
    </row>
    <row r="357" spans="12:51" x14ac:dyDescent="0.25">
      <c r="L357"/>
      <c r="AA357" s="82"/>
      <c r="AB357" s="75"/>
      <c r="AC357" s="75"/>
      <c r="AD357" s="166"/>
      <c r="AE357" s="75">
        <v>6.1120000000000001</v>
      </c>
      <c r="AF357" s="82">
        <v>6</v>
      </c>
      <c r="AG357" s="82">
        <v>1</v>
      </c>
      <c r="AH357" s="82">
        <v>1</v>
      </c>
      <c r="AI357" s="82">
        <v>1.9999999999708962</v>
      </c>
      <c r="AJ357" s="166">
        <v>6.11212</v>
      </c>
      <c r="AK357" s="82" t="str">
        <v>Base</v>
      </c>
      <c r="AL357" s="162">
        <v>-16.5</v>
      </c>
      <c r="AM357" s="162">
        <v>-2.6817598405224108</v>
      </c>
      <c r="AN357" s="162">
        <v>-0.12896156210214813</v>
      </c>
      <c r="AO357" s="162">
        <v>-2.3119637600075813</v>
      </c>
      <c r="AP357" s="162">
        <v>-15.311212110967897</v>
      </c>
      <c r="AQ357" s="162">
        <v>0</v>
      </c>
      <c r="AR357" s="710" t="str">
        <v>1613 Ripper.par</v>
      </c>
      <c r="AV357" s="82" t="str">
        <v>127,0,255</v>
      </c>
      <c r="AW357" s="947">
        <v>-2.3119637600075813</v>
      </c>
      <c r="AX357" s="947">
        <v>-2.3119637600075813</v>
      </c>
      <c r="AY357" s="947">
        <v>0</v>
      </c>
    </row>
    <row r="358" spans="12:51" x14ac:dyDescent="0.25">
      <c r="L358"/>
      <c r="AA358" s="82"/>
      <c r="AB358" s="75"/>
      <c r="AC358" s="75"/>
      <c r="AD358" s="166"/>
      <c r="AE358" s="75">
        <v>5.2549999999999999</v>
      </c>
      <c r="AF358" s="82">
        <v>5</v>
      </c>
      <c r="AG358" s="82">
        <v>2</v>
      </c>
      <c r="AH358" s="82">
        <v>1</v>
      </c>
      <c r="AI358" s="82">
        <v>1.9999999999708962</v>
      </c>
      <c r="AJ358" s="166">
        <v>5.2551199999999998</v>
      </c>
      <c r="AK358" s="82" t="str">
        <v>Base</v>
      </c>
      <c r="AL358" s="162">
        <v>-15.75</v>
      </c>
      <c r="AM358" s="162">
        <v>-5.1223779559634766</v>
      </c>
      <c r="AN358" s="162">
        <v>-9.5608360515948778</v>
      </c>
      <c r="AO358" s="162">
        <v>100.03561890671617</v>
      </c>
      <c r="AP358" s="162">
        <v>-39.831236627249673</v>
      </c>
      <c r="AQ358" s="162">
        <v>0</v>
      </c>
      <c r="AR358" s="710" t="str">
        <v>1313.par</v>
      </c>
      <c r="AV358" s="82" t="str">
        <v>121,188,255</v>
      </c>
      <c r="AW358" s="947">
        <v>100.03561890671617</v>
      </c>
      <c r="AX358" s="947">
        <v>100.03561890671617</v>
      </c>
      <c r="AY358" s="947">
        <v>0</v>
      </c>
    </row>
    <row r="359" spans="12:51" x14ac:dyDescent="0.25">
      <c r="L359"/>
      <c r="AA359" s="82"/>
      <c r="AB359" s="75"/>
      <c r="AC359" s="75"/>
      <c r="AD359" s="166"/>
      <c r="AE359" s="75">
        <v>5.2489999999999997</v>
      </c>
      <c r="AF359" s="82">
        <v>5</v>
      </c>
      <c r="AG359" s="82">
        <v>2</v>
      </c>
      <c r="AH359" s="82">
        <v>1</v>
      </c>
      <c r="AI359" s="82">
        <v>1.9999999999708962</v>
      </c>
      <c r="AJ359" s="166">
        <v>5.2491199999999996</v>
      </c>
      <c r="AK359" s="82" t="str">
        <v>Base</v>
      </c>
      <c r="AL359" s="162">
        <v>-15.75</v>
      </c>
      <c r="AM359" s="162">
        <v>-5.0208747946625891</v>
      </c>
      <c r="AN359" s="162">
        <v>-3.4048900642110422</v>
      </c>
      <c r="AO359" s="162">
        <v>89.999987005609597</v>
      </c>
      <c r="AP359" s="162">
        <v>0</v>
      </c>
      <c r="AQ359" s="162">
        <v>0</v>
      </c>
      <c r="AR359" s="710" t="str">
        <v>32193r1.par</v>
      </c>
      <c r="AV359" s="82" t="str">
        <v>121,188,255</v>
      </c>
      <c r="AW359" s="947">
        <v>89.999987005609597</v>
      </c>
      <c r="AX359" s="947">
        <v>89.999987005609597</v>
      </c>
      <c r="AY359" s="947">
        <v>0</v>
      </c>
    </row>
    <row r="360" spans="12:51" x14ac:dyDescent="0.25">
      <c r="L360"/>
      <c r="AA360" s="82"/>
      <c r="AB360" s="75"/>
      <c r="AC360" s="75"/>
      <c r="AD360" s="166"/>
      <c r="AE360" s="75">
        <v>5.2430000000000003</v>
      </c>
      <c r="AF360" s="82">
        <v>5</v>
      </c>
      <c r="AG360" s="82">
        <v>2</v>
      </c>
      <c r="AH360" s="82">
        <v>1</v>
      </c>
      <c r="AI360" s="82">
        <v>2.0000000000436557</v>
      </c>
      <c r="AJ360" s="166">
        <v>5.2431200000000002</v>
      </c>
      <c r="AK360" s="82" t="str">
        <v>Base</v>
      </c>
      <c r="AL360" s="162">
        <v>-15.75</v>
      </c>
      <c r="AM360" s="162">
        <v>-4.9927899012947661</v>
      </c>
      <c r="AN360" s="162">
        <v>-2.6535036430500529</v>
      </c>
      <c r="AO360" s="162">
        <v>89.999987005609597</v>
      </c>
      <c r="AP360" s="162">
        <v>0</v>
      </c>
      <c r="AQ360" s="162">
        <v>0</v>
      </c>
      <c r="AR360" s="710" t="str">
        <v>32193r1.par</v>
      </c>
      <c r="AV360" s="82" t="str">
        <v>121,188,255</v>
      </c>
      <c r="AW360" s="947">
        <v>89.999987005609597</v>
      </c>
      <c r="AX360" s="947">
        <v>89.999987005609597</v>
      </c>
      <c r="AY360" s="947">
        <v>0</v>
      </c>
    </row>
    <row r="361" spans="12:51" x14ac:dyDescent="0.25">
      <c r="L361"/>
      <c r="AA361" s="82"/>
      <c r="AB361" s="75"/>
      <c r="AC361" s="75"/>
      <c r="AD361" s="166"/>
      <c r="AE361" s="75">
        <v>5.2370000000000001</v>
      </c>
      <c r="AF361" s="82">
        <v>5</v>
      </c>
      <c r="AG361" s="82">
        <v>2</v>
      </c>
      <c r="AH361" s="82">
        <v>1</v>
      </c>
      <c r="AI361" s="82">
        <v>1.9999999999708962</v>
      </c>
      <c r="AJ361" s="166">
        <v>5.23712</v>
      </c>
      <c r="AK361" s="82" t="str">
        <v>Base</v>
      </c>
      <c r="AL361" s="162">
        <v>-15.75</v>
      </c>
      <c r="AM361" s="162">
        <v>-5.023018431596987</v>
      </c>
      <c r="AN361" s="162">
        <v>-1.880560545330447</v>
      </c>
      <c r="AO361" s="162">
        <v>75.733702256223253</v>
      </c>
      <c r="AP361" s="162">
        <v>-32.798058394827343</v>
      </c>
      <c r="AQ361" s="162">
        <v>0</v>
      </c>
      <c r="AR361" s="710" t="str">
        <v>1313.par</v>
      </c>
      <c r="AV361" s="82" t="str">
        <v>121,188,255</v>
      </c>
      <c r="AW361" s="947">
        <v>75.733702256223253</v>
      </c>
      <c r="AX361" s="947">
        <v>75.733702256223253</v>
      </c>
      <c r="AY361" s="947">
        <v>0</v>
      </c>
    </row>
    <row r="362" spans="12:51" x14ac:dyDescent="0.25">
      <c r="L362"/>
      <c r="AD362" s="166"/>
      <c r="AE362" s="75">
        <v>5.2309999999999999</v>
      </c>
      <c r="AF362" s="82">
        <v>5</v>
      </c>
      <c r="AG362" s="82">
        <v>2</v>
      </c>
      <c r="AH362" s="82">
        <v>1</v>
      </c>
      <c r="AI362" s="82">
        <v>1.9999999999708962</v>
      </c>
      <c r="AJ362" s="166">
        <v>5.2311199999999998</v>
      </c>
      <c r="AK362" s="82" t="str">
        <v>Base</v>
      </c>
      <c r="AL362" s="162">
        <v>-15.75</v>
      </c>
      <c r="AM362" s="162">
        <v>-4.7615552860265158</v>
      </c>
      <c r="AN362" s="162">
        <v>-1.1533826037738868</v>
      </c>
      <c r="AO362" s="162">
        <v>57.213428741154814</v>
      </c>
      <c r="AP362" s="162">
        <v>-28.811854872966187</v>
      </c>
      <c r="AQ362" s="162">
        <v>0</v>
      </c>
      <c r="AR362" s="710" t="str">
        <v>1313.par</v>
      </c>
      <c r="AV362" s="82" t="str">
        <v>121,188,255</v>
      </c>
      <c r="AW362" s="947">
        <v>57.213428741154814</v>
      </c>
      <c r="AX362" s="947">
        <v>57.213428741154814</v>
      </c>
      <c r="AY362" s="947">
        <v>0</v>
      </c>
    </row>
    <row r="363" spans="12:51" x14ac:dyDescent="0.25">
      <c r="L363"/>
      <c r="AD363" s="166"/>
      <c r="AE363" s="75">
        <v>5.2249999999999996</v>
      </c>
      <c r="AF363" s="82">
        <v>5</v>
      </c>
      <c r="AG363" s="82">
        <v>2</v>
      </c>
      <c r="AH363" s="82">
        <v>1</v>
      </c>
      <c r="AI363" s="82">
        <v>1.9999999999708962</v>
      </c>
      <c r="AJ363" s="166">
        <v>5.2251199999999995</v>
      </c>
      <c r="AK363" s="82" t="str">
        <v>Base</v>
      </c>
      <c r="AL363" s="162">
        <v>-15.75</v>
      </c>
      <c r="AM363" s="162">
        <v>-4.258030881484971</v>
      </c>
      <c r="AN363" s="162">
        <v>-0.56747963541904689</v>
      </c>
      <c r="AO363" s="162">
        <v>38.623227592362632</v>
      </c>
      <c r="AP363" s="162">
        <v>-24.841583228699903</v>
      </c>
      <c r="AQ363" s="162">
        <v>0</v>
      </c>
      <c r="AR363" s="710" t="str">
        <v>1313.par</v>
      </c>
      <c r="AV363" s="82" t="str">
        <v>121,188,255</v>
      </c>
      <c r="AW363" s="947">
        <v>38.623227592362632</v>
      </c>
      <c r="AX363" s="947">
        <v>38.623227592362632</v>
      </c>
      <c r="AY363" s="947">
        <v>0</v>
      </c>
    </row>
    <row r="364" spans="12:51" x14ac:dyDescent="0.25">
      <c r="L364"/>
      <c r="AD364" s="166"/>
      <c r="AE364" s="75">
        <v>5.2190000000000003</v>
      </c>
      <c r="AF364" s="82">
        <v>5</v>
      </c>
      <c r="AG364" s="82">
        <v>2</v>
      </c>
      <c r="AH364" s="82">
        <v>1</v>
      </c>
      <c r="AI364" s="82">
        <v>2.0000000000436557</v>
      </c>
      <c r="AJ364" s="166">
        <v>5.2191200000000002</v>
      </c>
      <c r="AK364" s="82" t="str">
        <v>Base</v>
      </c>
      <c r="AL364" s="162">
        <v>-15.75</v>
      </c>
      <c r="AM364" s="162">
        <v>-3.5682539723265454</v>
      </c>
      <c r="AN364" s="162">
        <v>-0.23183451922476811</v>
      </c>
      <c r="AO364" s="162">
        <v>12.999998123032507</v>
      </c>
      <c r="AP364" s="162">
        <v>0</v>
      </c>
      <c r="AQ364" s="162">
        <v>0</v>
      </c>
      <c r="AR364" s="710" t="str">
        <v>32193r1.par</v>
      </c>
      <c r="AV364" s="82" t="str">
        <v>121,188,255</v>
      </c>
      <c r="AW364" s="947">
        <v>12.999998123032507</v>
      </c>
      <c r="AX364" s="947">
        <v>12.999998123032507</v>
      </c>
      <c r="AY364" s="947">
        <v>0</v>
      </c>
    </row>
    <row r="365" spans="12:51" x14ac:dyDescent="0.25">
      <c r="L365"/>
      <c r="AD365" s="166"/>
      <c r="AE365" s="75">
        <v>5.149</v>
      </c>
      <c r="AF365" s="82">
        <v>5</v>
      </c>
      <c r="AG365" s="82">
        <v>1</v>
      </c>
      <c r="AH365" s="82">
        <v>1</v>
      </c>
      <c r="AI365" s="82">
        <v>1.9999999999708962</v>
      </c>
      <c r="AJ365" s="166">
        <v>5.1491199999999999</v>
      </c>
      <c r="AK365" s="82" t="str">
        <v>Base</v>
      </c>
      <c r="AL365" s="162">
        <v>-15</v>
      </c>
      <c r="AM365" s="162">
        <v>-5.0550887932628417</v>
      </c>
      <c r="AN365" s="162">
        <v>-3.3846246516678629</v>
      </c>
      <c r="AO365" s="162">
        <v>84.97011741683842</v>
      </c>
      <c r="AP365" s="162">
        <v>-29.785208788526919</v>
      </c>
      <c r="AQ365" s="162">
        <v>0</v>
      </c>
      <c r="AR365" s="710" t="str">
        <v>1613.par</v>
      </c>
      <c r="AV365" s="82" t="str">
        <v>0,102,204</v>
      </c>
      <c r="AW365" s="947">
        <v>84.97011741683842</v>
      </c>
      <c r="AX365" s="947">
        <v>84.97011741683842</v>
      </c>
      <c r="AY365" s="947">
        <v>0</v>
      </c>
    </row>
    <row r="366" spans="12:51" x14ac:dyDescent="0.25">
      <c r="L366"/>
      <c r="AD366" s="166"/>
      <c r="AE366" s="75">
        <v>5.1429999999999998</v>
      </c>
      <c r="AF366" s="82">
        <v>5</v>
      </c>
      <c r="AG366" s="82">
        <v>1</v>
      </c>
      <c r="AH366" s="82">
        <v>1</v>
      </c>
      <c r="AI366" s="82">
        <v>1.9999999999708962</v>
      </c>
      <c r="AJ366" s="166">
        <v>5.1431199999999997</v>
      </c>
      <c r="AK366" s="82" t="str">
        <v>Base</v>
      </c>
      <c r="AL366" s="162">
        <v>-15</v>
      </c>
      <c r="AM366" s="162">
        <v>-5.0270040657372679</v>
      </c>
      <c r="AN366" s="162">
        <v>-2.6331403694300279</v>
      </c>
      <c r="AO366" s="162">
        <v>84.969949372155952</v>
      </c>
      <c r="AP366" s="162">
        <v>-29.784116024848295</v>
      </c>
      <c r="AQ366" s="162">
        <v>0</v>
      </c>
      <c r="AR366" s="710" t="str">
        <v>1613.par</v>
      </c>
      <c r="AV366" s="82" t="str">
        <v>0,102,204</v>
      </c>
      <c r="AW366" s="947">
        <v>84.969949372155952</v>
      </c>
      <c r="AX366" s="947">
        <v>84.969949372155952</v>
      </c>
      <c r="AY366" s="947">
        <v>0</v>
      </c>
    </row>
    <row r="367" spans="12:51" x14ac:dyDescent="0.25">
      <c r="L367"/>
      <c r="AD367" s="166"/>
      <c r="AE367" s="75">
        <v>5.1369999999999996</v>
      </c>
      <c r="AF367" s="82">
        <v>5</v>
      </c>
      <c r="AG367" s="82">
        <v>1</v>
      </c>
      <c r="AH367" s="82">
        <v>1</v>
      </c>
      <c r="AI367" s="82">
        <v>1.9999999999708962</v>
      </c>
      <c r="AJ367" s="166">
        <v>5.1371199999999995</v>
      </c>
      <c r="AK367" s="82" t="str">
        <v>Base</v>
      </c>
      <c r="AL367" s="162">
        <v>-15</v>
      </c>
      <c r="AM367" s="162">
        <v>-4.9996635239022913</v>
      </c>
      <c r="AN367" s="162">
        <v>-1.8731768779639379</v>
      </c>
      <c r="AO367" s="162">
        <v>75.712346529077777</v>
      </c>
      <c r="AP367" s="162">
        <v>-27.787369752383814</v>
      </c>
      <c r="AQ367" s="162">
        <v>0</v>
      </c>
      <c r="AR367" s="710" t="str">
        <v>1613.par</v>
      </c>
      <c r="AV367" s="82" t="str">
        <v>0,102,204</v>
      </c>
      <c r="AW367" s="947">
        <v>75.712346529077777</v>
      </c>
      <c r="AX367" s="947">
        <v>75.712346529077777</v>
      </c>
      <c r="AY367" s="947">
        <v>0</v>
      </c>
    </row>
    <row r="368" spans="12:51" x14ac:dyDescent="0.25">
      <c r="L368"/>
      <c r="AD368" s="166"/>
      <c r="AE368" s="75">
        <v>5.1310000000000002</v>
      </c>
      <c r="AF368" s="82">
        <v>5</v>
      </c>
      <c r="AG368" s="82">
        <v>1</v>
      </c>
      <c r="AH368" s="82">
        <v>1</v>
      </c>
      <c r="AI368" s="82">
        <v>2.0000000000436557</v>
      </c>
      <c r="AJ368" s="166">
        <v>5.1311200000000001</v>
      </c>
      <c r="AK368" s="82" t="str">
        <v>Base</v>
      </c>
      <c r="AL368" s="162">
        <v>-15</v>
      </c>
      <c r="AM368" s="162">
        <v>-4.7412121930234123</v>
      </c>
      <c r="AN368" s="162">
        <v>-1.1523565966916671</v>
      </c>
      <c r="AO368" s="162">
        <v>57.149982620263913</v>
      </c>
      <c r="AP368" s="162">
        <v>-23.803245732477407</v>
      </c>
      <c r="AQ368" s="162">
        <v>0</v>
      </c>
      <c r="AR368" s="710" t="str">
        <v>1613.par</v>
      </c>
      <c r="AV368" s="82" t="str">
        <v>0,102,204</v>
      </c>
      <c r="AW368" s="947">
        <v>57.149982620263913</v>
      </c>
      <c r="AX368" s="947">
        <v>57.149982620263913</v>
      </c>
      <c r="AY368" s="947">
        <v>0</v>
      </c>
    </row>
    <row r="369" spans="12:51" x14ac:dyDescent="0.25">
      <c r="L369"/>
      <c r="AD369" s="166"/>
      <c r="AE369" s="75">
        <v>5.125</v>
      </c>
      <c r="AF369" s="82">
        <v>5</v>
      </c>
      <c r="AG369" s="82">
        <v>1</v>
      </c>
      <c r="AH369" s="82">
        <v>1</v>
      </c>
      <c r="AI369" s="82">
        <v>1.9999999999708962</v>
      </c>
      <c r="AJ369" s="166">
        <v>5.1251199999999999</v>
      </c>
      <c r="AK369" s="82" t="str">
        <v>Base</v>
      </c>
      <c r="AL369" s="162">
        <v>-15</v>
      </c>
      <c r="AM369" s="162">
        <v>-4.242960581402202</v>
      </c>
      <c r="AN369" s="162">
        <v>-0.57036975141970148</v>
      </c>
      <c r="AO369" s="162">
        <v>38.485986851085471</v>
      </c>
      <c r="AP369" s="162">
        <v>-19.835624968950093</v>
      </c>
      <c r="AQ369" s="162">
        <v>0</v>
      </c>
      <c r="AR369" s="710" t="str">
        <v>1613.par</v>
      </c>
      <c r="AV369" s="82" t="str">
        <v>0,102,204</v>
      </c>
      <c r="AW369" s="947">
        <v>38.485986851085471</v>
      </c>
      <c r="AX369" s="947">
        <v>38.485986851085471</v>
      </c>
      <c r="AY369" s="947">
        <v>0</v>
      </c>
    </row>
    <row r="370" spans="12:51" x14ac:dyDescent="0.25">
      <c r="L370"/>
      <c r="AD370" s="166"/>
      <c r="AE370" s="75">
        <v>5.1189999999999998</v>
      </c>
      <c r="AF370" s="82">
        <v>5</v>
      </c>
      <c r="AG370" s="82">
        <v>1</v>
      </c>
      <c r="AH370" s="82">
        <v>1</v>
      </c>
      <c r="AI370" s="82">
        <v>1.9999999999708962</v>
      </c>
      <c r="AJ370" s="166">
        <v>5.1191199999999997</v>
      </c>
      <c r="AK370" s="82" t="str">
        <v>Base</v>
      </c>
      <c r="AL370" s="162">
        <v>-15</v>
      </c>
      <c r="AM370" s="162">
        <v>-3.5699296323723511</v>
      </c>
      <c r="AN370" s="162">
        <v>-0.20369471975932343</v>
      </c>
      <c r="AO370" s="162">
        <v>19.63131247542724</v>
      </c>
      <c r="AP370" s="162">
        <v>-15.893761035069243</v>
      </c>
      <c r="AQ370" s="162">
        <v>0</v>
      </c>
      <c r="AR370" s="710" t="str">
        <v>1613 Ripper.par</v>
      </c>
      <c r="AV370" s="82" t="str">
        <v>0,102,204</v>
      </c>
      <c r="AW370" s="947">
        <v>19.63131247542724</v>
      </c>
      <c r="AX370" s="947">
        <v>19.63131247542724</v>
      </c>
      <c r="AY370" s="947">
        <v>0</v>
      </c>
    </row>
    <row r="371" spans="12:51" x14ac:dyDescent="0.25">
      <c r="L371"/>
      <c r="AD371" s="166"/>
      <c r="AE371" s="75">
        <v>5.1130000000000004</v>
      </c>
      <c r="AF371" s="82">
        <v>5</v>
      </c>
      <c r="AG371" s="82">
        <v>1</v>
      </c>
      <c r="AH371" s="82">
        <v>1</v>
      </c>
      <c r="AI371" s="82">
        <v>2.0000000000436557</v>
      </c>
      <c r="AJ371" s="166">
        <v>5.1131200000000003</v>
      </c>
      <c r="AK371" s="82" t="str">
        <v>Base</v>
      </c>
      <c r="AL371" s="162">
        <v>-15</v>
      </c>
      <c r="AM371" s="162">
        <v>-2.8098738483217405</v>
      </c>
      <c r="AN371" s="162">
        <v>-0.10139664229023246</v>
      </c>
      <c r="AO371" s="162">
        <v>0.8306004126858153</v>
      </c>
      <c r="AP371" s="162">
        <v>-15.389399300523054</v>
      </c>
      <c r="AQ371" s="162">
        <v>0</v>
      </c>
      <c r="AR371" s="710" t="str">
        <v>1613 Ripper.par</v>
      </c>
      <c r="AV371" s="82" t="str">
        <v>0,102,204</v>
      </c>
      <c r="AW371" s="947">
        <v>0.8306004126858153</v>
      </c>
      <c r="AX371" s="947">
        <v>0.8306004126858153</v>
      </c>
      <c r="AY371" s="947">
        <v>0</v>
      </c>
    </row>
    <row r="372" spans="12:51" x14ac:dyDescent="0.25">
      <c r="L372"/>
      <c r="AD372" s="166"/>
      <c r="AE372" s="75">
        <v>5.1079999999999997</v>
      </c>
      <c r="AF372" s="82">
        <v>5</v>
      </c>
      <c r="AG372" s="82">
        <v>1</v>
      </c>
      <c r="AH372" s="82">
        <v>1</v>
      </c>
      <c r="AI372" s="82">
        <v>1.9999999999708962</v>
      </c>
      <c r="AJ372" s="166">
        <v>5.1081199999999995</v>
      </c>
      <c r="AK372" s="82" t="str">
        <v>Base</v>
      </c>
      <c r="AL372" s="162">
        <v>-15</v>
      </c>
      <c r="AM372" s="162">
        <v>-2.0775012168433507</v>
      </c>
      <c r="AN372" s="162">
        <v>-0.24764948460363345</v>
      </c>
      <c r="AO372" s="162">
        <v>-11.945289726695552</v>
      </c>
      <c r="AP372" s="162">
        <v>-15.101423636341977</v>
      </c>
      <c r="AQ372" s="162">
        <v>0</v>
      </c>
      <c r="AR372" s="710" t="str">
        <v>1613 Ripper.par</v>
      </c>
      <c r="AV372" s="82" t="str">
        <v>0,102,204</v>
      </c>
      <c r="AW372" s="947">
        <v>-11.945289726695552</v>
      </c>
      <c r="AX372" s="947">
        <v>-11.945289726695552</v>
      </c>
      <c r="AY372" s="947">
        <v>0</v>
      </c>
    </row>
    <row r="373" spans="12:51" x14ac:dyDescent="0.25">
      <c r="L373"/>
      <c r="AD373" s="166"/>
      <c r="AE373" s="75">
        <v>5.1050000000000004</v>
      </c>
      <c r="AF373" s="82">
        <v>5</v>
      </c>
      <c r="AG373" s="82">
        <v>1</v>
      </c>
      <c r="AH373" s="82">
        <v>1</v>
      </c>
      <c r="AI373" s="82">
        <v>2.0000000000436557</v>
      </c>
      <c r="AJ373" s="166">
        <v>5.1051200000000003</v>
      </c>
      <c r="AK373" s="82" t="str">
        <v>Base</v>
      </c>
      <c r="AL373" s="162">
        <v>-15</v>
      </c>
      <c r="AM373" s="162">
        <v>-1.3652437852151869</v>
      </c>
      <c r="AN373" s="162">
        <v>-0.43837341909736965</v>
      </c>
      <c r="AO373" s="162">
        <v>-12.949138827495569</v>
      </c>
      <c r="AP373" s="162">
        <v>-15.161341689710696</v>
      </c>
      <c r="AQ373" s="162">
        <v>0</v>
      </c>
      <c r="AR373" s="710" t="str">
        <v>1613 Ripper.par</v>
      </c>
      <c r="AV373" s="82" t="str">
        <v>0,102,204</v>
      </c>
      <c r="AW373" s="947">
        <v>-12.949138827495569</v>
      </c>
      <c r="AX373" s="947">
        <v>-12.949138827495569</v>
      </c>
      <c r="AY373" s="947">
        <v>0</v>
      </c>
    </row>
    <row r="374" spans="12:51" x14ac:dyDescent="0.25">
      <c r="L374"/>
      <c r="AD374" s="166"/>
      <c r="AE374" s="75">
        <v>5.1020000000000003</v>
      </c>
      <c r="AF374" s="82">
        <v>5</v>
      </c>
      <c r="AG374" s="82">
        <v>1</v>
      </c>
      <c r="AH374" s="82">
        <v>1</v>
      </c>
      <c r="AI374" s="82">
        <v>2.0000000000436557</v>
      </c>
      <c r="AJ374" s="166">
        <v>5.1021200000000002</v>
      </c>
      <c r="AK374" s="82" t="str">
        <v>Base</v>
      </c>
      <c r="AL374" s="162">
        <v>-15</v>
      </c>
      <c r="AM374" s="162">
        <v>-0.60804725265242798</v>
      </c>
      <c r="AN374" s="162">
        <v>-0.64192551940139486</v>
      </c>
      <c r="AO374" s="162">
        <v>-15.496960293563548</v>
      </c>
      <c r="AP374" s="162">
        <v>-17.89717637438029</v>
      </c>
      <c r="AQ374" s="162">
        <v>0</v>
      </c>
      <c r="AR374" s="710" t="str">
        <v>1613.par</v>
      </c>
      <c r="AV374" s="82" t="str">
        <v>0,102,204</v>
      </c>
      <c r="AW374" s="947">
        <v>-15.496960293563548</v>
      </c>
      <c r="AX374" s="947">
        <v>-15.496960293563548</v>
      </c>
      <c r="AY374" s="947">
        <v>0</v>
      </c>
    </row>
    <row r="375" spans="12:51" x14ac:dyDescent="0.25">
      <c r="L375"/>
      <c r="AD375" s="166"/>
      <c r="AE375" s="75">
        <v>4.25</v>
      </c>
      <c r="AF375" s="82">
        <v>4</v>
      </c>
      <c r="AG375" s="82">
        <v>2</v>
      </c>
      <c r="AH375" s="82">
        <v>1</v>
      </c>
      <c r="AI375" s="82">
        <v>1.9999999999708962</v>
      </c>
      <c r="AJ375" s="166">
        <v>4.2501199999999999</v>
      </c>
      <c r="AK375" s="82" t="str">
        <v>Base</v>
      </c>
      <c r="AL375" s="162">
        <v>-14.25</v>
      </c>
      <c r="AM375" s="162">
        <v>-5.1223779559634766</v>
      </c>
      <c r="AN375" s="162">
        <v>-9.5441693873345788</v>
      </c>
      <c r="AO375" s="162">
        <v>100.03561890671628</v>
      </c>
      <c r="AP375" s="162">
        <v>-39.831236627249659</v>
      </c>
      <c r="AQ375" s="162">
        <v>0</v>
      </c>
      <c r="AR375" s="710" t="str">
        <v>1313.par</v>
      </c>
      <c r="AV375" s="82" t="str">
        <v>91,255,255</v>
      </c>
      <c r="AW375" s="947">
        <v>100.03561890671628</v>
      </c>
      <c r="AX375" s="947">
        <v>100.03561890671628</v>
      </c>
      <c r="AY375" s="947">
        <v>0</v>
      </c>
    </row>
    <row r="376" spans="12:51" x14ac:dyDescent="0.25">
      <c r="L376"/>
      <c r="AD376" s="166"/>
      <c r="AE376" s="75">
        <v>4.2439999999999998</v>
      </c>
      <c r="AF376" s="82">
        <v>4</v>
      </c>
      <c r="AG376" s="82">
        <v>2</v>
      </c>
      <c r="AH376" s="82">
        <v>1</v>
      </c>
      <c r="AI376" s="82">
        <v>1.9999999999708962</v>
      </c>
      <c r="AJ376" s="166">
        <v>4.2441199999999997</v>
      </c>
      <c r="AK376" s="82" t="str">
        <v>Base</v>
      </c>
      <c r="AL376" s="162">
        <v>-14.25</v>
      </c>
      <c r="AM376" s="162">
        <v>-5.02087479466259</v>
      </c>
      <c r="AN376" s="162">
        <v>-2.8276642532133014</v>
      </c>
      <c r="AO376" s="162">
        <v>89.999987005609597</v>
      </c>
      <c r="AP376" s="162">
        <v>0</v>
      </c>
      <c r="AQ376" s="162">
        <v>0</v>
      </c>
      <c r="AR376" s="710" t="str">
        <v>32193r1.par</v>
      </c>
      <c r="AV376" s="82" t="str">
        <v>91,255,255</v>
      </c>
      <c r="AW376" s="947">
        <v>89.999987005609597</v>
      </c>
      <c r="AX376" s="947">
        <v>89.999987005609597</v>
      </c>
      <c r="AY376" s="947">
        <v>0</v>
      </c>
    </row>
    <row r="377" spans="12:51" x14ac:dyDescent="0.25">
      <c r="L377"/>
      <c r="AD377" s="166"/>
      <c r="AE377" s="75">
        <v>4.2380000000000004</v>
      </c>
      <c r="AF377" s="82">
        <v>4</v>
      </c>
      <c r="AG377" s="82">
        <v>2</v>
      </c>
      <c r="AH377" s="82">
        <v>1</v>
      </c>
      <c r="AI377" s="82">
        <v>2.0000000000436557</v>
      </c>
      <c r="AJ377" s="166">
        <v>4.2381200000000003</v>
      </c>
      <c r="AK377" s="82" t="str">
        <v>Base</v>
      </c>
      <c r="AL377" s="162">
        <v>-14.25</v>
      </c>
      <c r="AM377" s="162">
        <v>-4.9862408383831154</v>
      </c>
      <c r="AN377" s="162">
        <v>-2.0739478476101465</v>
      </c>
      <c r="AO377" s="162">
        <v>82.999988016284419</v>
      </c>
      <c r="AP377" s="162">
        <v>0</v>
      </c>
      <c r="AQ377" s="162">
        <v>0</v>
      </c>
      <c r="AR377" s="710" t="str">
        <v>32193r1.par</v>
      </c>
      <c r="AV377" s="82" t="str">
        <v>91,255,255</v>
      </c>
      <c r="AW377" s="947">
        <v>82.999988016284419</v>
      </c>
      <c r="AX377" s="947">
        <v>82.999988016284419</v>
      </c>
      <c r="AY377" s="947">
        <v>0</v>
      </c>
    </row>
    <row r="378" spans="12:51" x14ac:dyDescent="0.25">
      <c r="L378"/>
      <c r="AD378" s="166"/>
      <c r="AE378" s="75">
        <v>4.2320000000000002</v>
      </c>
      <c r="AF378" s="82">
        <v>4</v>
      </c>
      <c r="AG378" s="82">
        <v>2</v>
      </c>
      <c r="AH378" s="82">
        <v>1</v>
      </c>
      <c r="AI378" s="82">
        <v>2.0000000000436557</v>
      </c>
      <c r="AJ378" s="166">
        <v>4.2321200000000001</v>
      </c>
      <c r="AK378" s="82" t="str">
        <v>Base</v>
      </c>
      <c r="AL378" s="162">
        <v>-14.25</v>
      </c>
      <c r="AM378" s="162">
        <v>-4.7840043854517713</v>
      </c>
      <c r="AN378" s="162">
        <v>-1.3439934667734483</v>
      </c>
      <c r="AO378" s="162">
        <v>61.99999104830885</v>
      </c>
      <c r="AP378" s="162">
        <v>0</v>
      </c>
      <c r="AQ378" s="162">
        <v>0</v>
      </c>
      <c r="AR378" s="710" t="str">
        <v>32193r1.par</v>
      </c>
      <c r="AV378" s="82" t="str">
        <v>91,255,255</v>
      </c>
      <c r="AW378" s="947">
        <v>61.99999104830885</v>
      </c>
      <c r="AX378" s="947">
        <v>61.99999104830885</v>
      </c>
      <c r="AY378" s="947">
        <v>0</v>
      </c>
    </row>
    <row r="379" spans="12:51" x14ac:dyDescent="0.25">
      <c r="L379"/>
      <c r="AD379" s="166"/>
      <c r="AE379" s="75">
        <v>4.226</v>
      </c>
      <c r="AF379" s="82">
        <v>4</v>
      </c>
      <c r="AG379" s="82">
        <v>2</v>
      </c>
      <c r="AH379" s="82">
        <v>1</v>
      </c>
      <c r="AI379" s="82">
        <v>1.9999999999708962</v>
      </c>
      <c r="AJ379" s="166">
        <v>4.2261199999999999</v>
      </c>
      <c r="AK379" s="82" t="str">
        <v>Base</v>
      </c>
      <c r="AL379" s="162">
        <v>-14.25</v>
      </c>
      <c r="AM379" s="162">
        <v>-4.3146862511636366</v>
      </c>
      <c r="AN379" s="162">
        <v>-0.71915320315934983</v>
      </c>
      <c r="AO379" s="162">
        <v>40.999994080333266</v>
      </c>
      <c r="AP379" s="162">
        <v>0</v>
      </c>
      <c r="AQ379" s="162">
        <v>0</v>
      </c>
      <c r="AR379" s="710" t="str">
        <v>32193r1.par</v>
      </c>
      <c r="AV379" s="82" t="str">
        <v>91,255,255</v>
      </c>
      <c r="AW379" s="947">
        <v>40.999994080333266</v>
      </c>
      <c r="AX379" s="947">
        <v>40.999994080333266</v>
      </c>
      <c r="AY379" s="947">
        <v>0</v>
      </c>
    </row>
    <row r="380" spans="12:51" x14ac:dyDescent="0.25">
      <c r="L380"/>
      <c r="AD380" s="166"/>
      <c r="AE380" s="75">
        <v>4.22</v>
      </c>
      <c r="AF380" s="82">
        <v>4</v>
      </c>
      <c r="AG380" s="82">
        <v>2</v>
      </c>
      <c r="AH380" s="82">
        <v>1</v>
      </c>
      <c r="AI380" s="82">
        <v>1.9999999999708962</v>
      </c>
      <c r="AJ380" s="166">
        <v>4.2201199999999996</v>
      </c>
      <c r="AK380" s="82" t="str">
        <v>Base</v>
      </c>
      <c r="AL380" s="162">
        <v>-14.25</v>
      </c>
      <c r="AM380" s="162">
        <v>-3.6883533304226974</v>
      </c>
      <c r="AN380" s="162">
        <v>-0.32595843976773081</v>
      </c>
      <c r="AO380" s="162">
        <v>19.99999711235769</v>
      </c>
      <c r="AP380" s="162">
        <v>0</v>
      </c>
      <c r="AQ380" s="162">
        <v>0</v>
      </c>
      <c r="AR380" s="710" t="str">
        <v>32193r1.par</v>
      </c>
      <c r="AV380" s="82" t="str">
        <v>91,255,255</v>
      </c>
      <c r="AW380" s="947">
        <v>19.99999711235769</v>
      </c>
      <c r="AX380" s="947">
        <v>19.99999711235769</v>
      </c>
      <c r="AY380" s="947">
        <v>0</v>
      </c>
    </row>
    <row r="381" spans="12:51" x14ac:dyDescent="0.25">
      <c r="L381"/>
      <c r="AD381" s="166"/>
      <c r="AE381" s="75">
        <v>4.1440000000000001</v>
      </c>
      <c r="AF381" s="82">
        <v>4</v>
      </c>
      <c r="AG381" s="82">
        <v>1</v>
      </c>
      <c r="AH381" s="82">
        <v>1</v>
      </c>
      <c r="AI381" s="82">
        <v>1.9999999999708962</v>
      </c>
      <c r="AJ381" s="166">
        <v>4.14412</v>
      </c>
      <c r="AK381" s="82" t="str">
        <v>Base</v>
      </c>
      <c r="AL381" s="162">
        <v>-13.5</v>
      </c>
      <c r="AM381" s="162">
        <v>-5.0550887932628399</v>
      </c>
      <c r="AN381" s="162">
        <v>-2.8073988406701207</v>
      </c>
      <c r="AO381" s="162">
        <v>84.970117416838406</v>
      </c>
      <c r="AP381" s="162">
        <v>-29.785208788526909</v>
      </c>
      <c r="AQ381" s="162">
        <v>0</v>
      </c>
      <c r="AR381" s="710" t="str">
        <v>1613.par</v>
      </c>
      <c r="AV381" s="82" t="str">
        <v>0,204,204</v>
      </c>
      <c r="AW381" s="947">
        <v>84.970117416838406</v>
      </c>
      <c r="AX381" s="947">
        <v>84.970117416838406</v>
      </c>
      <c r="AY381" s="947">
        <v>0</v>
      </c>
    </row>
    <row r="382" spans="12:51" x14ac:dyDescent="0.25">
      <c r="L382"/>
      <c r="AD382" s="166"/>
      <c r="AE382" s="75">
        <v>4.1379999999999999</v>
      </c>
      <c r="AF382" s="82">
        <v>4</v>
      </c>
      <c r="AG382" s="82">
        <v>1</v>
      </c>
      <c r="AH382" s="82">
        <v>1</v>
      </c>
      <c r="AI382" s="82">
        <v>1.9999999999708962</v>
      </c>
      <c r="AJ382" s="166">
        <v>4.1381199999999998</v>
      </c>
      <c r="AK382" s="82" t="str">
        <v>Base</v>
      </c>
      <c r="AL382" s="162">
        <v>-13.5</v>
      </c>
      <c r="AM382" s="162">
        <v>-5.0164523963688259</v>
      </c>
      <c r="AN382" s="162">
        <v>-2.0505984811055593</v>
      </c>
      <c r="AO382" s="162">
        <v>78.799617313561896</v>
      </c>
      <c r="AP382" s="162">
        <v>-28.452633559226971</v>
      </c>
      <c r="AQ382" s="162">
        <v>0</v>
      </c>
      <c r="AR382" s="710" t="str">
        <v>1613.par</v>
      </c>
      <c r="AV382" s="82" t="str">
        <v>0,204,204</v>
      </c>
      <c r="AW382" s="947">
        <v>78.799617313561896</v>
      </c>
      <c r="AX382" s="947">
        <v>78.799617313561896</v>
      </c>
      <c r="AY382" s="947">
        <v>0</v>
      </c>
    </row>
    <row r="383" spans="12:51" x14ac:dyDescent="0.25">
      <c r="L383"/>
      <c r="AD383" s="166"/>
      <c r="AE383" s="75">
        <v>4.1319999999999997</v>
      </c>
      <c r="AF383" s="82">
        <v>4</v>
      </c>
      <c r="AG383" s="82">
        <v>1</v>
      </c>
      <c r="AH383" s="82">
        <v>1</v>
      </c>
      <c r="AI383" s="82">
        <v>1.9999999999708962</v>
      </c>
      <c r="AJ383" s="166">
        <v>4.1321199999999996</v>
      </c>
      <c r="AK383" s="82" t="str">
        <v>Base</v>
      </c>
      <c r="AL383" s="162">
        <v>-13.5</v>
      </c>
      <c r="AM383" s="162">
        <v>-4.8023031901750297</v>
      </c>
      <c r="AN383" s="162">
        <v>-1.3154422932556307</v>
      </c>
      <c r="AO383" s="162">
        <v>60.249226457616452</v>
      </c>
      <c r="AP383" s="162">
        <v>-24.466285540690528</v>
      </c>
      <c r="AQ383" s="162">
        <v>0</v>
      </c>
      <c r="AR383" s="710" t="str">
        <v>1613.par</v>
      </c>
      <c r="AV383" s="82" t="str">
        <v>0,204,204</v>
      </c>
      <c r="AW383" s="947">
        <v>60.249226457616452</v>
      </c>
      <c r="AX383" s="947">
        <v>60.249226457616452</v>
      </c>
      <c r="AY383" s="947">
        <v>0</v>
      </c>
    </row>
    <row r="384" spans="12:51" x14ac:dyDescent="0.25">
      <c r="L384"/>
      <c r="AD384" s="166"/>
      <c r="AE384" s="75">
        <v>4.1260000000000003</v>
      </c>
      <c r="AF384" s="82">
        <v>4</v>
      </c>
      <c r="AG384" s="82">
        <v>1</v>
      </c>
      <c r="AH384" s="82">
        <v>1</v>
      </c>
      <c r="AI384" s="82">
        <v>2.0000000000436557</v>
      </c>
      <c r="AJ384" s="166">
        <v>4.1261200000000002</v>
      </c>
      <c r="AK384" s="82" t="str">
        <v>Base</v>
      </c>
      <c r="AL384" s="162">
        <v>-13.5</v>
      </c>
      <c r="AM384" s="162">
        <v>-4.340235968178817</v>
      </c>
      <c r="AN384" s="162">
        <v>-0.70443925095865945</v>
      </c>
      <c r="AO384" s="162">
        <v>41.606624611766414</v>
      </c>
      <c r="AP384" s="162">
        <v>-20.495439001035297</v>
      </c>
      <c r="AQ384" s="162">
        <v>0</v>
      </c>
      <c r="AR384" s="710" t="str">
        <v>1613.par</v>
      </c>
      <c r="AV384" s="82" t="str">
        <v>0,204,204</v>
      </c>
      <c r="AW384" s="947">
        <v>41.606624611766414</v>
      </c>
      <c r="AX384" s="947">
        <v>41.606624611766414</v>
      </c>
      <c r="AY384" s="947">
        <v>0</v>
      </c>
    </row>
    <row r="385" spans="12:51" x14ac:dyDescent="0.25">
      <c r="L385"/>
      <c r="AD385" s="166"/>
      <c r="AE385" s="75">
        <v>4.12</v>
      </c>
      <c r="AF385" s="82">
        <v>4</v>
      </c>
      <c r="AG385" s="82">
        <v>1</v>
      </c>
      <c r="AH385" s="82">
        <v>1</v>
      </c>
      <c r="AI385" s="82">
        <v>1.9999999999708962</v>
      </c>
      <c r="AJ385" s="166">
        <v>4.12012</v>
      </c>
      <c r="AK385" s="82" t="str">
        <v>Base</v>
      </c>
      <c r="AL385" s="162">
        <v>-13.5</v>
      </c>
      <c r="AM385" s="162">
        <v>-3.690665647678546</v>
      </c>
      <c r="AN385" s="162">
        <v>-0.29764061088688559</v>
      </c>
      <c r="AO385" s="162">
        <v>22.793338283804125</v>
      </c>
      <c r="AP385" s="162">
        <v>-16.548323321314136</v>
      </c>
      <c r="AQ385" s="162">
        <v>0</v>
      </c>
      <c r="AR385" s="710" t="str">
        <v>1613 Ripper.par</v>
      </c>
      <c r="AV385" s="82" t="str">
        <v>0,204,204</v>
      </c>
      <c r="AW385" s="947">
        <v>22.793338283804125</v>
      </c>
      <c r="AX385" s="947">
        <v>22.793338283804125</v>
      </c>
      <c r="AY385" s="947">
        <v>0</v>
      </c>
    </row>
    <row r="386" spans="12:51" x14ac:dyDescent="0.25">
      <c r="L386"/>
      <c r="AD386" s="166"/>
      <c r="AE386" s="75">
        <v>4.1139999999999999</v>
      </c>
      <c r="AF386" s="82">
        <v>4</v>
      </c>
      <c r="AG386" s="82">
        <v>1</v>
      </c>
      <c r="AH386" s="82">
        <v>1</v>
      </c>
      <c r="AI386" s="82">
        <v>1.9999999999708962</v>
      </c>
      <c r="AJ386" s="166">
        <v>4.1141199999999998</v>
      </c>
      <c r="AK386" s="82" t="str">
        <v>Base</v>
      </c>
      <c r="AL386" s="162">
        <v>-13.5</v>
      </c>
      <c r="AM386" s="162">
        <v>-2.9383851347705265</v>
      </c>
      <c r="AN386" s="162">
        <v>-0.14939415340802875</v>
      </c>
      <c r="AO386" s="162">
        <v>3.9705087662236287</v>
      </c>
      <c r="AP386" s="162">
        <v>-15.469551353298518</v>
      </c>
      <c r="AQ386" s="162">
        <v>0</v>
      </c>
      <c r="AR386" s="710" t="str">
        <v>1613 Ripper.par</v>
      </c>
      <c r="AV386" s="82" t="str">
        <v>0,204,204</v>
      </c>
      <c r="AW386" s="947">
        <v>3.9705087662236287</v>
      </c>
      <c r="AX386" s="947">
        <v>3.9705087662236287</v>
      </c>
      <c r="AY386" s="947">
        <v>0</v>
      </c>
    </row>
    <row r="387" spans="12:51" x14ac:dyDescent="0.25">
      <c r="L387"/>
      <c r="AD387" s="166"/>
      <c r="AE387" s="75">
        <v>3.2509999999999999</v>
      </c>
      <c r="AF387" s="82">
        <v>3</v>
      </c>
      <c r="AG387" s="82">
        <v>2</v>
      </c>
      <c r="AH387" s="82">
        <v>1</v>
      </c>
      <c r="AI387" s="82">
        <v>1.9999999999708962</v>
      </c>
      <c r="AJ387" s="166">
        <v>3.2511199999999998</v>
      </c>
      <c r="AK387" s="82" t="str">
        <v>Base</v>
      </c>
      <c r="AL387" s="162">
        <v>-12.75</v>
      </c>
      <c r="AM387" s="162">
        <v>-5.1223779559634783</v>
      </c>
      <c r="AN387" s="162">
        <v>-9.5288916117626403</v>
      </c>
      <c r="AO387" s="162">
        <v>100.03561890671625</v>
      </c>
      <c r="AP387" s="162">
        <v>-39.831236627249623</v>
      </c>
      <c r="AQ387" s="162">
        <v>0</v>
      </c>
      <c r="AR387" s="710" t="str">
        <v>1313.par</v>
      </c>
      <c r="AV387" s="82" t="str">
        <v>97,255,97</v>
      </c>
      <c r="AW387" s="947">
        <v>100.03561890671625</v>
      </c>
      <c r="AX387" s="947">
        <v>100.03561890671625</v>
      </c>
      <c r="AY387" s="947">
        <v>0</v>
      </c>
    </row>
    <row r="388" spans="12:51" x14ac:dyDescent="0.25">
      <c r="L388"/>
      <c r="AD388" s="166"/>
      <c r="AE388" s="75">
        <v>3.2450000000000001</v>
      </c>
      <c r="AF388" s="82">
        <v>3</v>
      </c>
      <c r="AG388" s="82">
        <v>2</v>
      </c>
      <c r="AH388" s="82">
        <v>1</v>
      </c>
      <c r="AI388" s="82">
        <v>2.000000000007276</v>
      </c>
      <c r="AJ388" s="166">
        <v>3.24512</v>
      </c>
      <c r="AK388" s="82" t="str">
        <v>Base</v>
      </c>
      <c r="AL388" s="162">
        <v>-12.75</v>
      </c>
      <c r="AM388" s="162">
        <v>-5.0208747946625891</v>
      </c>
      <c r="AN388" s="162">
        <v>-2.9348314711564814</v>
      </c>
      <c r="AO388" s="162">
        <v>89.999987005609611</v>
      </c>
      <c r="AP388" s="162">
        <v>0</v>
      </c>
      <c r="AQ388" s="162">
        <v>0</v>
      </c>
      <c r="AR388" s="710" t="str">
        <v>32193r1.par</v>
      </c>
      <c r="AV388" s="82" t="str">
        <v>97,255,97</v>
      </c>
      <c r="AW388" s="947">
        <v>89.999987005609611</v>
      </c>
      <c r="AX388" s="947">
        <v>89.999987005609611</v>
      </c>
      <c r="AY388" s="947">
        <v>0</v>
      </c>
    </row>
    <row r="389" spans="12:51" x14ac:dyDescent="0.25">
      <c r="L389"/>
      <c r="AD389" s="166"/>
      <c r="AE389" s="75">
        <v>3.2389999999999999</v>
      </c>
      <c r="AF389" s="82">
        <v>3</v>
      </c>
      <c r="AG389" s="82">
        <v>2</v>
      </c>
      <c r="AH389" s="82">
        <v>1</v>
      </c>
      <c r="AI389" s="82">
        <v>1.9999999999708962</v>
      </c>
      <c r="AJ389" s="166">
        <v>3.2391199999999998</v>
      </c>
      <c r="AK389" s="82" t="str">
        <v>Base</v>
      </c>
      <c r="AL389" s="162">
        <v>-12.75</v>
      </c>
      <c r="AM389" s="162">
        <v>-4.9934378719711736</v>
      </c>
      <c r="AN389" s="162">
        <v>-2.1822253805535681</v>
      </c>
      <c r="AO389" s="162">
        <v>82.999988016284419</v>
      </c>
      <c r="AP389" s="162">
        <v>0</v>
      </c>
      <c r="AQ389" s="162">
        <v>0</v>
      </c>
      <c r="AR389" s="710" t="str">
        <v>32193r1.par</v>
      </c>
      <c r="AV389" s="82" t="str">
        <v>97,255,97</v>
      </c>
      <c r="AW389" s="947">
        <v>82.999988016284419</v>
      </c>
      <c r="AX389" s="947">
        <v>82.999988016284419</v>
      </c>
      <c r="AY389" s="947">
        <v>0</v>
      </c>
    </row>
    <row r="390" spans="12:51" x14ac:dyDescent="0.25">
      <c r="L390"/>
      <c r="AD390" s="166"/>
      <c r="AE390" s="75">
        <v>3.2330000000000001</v>
      </c>
      <c r="AF390" s="82">
        <v>3</v>
      </c>
      <c r="AG390" s="82">
        <v>2</v>
      </c>
      <c r="AH390" s="82">
        <v>1</v>
      </c>
      <c r="AI390" s="82">
        <v>2.000000000007276</v>
      </c>
      <c r="AJ390" s="166">
        <v>3.23312</v>
      </c>
      <c r="AK390" s="82" t="str">
        <v>Base</v>
      </c>
      <c r="AL390" s="162">
        <v>-12.75</v>
      </c>
      <c r="AM390" s="162">
        <v>-4.8780303852724725</v>
      </c>
      <c r="AN390" s="162">
        <v>-1.4164167852814822</v>
      </c>
      <c r="AO390" s="162">
        <v>63.392943063786667</v>
      </c>
      <c r="AP390" s="162">
        <v>-30.139109350595657</v>
      </c>
      <c r="AQ390" s="162">
        <v>0</v>
      </c>
      <c r="AR390" s="710" t="str">
        <v>1313.par</v>
      </c>
      <c r="AV390" s="82" t="str">
        <v>97,255,97</v>
      </c>
      <c r="AW390" s="947">
        <v>63.392943063786667</v>
      </c>
      <c r="AX390" s="947">
        <v>63.392943063786667</v>
      </c>
      <c r="AY390" s="947">
        <v>0</v>
      </c>
    </row>
    <row r="391" spans="12:51" x14ac:dyDescent="0.25">
      <c r="L391"/>
      <c r="AD391" s="166"/>
      <c r="AE391" s="75">
        <v>3.2269999999999999</v>
      </c>
      <c r="AF391" s="82">
        <v>3</v>
      </c>
      <c r="AG391" s="82">
        <v>2</v>
      </c>
      <c r="AH391" s="82">
        <v>1</v>
      </c>
      <c r="AI391" s="82">
        <v>1.9999999999708962</v>
      </c>
      <c r="AJ391" s="166">
        <v>3.2271199999999998</v>
      </c>
      <c r="AK391" s="82" t="str">
        <v>Base</v>
      </c>
      <c r="AL391" s="162">
        <v>-12.75</v>
      </c>
      <c r="AM391" s="162">
        <v>-4.4493480813053772</v>
      </c>
      <c r="AN391" s="162">
        <v>-0.77374031913830732</v>
      </c>
      <c r="AO391" s="162">
        <v>44.830187859593472</v>
      </c>
      <c r="AP391" s="162">
        <v>-26.16280668690904</v>
      </c>
      <c r="AQ391" s="162">
        <v>0</v>
      </c>
      <c r="AR391" s="710" t="str">
        <v>1313.par</v>
      </c>
      <c r="AV391" s="82" t="str">
        <v>97,255,97</v>
      </c>
      <c r="AW391" s="947">
        <v>44.830187859593472</v>
      </c>
      <c r="AX391" s="947">
        <v>44.830187859593472</v>
      </c>
      <c r="AY391" s="947">
        <v>0</v>
      </c>
    </row>
    <row r="392" spans="12:51" x14ac:dyDescent="0.25">
      <c r="L392"/>
      <c r="AD392" s="166"/>
      <c r="AE392" s="75">
        <v>3.2210000000000001</v>
      </c>
      <c r="AF392" s="82">
        <v>3</v>
      </c>
      <c r="AG392" s="82">
        <v>2</v>
      </c>
      <c r="AH392" s="82">
        <v>1</v>
      </c>
      <c r="AI392" s="82">
        <v>2.000000000007276</v>
      </c>
      <c r="AJ392" s="166">
        <v>3.22112</v>
      </c>
      <c r="AK392" s="82" t="str">
        <v>Base</v>
      </c>
      <c r="AL392" s="162">
        <v>-12.75</v>
      </c>
      <c r="AM392" s="162">
        <v>-3.8192371295293186</v>
      </c>
      <c r="AN392" s="162">
        <v>-0.326760263231619</v>
      </c>
      <c r="AO392" s="162">
        <v>26.167511622001179</v>
      </c>
      <c r="AP392" s="162">
        <v>-22.20779132657719</v>
      </c>
      <c r="AQ392" s="162">
        <v>0</v>
      </c>
      <c r="AR392" s="710" t="str">
        <v>1313.par</v>
      </c>
      <c r="AV392" s="82" t="str">
        <v>97,255,97</v>
      </c>
      <c r="AW392" s="947">
        <v>26.167511622001179</v>
      </c>
      <c r="AX392" s="947">
        <v>26.167511622001179</v>
      </c>
      <c r="AY392" s="947">
        <v>0</v>
      </c>
    </row>
    <row r="393" spans="12:51" x14ac:dyDescent="0.25">
      <c r="L393"/>
      <c r="AD393" s="166"/>
      <c r="AE393" s="75">
        <v>3.2149999999999999</v>
      </c>
      <c r="AF393" s="82">
        <v>3</v>
      </c>
      <c r="AG393" s="82">
        <v>2</v>
      </c>
      <c r="AH393" s="82">
        <v>1</v>
      </c>
      <c r="AI393" s="82">
        <v>1.9999999999708962</v>
      </c>
      <c r="AJ393" s="166">
        <v>3.2151199999999998</v>
      </c>
      <c r="AK393" s="82" t="str">
        <v>Base</v>
      </c>
      <c r="AL393" s="162">
        <v>-12.75</v>
      </c>
      <c r="AM393" s="162">
        <v>-3.0661488581587393</v>
      </c>
      <c r="AN393" s="162">
        <v>-0.16774074265016303</v>
      </c>
      <c r="AO393" s="162">
        <v>-0.99999985561788196</v>
      </c>
      <c r="AP393" s="162">
        <v>0</v>
      </c>
      <c r="AQ393" s="162">
        <v>0</v>
      </c>
      <c r="AR393" s="710" t="str">
        <v>32193r1.par</v>
      </c>
      <c r="AV393" s="82" t="str">
        <v>97,255,97</v>
      </c>
      <c r="AW393" s="947">
        <v>-0.99999985561788196</v>
      </c>
      <c r="AX393" s="947">
        <v>-0.99999985561788196</v>
      </c>
      <c r="AY393" s="947">
        <v>0</v>
      </c>
    </row>
    <row r="394" spans="12:51" x14ac:dyDescent="0.25">
      <c r="L394"/>
      <c r="AD394" s="166"/>
      <c r="AE394" s="75">
        <v>3.145</v>
      </c>
      <c r="AF394" s="82">
        <v>3</v>
      </c>
      <c r="AG394" s="82">
        <v>1</v>
      </c>
      <c r="AH394" s="82">
        <v>1</v>
      </c>
      <c r="AI394" s="82">
        <v>2.000000000007276</v>
      </c>
      <c r="AJ394" s="166">
        <v>3.1451199999999999</v>
      </c>
      <c r="AK394" s="82" t="str">
        <v>Base</v>
      </c>
      <c r="AL394" s="162">
        <v>-12</v>
      </c>
      <c r="AM394" s="162">
        <v>-5.0550887932628417</v>
      </c>
      <c r="AN394" s="162">
        <v>-2.9145660586133029</v>
      </c>
      <c r="AO394" s="162">
        <v>84.97011741683842</v>
      </c>
      <c r="AP394" s="162">
        <v>-29.785208788526909</v>
      </c>
      <c r="AQ394" s="162">
        <v>0</v>
      </c>
      <c r="AR394" s="710" t="str">
        <v>1613.par</v>
      </c>
      <c r="AV394" s="82" t="str">
        <v>0,204,0</v>
      </c>
      <c r="AW394" s="947">
        <v>84.97011741683842</v>
      </c>
      <c r="AX394" s="947">
        <v>84.97011741683842</v>
      </c>
      <c r="AY394" s="947">
        <v>0</v>
      </c>
    </row>
    <row r="395" spans="12:51" x14ac:dyDescent="0.25">
      <c r="L395"/>
      <c r="AD395" s="166"/>
      <c r="AE395" s="75">
        <v>3.1389999999999998</v>
      </c>
      <c r="AF395" s="82">
        <v>3</v>
      </c>
      <c r="AG395" s="82">
        <v>1</v>
      </c>
      <c r="AH395" s="82">
        <v>1</v>
      </c>
      <c r="AI395" s="82">
        <v>1.9999999999708962</v>
      </c>
      <c r="AJ395" s="166">
        <v>3.1391199999999997</v>
      </c>
      <c r="AK395" s="82" t="str">
        <v>Base</v>
      </c>
      <c r="AL395" s="162">
        <v>-12</v>
      </c>
      <c r="AM395" s="162">
        <v>-5.0256652349223865</v>
      </c>
      <c r="AN395" s="162">
        <v>-2.1602848926294178</v>
      </c>
      <c r="AO395" s="162">
        <v>81.885446807640747</v>
      </c>
      <c r="AP395" s="162">
        <v>-29.118222259814257</v>
      </c>
      <c r="AQ395" s="162">
        <v>0</v>
      </c>
      <c r="AR395" s="710" t="str">
        <v>1613.par</v>
      </c>
      <c r="AV395" s="82" t="str">
        <v>0,204,0</v>
      </c>
      <c r="AW395" s="947">
        <v>81.885446807640747</v>
      </c>
      <c r="AX395" s="947">
        <v>81.885446807640747</v>
      </c>
      <c r="AY395" s="947">
        <v>0</v>
      </c>
    </row>
    <row r="396" spans="12:51" x14ac:dyDescent="0.25">
      <c r="L396"/>
      <c r="AD396" s="166"/>
      <c r="AE396" s="75">
        <v>3.133</v>
      </c>
      <c r="AF396" s="82">
        <v>3</v>
      </c>
      <c r="AG396" s="82">
        <v>1</v>
      </c>
      <c r="AH396" s="82">
        <v>1</v>
      </c>
      <c r="AI396" s="82">
        <v>2.000000000007276</v>
      </c>
      <c r="AJ396" s="166">
        <v>3.1331199999999999</v>
      </c>
      <c r="AK396" s="82" t="str">
        <v>Base</v>
      </c>
      <c r="AL396" s="162">
        <v>-12</v>
      </c>
      <c r="AM396" s="162">
        <v>-4.8564048247187852</v>
      </c>
      <c r="AN396" s="162">
        <v>-1.4134872104080047</v>
      </c>
      <c r="AO396" s="162">
        <v>63.345987496311885</v>
      </c>
      <c r="AP396" s="162">
        <v>-25.129745570941751</v>
      </c>
      <c r="AQ396" s="162">
        <v>0</v>
      </c>
      <c r="AR396" s="710" t="str">
        <v>1613.par</v>
      </c>
      <c r="AV396" s="82" t="str">
        <v>0,204,0</v>
      </c>
      <c r="AW396" s="947">
        <v>63.345987496311885</v>
      </c>
      <c r="AX396" s="947">
        <v>63.345987496311885</v>
      </c>
      <c r="AY396" s="947">
        <v>0</v>
      </c>
    </row>
    <row r="397" spans="12:51" x14ac:dyDescent="0.25">
      <c r="L397"/>
      <c r="AD397" s="166"/>
      <c r="AE397" s="75">
        <v>3.1269999999999998</v>
      </c>
      <c r="AF397" s="82">
        <v>3</v>
      </c>
      <c r="AG397" s="82">
        <v>1</v>
      </c>
      <c r="AH397" s="82">
        <v>1</v>
      </c>
      <c r="AI397" s="82">
        <v>1.9999999999708962</v>
      </c>
      <c r="AJ397" s="166">
        <v>3.1271199999999997</v>
      </c>
      <c r="AK397" s="82" t="str">
        <v>Base</v>
      </c>
      <c r="AL397" s="162">
        <v>-12</v>
      </c>
      <c r="AM397" s="162">
        <v>-4.4323083330046469</v>
      </c>
      <c r="AN397" s="162">
        <v>-0.77566613136864804</v>
      </c>
      <c r="AO397" s="162">
        <v>44.722719194276351</v>
      </c>
      <c r="AP397" s="162">
        <v>-21.155897053638178</v>
      </c>
      <c r="AQ397" s="162">
        <v>0</v>
      </c>
      <c r="AR397" s="710" t="str">
        <v>1613.par</v>
      </c>
      <c r="AV397" s="82" t="str">
        <v>0,204,0</v>
      </c>
      <c r="AW397" s="947">
        <v>44.722719194276351</v>
      </c>
      <c r="AX397" s="947">
        <v>44.722719194276351</v>
      </c>
      <c r="AY397" s="947">
        <v>0</v>
      </c>
    </row>
    <row r="398" spans="12:51" x14ac:dyDescent="0.25">
      <c r="L398"/>
      <c r="AD398" s="166"/>
      <c r="AE398" s="75">
        <v>3.121</v>
      </c>
      <c r="AF398" s="82">
        <v>3</v>
      </c>
      <c r="AG398" s="82">
        <v>1</v>
      </c>
      <c r="AH398" s="82">
        <v>1</v>
      </c>
      <c r="AI398" s="82">
        <v>2.000000000007276</v>
      </c>
      <c r="AJ398" s="166">
        <v>3.1211199999999999</v>
      </c>
      <c r="AK398" s="82" t="str">
        <v>Base</v>
      </c>
      <c r="AL398" s="162">
        <v>-12</v>
      </c>
      <c r="AM398" s="162">
        <v>-3.8085869115984403</v>
      </c>
      <c r="AN398" s="162">
        <v>-0.33034726830856487</v>
      </c>
      <c r="AO398" s="162">
        <v>25.946275176386688</v>
      </c>
      <c r="AP398" s="162">
        <v>-17.203971811334654</v>
      </c>
      <c r="AQ398" s="162">
        <v>0</v>
      </c>
      <c r="AR398" s="710" t="str">
        <v>1613 Ripper.par</v>
      </c>
      <c r="AV398" s="82" t="str">
        <v>0,204,0</v>
      </c>
      <c r="AW398" s="947">
        <v>25.946275176386688</v>
      </c>
      <c r="AX398" s="947">
        <v>25.946275176386688</v>
      </c>
      <c r="AY398" s="947">
        <v>0</v>
      </c>
    </row>
    <row r="399" spans="12:51" x14ac:dyDescent="0.25">
      <c r="L399"/>
      <c r="AD399" s="166"/>
      <c r="AE399" s="75">
        <v>3.1150000000000002</v>
      </c>
      <c r="AF399" s="82">
        <v>3</v>
      </c>
      <c r="AG399" s="82">
        <v>1</v>
      </c>
      <c r="AH399" s="82">
        <v>1</v>
      </c>
      <c r="AI399" s="82">
        <v>2.000000000007276</v>
      </c>
      <c r="AJ399" s="166">
        <v>3.1151200000000001</v>
      </c>
      <c r="AK399" s="82" t="str">
        <v>Base</v>
      </c>
      <c r="AL399" s="162">
        <v>-12</v>
      </c>
      <c r="AM399" s="162">
        <v>-3.0667945084187682</v>
      </c>
      <c r="AN399" s="162">
        <v>-0.13655977616306597</v>
      </c>
      <c r="AO399" s="162">
        <v>7.1077563806310833</v>
      </c>
      <c r="AP399" s="162">
        <v>-15.551478149906009</v>
      </c>
      <c r="AQ399" s="162">
        <v>0</v>
      </c>
      <c r="AR399" s="710" t="str">
        <v>1613 Ripper.par</v>
      </c>
      <c r="AV399" s="82" t="str">
        <v>0,204,0</v>
      </c>
      <c r="AW399" s="947">
        <v>7.1077563806310833</v>
      </c>
      <c r="AX399" s="947">
        <v>7.1077563806310833</v>
      </c>
      <c r="AY399" s="947">
        <v>0</v>
      </c>
    </row>
    <row r="400" spans="12:51" x14ac:dyDescent="0.25">
      <c r="L400"/>
      <c r="AD400" s="166"/>
      <c r="AE400" s="75">
        <v>3.109</v>
      </c>
      <c r="AF400" s="82">
        <v>3</v>
      </c>
      <c r="AG400" s="82">
        <v>1</v>
      </c>
      <c r="AH400" s="82">
        <v>1</v>
      </c>
      <c r="AI400" s="82">
        <v>1.9999999999708962</v>
      </c>
      <c r="AJ400" s="166">
        <v>3.1091199999999999</v>
      </c>
      <c r="AK400" s="82" t="str">
        <v>Base</v>
      </c>
      <c r="AL400" s="162">
        <v>-12</v>
      </c>
      <c r="AM400" s="162">
        <v>-2.3048937266229794</v>
      </c>
      <c r="AN400" s="162">
        <v>-0.21870815368491048</v>
      </c>
      <c r="AO400" s="162">
        <v>-11.754573914654843</v>
      </c>
      <c r="AP400" s="162">
        <v>-15.090629431527974</v>
      </c>
      <c r="AQ400" s="162">
        <v>0</v>
      </c>
      <c r="AR400" s="710" t="str">
        <v>1613 Ripper.par</v>
      </c>
      <c r="AV400" s="82" t="str">
        <v>0,204,0</v>
      </c>
      <c r="AW400" s="947">
        <v>-11.754573914654843</v>
      </c>
      <c r="AX400" s="947">
        <v>-11.754573914654843</v>
      </c>
      <c r="AY400" s="947">
        <v>0</v>
      </c>
    </row>
    <row r="401" spans="12:51" x14ac:dyDescent="0.25">
      <c r="L401"/>
      <c r="AD401" s="166"/>
      <c r="AE401" s="75">
        <v>3.1059999999999999</v>
      </c>
      <c r="AF401" s="82">
        <v>3</v>
      </c>
      <c r="AG401" s="82">
        <v>1</v>
      </c>
      <c r="AH401" s="82">
        <v>1</v>
      </c>
      <c r="AI401" s="82">
        <v>1.9999999999708962</v>
      </c>
      <c r="AJ401" s="166">
        <v>3.1061199999999998</v>
      </c>
      <c r="AK401" s="82" t="str">
        <v>Base</v>
      </c>
      <c r="AL401" s="162">
        <v>-12</v>
      </c>
      <c r="AM401" s="162">
        <v>-1.6077246308135538</v>
      </c>
      <c r="AN401" s="162">
        <v>-0.40545143194161859</v>
      </c>
      <c r="AO401" s="162">
        <v>-12.508515021959289</v>
      </c>
      <c r="AP401" s="162">
        <v>-15.134396576192788</v>
      </c>
      <c r="AQ401" s="162">
        <v>0</v>
      </c>
      <c r="AR401" s="710" t="str">
        <v>1613 Ripper.par</v>
      </c>
      <c r="AV401" s="82" t="str">
        <v>0,204,0</v>
      </c>
      <c r="AW401" s="947">
        <v>-12.508515021959289</v>
      </c>
      <c r="AX401" s="947">
        <v>-12.508515021959289</v>
      </c>
      <c r="AY401" s="947">
        <v>0</v>
      </c>
    </row>
    <row r="402" spans="12:51" x14ac:dyDescent="0.25">
      <c r="L402"/>
      <c r="AD402" s="166"/>
      <c r="AE402" s="75">
        <v>3.1030000000000002</v>
      </c>
      <c r="AF402" s="82">
        <v>3</v>
      </c>
      <c r="AG402" s="82">
        <v>1</v>
      </c>
      <c r="AH402" s="82">
        <v>1</v>
      </c>
      <c r="AI402" s="82">
        <v>2.000000000007276</v>
      </c>
      <c r="AJ402" s="166">
        <v>3.1031200000000001</v>
      </c>
      <c r="AK402" s="82" t="str">
        <v>Base</v>
      </c>
      <c r="AL402" s="162">
        <v>-12</v>
      </c>
      <c r="AM402" s="162">
        <v>-0.86547604771679154</v>
      </c>
      <c r="AN402" s="162">
        <v>-0.60452156701484994</v>
      </c>
      <c r="AO402" s="162">
        <v>-14.302653650703496</v>
      </c>
      <c r="AP402" s="162">
        <v>-16.268123573021061</v>
      </c>
      <c r="AQ402" s="162">
        <v>0</v>
      </c>
      <c r="AR402" s="710" t="str">
        <v>1613.par</v>
      </c>
      <c r="AV402" s="82" t="str">
        <v>0,204,0</v>
      </c>
      <c r="AW402" s="947">
        <v>-14.302653650703496</v>
      </c>
      <c r="AX402" s="947">
        <v>-14.302653650703496</v>
      </c>
      <c r="AY402" s="947">
        <v>0</v>
      </c>
    </row>
    <row r="403" spans="12:51" x14ac:dyDescent="0.25">
      <c r="L403"/>
      <c r="AD403" s="166"/>
      <c r="AE403" s="75">
        <v>2.2519999999999998</v>
      </c>
      <c r="AF403" s="82">
        <v>2</v>
      </c>
      <c r="AG403" s="82">
        <v>2</v>
      </c>
      <c r="AH403" s="82">
        <v>1</v>
      </c>
      <c r="AI403" s="82">
        <v>1.9999999999708962</v>
      </c>
      <c r="AJ403" s="166">
        <v>2.2521199999999997</v>
      </c>
      <c r="AK403" s="82" t="str">
        <v>Base</v>
      </c>
      <c r="AL403" s="162">
        <v>-11.25</v>
      </c>
      <c r="AM403" s="162">
        <v>-5.1223779559634774</v>
      </c>
      <c r="AN403" s="162">
        <v>-9.6113916142893281</v>
      </c>
      <c r="AO403" s="162">
        <v>100.03561890671624</v>
      </c>
      <c r="AP403" s="162">
        <v>-39.831236627249659</v>
      </c>
      <c r="AQ403" s="162">
        <v>0</v>
      </c>
      <c r="AR403" s="710" t="str">
        <v>1313.par</v>
      </c>
      <c r="AV403" s="82" t="str">
        <v>255,255,91</v>
      </c>
      <c r="AW403" s="947">
        <v>100.03561890671624</v>
      </c>
      <c r="AX403" s="947">
        <v>100.03561890671624</v>
      </c>
      <c r="AY403" s="947">
        <v>0</v>
      </c>
    </row>
    <row r="404" spans="12:51" x14ac:dyDescent="0.25">
      <c r="L404"/>
      <c r="AD404" s="166"/>
      <c r="AE404" s="75">
        <v>2.246</v>
      </c>
      <c r="AF404" s="82">
        <v>2</v>
      </c>
      <c r="AG404" s="82">
        <v>2</v>
      </c>
      <c r="AH404" s="82">
        <v>1</v>
      </c>
      <c r="AI404" s="82">
        <v>2.000000000007276</v>
      </c>
      <c r="AJ404" s="166">
        <v>2.2461199999999999</v>
      </c>
      <c r="AK404" s="82" t="str">
        <v>Base</v>
      </c>
      <c r="AL404" s="162">
        <v>-11.25</v>
      </c>
      <c r="AM404" s="162">
        <v>-5.0208747946625891</v>
      </c>
      <c r="AN404" s="162">
        <v>-3.1119990909636486</v>
      </c>
      <c r="AO404" s="162">
        <v>89.999987005609626</v>
      </c>
      <c r="AP404" s="162">
        <v>0</v>
      </c>
      <c r="AQ404" s="162">
        <v>0</v>
      </c>
      <c r="AR404" s="710" t="str">
        <v>32193r1.par</v>
      </c>
      <c r="AV404" s="82" t="str">
        <v>255,255,91</v>
      </c>
      <c r="AW404" s="947">
        <v>89.999987005609626</v>
      </c>
      <c r="AX404" s="947">
        <v>89.999987005609626</v>
      </c>
      <c r="AY404" s="947">
        <v>0</v>
      </c>
    </row>
    <row r="405" spans="12:51" x14ac:dyDescent="0.25">
      <c r="L405"/>
      <c r="AD405" s="166"/>
      <c r="AE405" s="75">
        <v>2.2400000000000002</v>
      </c>
      <c r="AF405" s="82">
        <v>2</v>
      </c>
      <c r="AG405" s="82">
        <v>2</v>
      </c>
      <c r="AH405" s="82">
        <v>1</v>
      </c>
      <c r="AI405" s="82">
        <v>2.000000000007276</v>
      </c>
      <c r="AJ405" s="166">
        <v>2.2401200000000001</v>
      </c>
      <c r="AK405" s="82" t="str">
        <v>Base</v>
      </c>
      <c r="AL405" s="162">
        <v>-11.25</v>
      </c>
      <c r="AM405" s="162">
        <v>-4.9927899012947679</v>
      </c>
      <c r="AN405" s="162">
        <v>-2.3606126697953851</v>
      </c>
      <c r="AO405" s="162">
        <v>89.999987005609611</v>
      </c>
      <c r="AP405" s="162">
        <v>0</v>
      </c>
      <c r="AQ405" s="162">
        <v>0</v>
      </c>
      <c r="AR405" s="710" t="str">
        <v>32193r1.par</v>
      </c>
      <c r="AV405" s="82" t="str">
        <v>255,255,91</v>
      </c>
      <c r="AW405" s="947">
        <v>89.999987005609611</v>
      </c>
      <c r="AX405" s="947">
        <v>89.999987005609611</v>
      </c>
      <c r="AY405" s="947">
        <v>0</v>
      </c>
    </row>
    <row r="406" spans="12:51" x14ac:dyDescent="0.25">
      <c r="L406"/>
      <c r="AD406" s="166"/>
      <c r="AE406" s="75">
        <v>2.234</v>
      </c>
      <c r="AF406" s="82">
        <v>2</v>
      </c>
      <c r="AG406" s="82">
        <v>2</v>
      </c>
      <c r="AH406" s="82">
        <v>1</v>
      </c>
      <c r="AI406" s="82">
        <v>1.9999999999708962</v>
      </c>
      <c r="AJ406" s="166">
        <v>2.2341199999999999</v>
      </c>
      <c r="AK406" s="82" t="str">
        <v>Base</v>
      </c>
      <c r="AL406" s="162">
        <v>-11.25</v>
      </c>
      <c r="AM406" s="162">
        <v>-4.8811717254525888</v>
      </c>
      <c r="AN406" s="162">
        <v>-1.6119940134234756</v>
      </c>
      <c r="AO406" s="162">
        <v>68.999990037634035</v>
      </c>
      <c r="AP406" s="162">
        <v>0</v>
      </c>
      <c r="AQ406" s="162">
        <v>0</v>
      </c>
      <c r="AR406" s="710" t="str">
        <v>32193r1.par</v>
      </c>
      <c r="AV406" s="82" t="str">
        <v>255,255,91</v>
      </c>
      <c r="AW406" s="947">
        <v>68.999990037634035</v>
      </c>
      <c r="AX406" s="947">
        <v>68.999990037634035</v>
      </c>
      <c r="AY406" s="947">
        <v>0</v>
      </c>
    </row>
    <row r="407" spans="12:51" x14ac:dyDescent="0.25">
      <c r="L407"/>
      <c r="AD407" s="166"/>
      <c r="AE407" s="75">
        <v>2.2280000000000002</v>
      </c>
      <c r="AF407" s="82">
        <v>2</v>
      </c>
      <c r="AG407" s="82">
        <v>2</v>
      </c>
      <c r="AH407" s="82">
        <v>1</v>
      </c>
      <c r="AI407" s="82">
        <v>2.000000000007276</v>
      </c>
      <c r="AJ407" s="166">
        <v>2.2281200000000001</v>
      </c>
      <c r="AK407" s="82" t="str">
        <v>Base</v>
      </c>
      <c r="AL407" s="162">
        <v>-11.25</v>
      </c>
      <c r="AM407" s="162">
        <v>-4.5041623974577867</v>
      </c>
      <c r="AN407" s="162">
        <v>-0.94833759392076133</v>
      </c>
      <c r="AO407" s="162">
        <v>47.999993069658451</v>
      </c>
      <c r="AP407" s="162">
        <v>0</v>
      </c>
      <c r="AQ407" s="162">
        <v>0</v>
      </c>
      <c r="AR407" s="710" t="str">
        <v>32193r1.par</v>
      </c>
      <c r="AV407" s="82" t="str">
        <v>255,255,91</v>
      </c>
      <c r="AW407" s="947">
        <v>47.999993069658451</v>
      </c>
      <c r="AX407" s="947">
        <v>47.999993069658451</v>
      </c>
      <c r="AY407" s="947">
        <v>0</v>
      </c>
    </row>
    <row r="408" spans="12:51" x14ac:dyDescent="0.25">
      <c r="L408"/>
      <c r="AD408" s="166"/>
      <c r="AE408" s="75">
        <v>2.222</v>
      </c>
      <c r="AF408" s="82">
        <v>2</v>
      </c>
      <c r="AG408" s="82">
        <v>2</v>
      </c>
      <c r="AH408" s="82">
        <v>1</v>
      </c>
      <c r="AI408" s="82">
        <v>1.9999999999708962</v>
      </c>
      <c r="AJ408" s="166">
        <v>2.2221199999999999</v>
      </c>
      <c r="AK408" s="82" t="str">
        <v>Base</v>
      </c>
      <c r="AL408" s="162">
        <v>-11.25</v>
      </c>
      <c r="AM408" s="162">
        <v>-3.9192729222602507</v>
      </c>
      <c r="AN408" s="162">
        <v>-0.46919382922831149</v>
      </c>
      <c r="AO408" s="162">
        <v>26.999996101682878</v>
      </c>
      <c r="AP408" s="162">
        <v>0</v>
      </c>
      <c r="AQ408" s="162">
        <v>0</v>
      </c>
      <c r="AR408" s="710" t="str">
        <v>32193r1.par</v>
      </c>
      <c r="AV408" s="82" t="str">
        <v>255,255,91</v>
      </c>
      <c r="AW408" s="947">
        <v>26.999996101682878</v>
      </c>
      <c r="AX408" s="947">
        <v>26.999996101682878</v>
      </c>
      <c r="AY408" s="947">
        <v>0</v>
      </c>
    </row>
    <row r="409" spans="12:51" x14ac:dyDescent="0.25">
      <c r="L409"/>
      <c r="AD409" s="166"/>
      <c r="AE409" s="75">
        <v>2.2160000000000002</v>
      </c>
      <c r="AF409" s="82">
        <v>2</v>
      </c>
      <c r="AG409" s="82">
        <v>2</v>
      </c>
      <c r="AH409" s="82">
        <v>1</v>
      </c>
      <c r="AI409" s="82">
        <v>2.000000000007276</v>
      </c>
      <c r="AJ409" s="166">
        <v>2.2161200000000001</v>
      </c>
      <c r="AK409" s="82" t="str">
        <v>Base</v>
      </c>
      <c r="AL409" s="162">
        <v>-11.25</v>
      </c>
      <c r="AM409" s="162">
        <v>-3.1937190736100054</v>
      </c>
      <c r="AN409" s="162">
        <v>-0.23182373922238592</v>
      </c>
      <c r="AO409" s="162">
        <v>5.9999991337073082</v>
      </c>
      <c r="AP409" s="162">
        <v>0</v>
      </c>
      <c r="AQ409" s="162">
        <v>0</v>
      </c>
      <c r="AR409" s="710" t="str">
        <v>32193r1.par</v>
      </c>
      <c r="AV409" s="82" t="str">
        <v>255,255,91</v>
      </c>
      <c r="AW409" s="947">
        <v>5.9999991337073082</v>
      </c>
      <c r="AX409" s="947">
        <v>5.9999991337073082</v>
      </c>
      <c r="AY409" s="947">
        <v>0</v>
      </c>
    </row>
    <row r="410" spans="12:51" x14ac:dyDescent="0.25">
      <c r="L410"/>
      <c r="AD410" s="166"/>
      <c r="AE410" s="75">
        <v>2.1459999999999999</v>
      </c>
      <c r="AF410" s="82">
        <v>2</v>
      </c>
      <c r="AG410" s="82">
        <v>1</v>
      </c>
      <c r="AH410" s="82">
        <v>1</v>
      </c>
      <c r="AI410" s="82">
        <v>1.9999999999708962</v>
      </c>
      <c r="AJ410" s="166">
        <v>2.1461199999999998</v>
      </c>
      <c r="AK410" s="82" t="str">
        <v>Base</v>
      </c>
      <c r="AL410" s="162">
        <v>-10.5</v>
      </c>
      <c r="AM410" s="162">
        <v>-5.0550887932628417</v>
      </c>
      <c r="AN410" s="162">
        <v>-3.0917336784168321</v>
      </c>
      <c r="AO410" s="162">
        <v>84.97011741683842</v>
      </c>
      <c r="AP410" s="162">
        <v>-29.785208788526894</v>
      </c>
      <c r="AQ410" s="162">
        <v>0</v>
      </c>
      <c r="AR410" s="710" t="str">
        <v>1613.par</v>
      </c>
      <c r="AV410" s="82" t="str">
        <v>204,204,0</v>
      </c>
      <c r="AW410" s="947">
        <v>84.97011741683842</v>
      </c>
      <c r="AX410" s="947">
        <v>84.97011741683842</v>
      </c>
      <c r="AY410" s="947">
        <v>0</v>
      </c>
    </row>
    <row r="411" spans="12:51" x14ac:dyDescent="0.25">
      <c r="L411"/>
      <c r="AD411" s="166"/>
      <c r="AE411" s="75">
        <v>2.14</v>
      </c>
      <c r="AF411" s="82">
        <v>2</v>
      </c>
      <c r="AG411" s="82">
        <v>1</v>
      </c>
      <c r="AH411" s="82">
        <v>1</v>
      </c>
      <c r="AI411" s="82">
        <v>2.000000000007276</v>
      </c>
      <c r="AJ411" s="166">
        <v>2.14012</v>
      </c>
      <c r="AK411" s="82" t="str">
        <v>Base</v>
      </c>
      <c r="AL411" s="162">
        <v>-10.5</v>
      </c>
      <c r="AM411" s="162">
        <v>-5.0270040657372688</v>
      </c>
      <c r="AN411" s="162">
        <v>-2.3402493961826361</v>
      </c>
      <c r="AO411" s="162">
        <v>84.969949372155938</v>
      </c>
      <c r="AP411" s="162">
        <v>-29.784116024848295</v>
      </c>
      <c r="AQ411" s="162">
        <v>0</v>
      </c>
      <c r="AR411" s="710" t="str">
        <v>1613.par</v>
      </c>
      <c r="AV411" s="82" t="str">
        <v>204,204,0</v>
      </c>
      <c r="AW411" s="947">
        <v>84.969949372155938</v>
      </c>
      <c r="AX411" s="947">
        <v>84.969949372155938</v>
      </c>
      <c r="AY411" s="947">
        <v>0</v>
      </c>
    </row>
    <row r="412" spans="12:51" x14ac:dyDescent="0.25">
      <c r="L412"/>
      <c r="AD412" s="166"/>
      <c r="AE412" s="75">
        <v>2.1339999999999999</v>
      </c>
      <c r="AF412" s="82">
        <v>2</v>
      </c>
      <c r="AG412" s="82">
        <v>1</v>
      </c>
      <c r="AH412" s="82">
        <v>1</v>
      </c>
      <c r="AI412" s="82">
        <v>1.9999999999708962</v>
      </c>
      <c r="AJ412" s="166">
        <v>2.1341199999999998</v>
      </c>
      <c r="AK412" s="82" t="str">
        <v>Base</v>
      </c>
      <c r="AL412" s="162">
        <v>-10.5</v>
      </c>
      <c r="AM412" s="162">
        <v>-4.9033194043169575</v>
      </c>
      <c r="AN412" s="162">
        <v>-1.5846037070193373</v>
      </c>
      <c r="AO412" s="162">
        <v>66.440489504246187</v>
      </c>
      <c r="AP412" s="162">
        <v>-25.793602252313281</v>
      </c>
      <c r="AQ412" s="162">
        <v>0</v>
      </c>
      <c r="AR412" s="710" t="str">
        <v>1613.par</v>
      </c>
      <c r="AV412" s="82" t="str">
        <v>204,204,0</v>
      </c>
      <c r="AW412" s="947">
        <v>66.440489504246187</v>
      </c>
      <c r="AX412" s="947">
        <v>66.440489504246187</v>
      </c>
      <c r="AY412" s="947">
        <v>0</v>
      </c>
    </row>
    <row r="413" spans="12:51" x14ac:dyDescent="0.25">
      <c r="L413"/>
      <c r="AD413" s="166"/>
      <c r="AE413" s="75">
        <v>2.1280000000000001</v>
      </c>
      <c r="AF413" s="82">
        <v>2</v>
      </c>
      <c r="AG413" s="82">
        <v>1</v>
      </c>
      <c r="AH413" s="82">
        <v>1</v>
      </c>
      <c r="AI413" s="82">
        <v>2.000000000007276</v>
      </c>
      <c r="AJ413" s="166">
        <v>2.12812</v>
      </c>
      <c r="AK413" s="82" t="str">
        <v>Base</v>
      </c>
      <c r="AL413" s="162">
        <v>-10.5</v>
      </c>
      <c r="AM413" s="162">
        <v>-4.5186798771013077</v>
      </c>
      <c r="AN413" s="162">
        <v>-0.9222626416685763</v>
      </c>
      <c r="AO413" s="162">
        <v>47.834713669325687</v>
      </c>
      <c r="AP413" s="162">
        <v>-21.816944784593154</v>
      </c>
      <c r="AQ413" s="162">
        <v>0</v>
      </c>
      <c r="AR413" s="710" t="str">
        <v>1613.par</v>
      </c>
      <c r="AV413" s="82" t="str">
        <v>204,204,0</v>
      </c>
      <c r="AW413" s="947">
        <v>47.834713669325687</v>
      </c>
      <c r="AX413" s="947">
        <v>47.834713669325687</v>
      </c>
      <c r="AY413" s="947">
        <v>0</v>
      </c>
    </row>
    <row r="414" spans="12:51" x14ac:dyDescent="0.25">
      <c r="L414"/>
      <c r="AD414" s="166"/>
      <c r="AE414" s="75">
        <v>2.1219999999999999</v>
      </c>
      <c r="AF414" s="82">
        <v>2</v>
      </c>
      <c r="AG414" s="82">
        <v>1</v>
      </c>
      <c r="AH414" s="82">
        <v>1</v>
      </c>
      <c r="AI414" s="82">
        <v>1.9999999999708962</v>
      </c>
      <c r="AJ414" s="166">
        <v>2.1221199999999998</v>
      </c>
      <c r="AK414" s="82" t="str">
        <v>Base</v>
      </c>
      <c r="AL414" s="162">
        <v>-10.5</v>
      </c>
      <c r="AM414" s="162">
        <v>-3.923195158347927</v>
      </c>
      <c r="AN414" s="162">
        <v>-0.44002530702068343</v>
      </c>
      <c r="AO414" s="162">
        <v>29.091158349317926</v>
      </c>
      <c r="AP414" s="162">
        <v>-17.860607850540081</v>
      </c>
      <c r="AQ414" s="162">
        <v>0</v>
      </c>
      <c r="AR414" s="710" t="str">
        <v>1613.par</v>
      </c>
      <c r="AV414" s="82" t="str">
        <v>204,204,0</v>
      </c>
      <c r="AW414" s="947">
        <v>29.091158349317926</v>
      </c>
      <c r="AX414" s="947">
        <v>29.091158349317926</v>
      </c>
      <c r="AY414" s="947">
        <v>0</v>
      </c>
    </row>
    <row r="415" spans="12:51" x14ac:dyDescent="0.25">
      <c r="L415"/>
      <c r="AD415" s="166"/>
      <c r="AE415" s="75">
        <v>2.1160000000000001</v>
      </c>
      <c r="AF415" s="82">
        <v>2</v>
      </c>
      <c r="AG415" s="82">
        <v>1</v>
      </c>
      <c r="AH415" s="82">
        <v>1</v>
      </c>
      <c r="AI415" s="82">
        <v>2.000000000007276</v>
      </c>
      <c r="AJ415" s="166">
        <v>2.11612</v>
      </c>
      <c r="AK415" s="82" t="str">
        <v>Base</v>
      </c>
      <c r="AL415" s="162">
        <v>-10.5</v>
      </c>
      <c r="AM415" s="162">
        <v>-3.1946027962538608</v>
      </c>
      <c r="AN415" s="162">
        <v>-0.20150332743371452</v>
      </c>
      <c r="AO415" s="162">
        <v>10.242376499105918</v>
      </c>
      <c r="AP415" s="162">
        <v>-15.635007982189849</v>
      </c>
      <c r="AQ415" s="162">
        <v>0</v>
      </c>
      <c r="AR415" s="710" t="str">
        <v>1613 Ripper.par</v>
      </c>
      <c r="AV415" s="82" t="str">
        <v>204,204,0</v>
      </c>
      <c r="AW415" s="947">
        <v>10.242376499105918</v>
      </c>
      <c r="AX415" s="947">
        <v>10.242376499105918</v>
      </c>
      <c r="AY415" s="947">
        <v>0</v>
      </c>
    </row>
    <row r="416" spans="12:51" x14ac:dyDescent="0.25">
      <c r="L416"/>
      <c r="AD416" s="166"/>
      <c r="AE416" s="75">
        <v>2.11</v>
      </c>
      <c r="AF416" s="82">
        <v>2</v>
      </c>
      <c r="AG416" s="82">
        <v>1</v>
      </c>
      <c r="AH416" s="82">
        <v>1</v>
      </c>
      <c r="AI416" s="82">
        <v>1.9999999999708962</v>
      </c>
      <c r="AJ416" s="166">
        <v>2.1101199999999998</v>
      </c>
      <c r="AK416" s="82" t="str">
        <v>Base</v>
      </c>
      <c r="AL416" s="162">
        <v>-10.5</v>
      </c>
      <c r="AM416" s="162">
        <v>-2.4286205357576263</v>
      </c>
      <c r="AN416" s="162">
        <v>-0.23835590501318377</v>
      </c>
      <c r="AO416" s="162">
        <v>-8.604830320611164</v>
      </c>
      <c r="AP416" s="162">
        <v>-15.161593068640046</v>
      </c>
      <c r="AQ416" s="162">
        <v>0</v>
      </c>
      <c r="AR416" s="710" t="str">
        <v>1613 Ripper.par</v>
      </c>
      <c r="AV416" s="82" t="str">
        <v>204,204,0</v>
      </c>
      <c r="AW416" s="947">
        <v>-8.604830320611164</v>
      </c>
      <c r="AX416" s="947">
        <v>-8.604830320611164</v>
      </c>
      <c r="AY416" s="947">
        <v>0</v>
      </c>
    </row>
    <row r="417" spans="12:51" x14ac:dyDescent="0.25">
      <c r="L417"/>
      <c r="AD417" s="166"/>
      <c r="AE417" s="75">
        <v>1.2529999999999999</v>
      </c>
      <c r="AF417" s="82">
        <v>1</v>
      </c>
      <c r="AG417" s="82">
        <v>2</v>
      </c>
      <c r="AH417" s="82">
        <v>1</v>
      </c>
      <c r="AI417" s="82">
        <v>1.9999999999708962</v>
      </c>
      <c r="AJ417" s="166">
        <v>1.2531199999999998</v>
      </c>
      <c r="AK417" s="82" t="str">
        <v>Base</v>
      </c>
      <c r="AL417" s="162">
        <v>-9.75</v>
      </c>
      <c r="AM417" s="162">
        <v>-5.1223779559634792</v>
      </c>
      <c r="AN417" s="162">
        <v>-9.5955582832420454</v>
      </c>
      <c r="AO417" s="162">
        <v>100.03561890671624</v>
      </c>
      <c r="AP417" s="162">
        <v>-39.831236627249616</v>
      </c>
      <c r="AQ417" s="162">
        <v>0</v>
      </c>
      <c r="AR417" s="710" t="str">
        <v>1313.par</v>
      </c>
      <c r="AV417" s="82" t="str">
        <v>255,188,121</v>
      </c>
      <c r="AW417" s="947">
        <v>100.03561890671624</v>
      </c>
      <c r="AX417" s="947">
        <v>100.03561890671624</v>
      </c>
      <c r="AY417" s="947">
        <v>0</v>
      </c>
    </row>
    <row r="418" spans="12:51" x14ac:dyDescent="0.25">
      <c r="L418"/>
      <c r="AD418" s="166"/>
      <c r="AE418" s="75">
        <v>1.2470000000000001</v>
      </c>
      <c r="AF418" s="82">
        <v>1</v>
      </c>
      <c r="AG418" s="82">
        <v>2</v>
      </c>
      <c r="AH418" s="82">
        <v>1</v>
      </c>
      <c r="AI418" s="82">
        <v>2.000000000007276</v>
      </c>
      <c r="AJ418" s="166">
        <v>1.24712</v>
      </c>
      <c r="AK418" s="82" t="str">
        <v>Base</v>
      </c>
      <c r="AL418" s="162">
        <v>-9.75</v>
      </c>
      <c r="AM418" s="162">
        <v>-5.0208747946625891</v>
      </c>
      <c r="AN418" s="162">
        <v>-3.2205552264679715</v>
      </c>
      <c r="AO418" s="162">
        <v>89.999987005609597</v>
      </c>
      <c r="AP418" s="162">
        <v>0</v>
      </c>
      <c r="AQ418" s="162">
        <v>0</v>
      </c>
      <c r="AR418" s="710" t="str">
        <v>32193r1.par</v>
      </c>
      <c r="AV418" s="82" t="str">
        <v>255,188,121</v>
      </c>
      <c r="AW418" s="947">
        <v>89.999987005609597</v>
      </c>
      <c r="AX418" s="947">
        <v>89.999987005609597</v>
      </c>
      <c r="AY418" s="947">
        <v>0</v>
      </c>
    </row>
    <row r="419" spans="12:51" x14ac:dyDescent="0.25">
      <c r="L419"/>
      <c r="AD419" s="166"/>
      <c r="AE419" s="75">
        <v>1.2410000000000001</v>
      </c>
      <c r="AF419" s="82">
        <v>1</v>
      </c>
      <c r="AG419" s="82">
        <v>2</v>
      </c>
      <c r="AH419" s="82">
        <v>1</v>
      </c>
      <c r="AI419" s="82">
        <v>2.000000000007276</v>
      </c>
      <c r="AJ419" s="166">
        <v>1.24112</v>
      </c>
      <c r="AK419" s="82" t="str">
        <v>Base</v>
      </c>
      <c r="AL419" s="162">
        <v>-9.75</v>
      </c>
      <c r="AM419" s="162">
        <v>-4.9927899012947687</v>
      </c>
      <c r="AN419" s="162">
        <v>-2.4691688052997063</v>
      </c>
      <c r="AO419" s="162">
        <v>89.999987005609611</v>
      </c>
      <c r="AP419" s="162">
        <v>0</v>
      </c>
      <c r="AQ419" s="162">
        <v>0</v>
      </c>
      <c r="AR419" s="710" t="str">
        <v>32193r1.par</v>
      </c>
      <c r="AV419" s="82" t="str">
        <v>255,188,121</v>
      </c>
      <c r="AW419" s="947">
        <v>89.999987005609611</v>
      </c>
      <c r="AX419" s="947">
        <v>89.999987005609611</v>
      </c>
      <c r="AY419" s="947">
        <v>0</v>
      </c>
    </row>
    <row r="420" spans="12:51" x14ac:dyDescent="0.25">
      <c r="L420"/>
      <c r="AD420" s="166"/>
      <c r="AE420" s="75">
        <v>1.2350000000000001</v>
      </c>
      <c r="AF420" s="82">
        <v>1</v>
      </c>
      <c r="AG420" s="82">
        <v>2</v>
      </c>
      <c r="AH420" s="82">
        <v>1</v>
      </c>
      <c r="AI420" s="82">
        <v>2.000000000007276</v>
      </c>
      <c r="AJ420" s="166">
        <v>1.23512</v>
      </c>
      <c r="AK420" s="82" t="str">
        <v>Base</v>
      </c>
      <c r="AL420" s="162">
        <v>-9.75</v>
      </c>
      <c r="AM420" s="162">
        <v>-4.9655836720076438</v>
      </c>
      <c r="AN420" s="162">
        <v>-1.6947435550923444</v>
      </c>
      <c r="AO420" s="162">
        <v>69.566043588691343</v>
      </c>
      <c r="AP420" s="162">
        <v>-31.467894876304182</v>
      </c>
      <c r="AQ420" s="162">
        <v>0</v>
      </c>
      <c r="AR420" s="710" t="str">
        <v>1313.par</v>
      </c>
      <c r="AV420" s="82" t="str">
        <v>255,188,121</v>
      </c>
      <c r="AW420" s="947">
        <v>69.566043588691343</v>
      </c>
      <c r="AX420" s="947">
        <v>69.566043588691343</v>
      </c>
      <c r="AY420" s="947">
        <v>0</v>
      </c>
    </row>
    <row r="421" spans="12:51" x14ac:dyDescent="0.25">
      <c r="L421"/>
      <c r="AD421" s="166"/>
      <c r="AE421" s="75">
        <v>1.2290000000000001</v>
      </c>
      <c r="AF421" s="82">
        <v>1</v>
      </c>
      <c r="AG421" s="82">
        <v>2</v>
      </c>
      <c r="AH421" s="82">
        <v>1</v>
      </c>
      <c r="AI421" s="82">
        <v>2.000000000007276</v>
      </c>
      <c r="AJ421" s="166">
        <v>1.22912</v>
      </c>
      <c r="AK421" s="82" t="str">
        <v>Base</v>
      </c>
      <c r="AL421" s="162">
        <v>-9.75</v>
      </c>
      <c r="AM421" s="162">
        <v>-4.6179594043500742</v>
      </c>
      <c r="AN421" s="162">
        <v>-1.004710743570149</v>
      </c>
      <c r="AO421" s="162">
        <v>51.026324417745535</v>
      </c>
      <c r="AP421" s="162">
        <v>-27.48633572036287</v>
      </c>
      <c r="AQ421" s="162">
        <v>0</v>
      </c>
      <c r="AR421" s="710" t="str">
        <v>1313.par</v>
      </c>
      <c r="AV421" s="82" t="str">
        <v>255,188,121</v>
      </c>
      <c r="AW421" s="947">
        <v>51.026324417745535</v>
      </c>
      <c r="AX421" s="947">
        <v>51.026324417745535</v>
      </c>
      <c r="AY421" s="947">
        <v>0</v>
      </c>
    </row>
    <row r="422" spans="12:51" x14ac:dyDescent="0.25">
      <c r="L422"/>
      <c r="AD422" s="166"/>
      <c r="AE422" s="75">
        <v>1.2230000000000001</v>
      </c>
      <c r="AF422" s="82">
        <v>1</v>
      </c>
      <c r="AG422" s="82">
        <v>2</v>
      </c>
      <c r="AH422" s="82">
        <v>1</v>
      </c>
      <c r="AI422" s="82">
        <v>2.000000000007276</v>
      </c>
      <c r="AJ422" s="166">
        <v>1.22312</v>
      </c>
      <c r="AK422" s="82" t="str">
        <v>Base</v>
      </c>
      <c r="AL422" s="162">
        <v>-9.75</v>
      </c>
      <c r="AM422" s="162">
        <v>-4.0470214224005918</v>
      </c>
      <c r="AN422" s="162">
        <v>-0.48440426305066986</v>
      </c>
      <c r="AO422" s="162">
        <v>32.403257224374144</v>
      </c>
      <c r="AP422" s="162">
        <v>-23.52307731097898</v>
      </c>
      <c r="AQ422" s="162">
        <v>0</v>
      </c>
      <c r="AR422" s="710" t="str">
        <v>1313.par</v>
      </c>
      <c r="AV422" s="82" t="str">
        <v>255,188,121</v>
      </c>
      <c r="AW422" s="947">
        <v>32.403257224374144</v>
      </c>
      <c r="AX422" s="947">
        <v>32.403257224374144</v>
      </c>
      <c r="AY422" s="947">
        <v>0</v>
      </c>
    </row>
    <row r="423" spans="12:51" x14ac:dyDescent="0.25">
      <c r="L423"/>
      <c r="AD423" s="166"/>
      <c r="AE423" s="75">
        <v>1.2170000000000001</v>
      </c>
      <c r="AF423" s="82">
        <v>1</v>
      </c>
      <c r="AG423" s="82">
        <v>2</v>
      </c>
      <c r="AH423" s="82">
        <v>1</v>
      </c>
      <c r="AI423" s="82">
        <v>1.9999999999890861</v>
      </c>
      <c r="AJ423" s="166">
        <v>1.21712</v>
      </c>
      <c r="AK423" s="82" t="str">
        <v>Base</v>
      </c>
      <c r="AL423" s="162">
        <v>-9.75</v>
      </c>
      <c r="AM423" s="162">
        <v>-3.3201755508845281</v>
      </c>
      <c r="AN423" s="162">
        <v>-0.23504641488783967</v>
      </c>
      <c r="AO423" s="162">
        <v>5.9999991337073153</v>
      </c>
      <c r="AP423" s="162">
        <v>0</v>
      </c>
      <c r="AQ423" s="162">
        <v>0</v>
      </c>
      <c r="AR423" s="710" t="str">
        <v>32193r1.par</v>
      </c>
      <c r="AV423" s="82" t="str">
        <v>255,188,121</v>
      </c>
      <c r="AW423" s="947">
        <v>5.9999991337073153</v>
      </c>
      <c r="AX423" s="947">
        <v>5.9999991337073153</v>
      </c>
      <c r="AY423" s="947">
        <v>0</v>
      </c>
    </row>
    <row r="424" spans="12:51" x14ac:dyDescent="0.25">
      <c r="L424"/>
      <c r="AD424" s="166"/>
      <c r="AE424" s="75">
        <v>1.147</v>
      </c>
      <c r="AF424" s="82">
        <v>1</v>
      </c>
      <c r="AG424" s="82">
        <v>1</v>
      </c>
      <c r="AH424" s="82">
        <v>1</v>
      </c>
      <c r="AI424" s="82">
        <v>1.9999999999890861</v>
      </c>
      <c r="AJ424" s="166">
        <v>1.1471199999999999</v>
      </c>
      <c r="AK424" s="82" t="str">
        <v>Base</v>
      </c>
      <c r="AL424" s="162">
        <v>-9</v>
      </c>
      <c r="AM424" s="162">
        <v>-5.0550887932628417</v>
      </c>
      <c r="AN424" s="162">
        <v>-3.2002898139229732</v>
      </c>
      <c r="AO424" s="162">
        <v>84.970117416838434</v>
      </c>
      <c r="AP424" s="162">
        <v>-29.785208788526894</v>
      </c>
      <c r="AQ424" s="162">
        <v>0</v>
      </c>
      <c r="AR424" s="710" t="str">
        <v>1613.par</v>
      </c>
      <c r="AV424" s="82" t="str">
        <v>255,127,0</v>
      </c>
      <c r="AW424" s="947">
        <v>84.970117416838434</v>
      </c>
      <c r="AX424" s="947">
        <v>84.970117416838434</v>
      </c>
      <c r="AY424" s="947">
        <v>0</v>
      </c>
    </row>
    <row r="425" spans="12:51" x14ac:dyDescent="0.25">
      <c r="L425"/>
      <c r="AD425" s="166"/>
      <c r="AE425" s="75">
        <v>1.141</v>
      </c>
      <c r="AF425" s="82">
        <v>1</v>
      </c>
      <c r="AG425" s="82">
        <v>1</v>
      </c>
      <c r="AH425" s="82">
        <v>1</v>
      </c>
      <c r="AI425" s="82">
        <v>1.9999999999890861</v>
      </c>
      <c r="AJ425" s="166">
        <v>1.1411199999999999</v>
      </c>
      <c r="AK425" s="82" t="str">
        <v>Base</v>
      </c>
      <c r="AL425" s="162">
        <v>-9</v>
      </c>
      <c r="AM425" s="162">
        <v>-5.0270040657372705</v>
      </c>
      <c r="AN425" s="162">
        <v>-2.4488055316851387</v>
      </c>
      <c r="AO425" s="162">
        <v>84.96994937215598</v>
      </c>
      <c r="AP425" s="162">
        <v>-29.784116024848295</v>
      </c>
      <c r="AQ425" s="162">
        <v>0</v>
      </c>
      <c r="AR425" s="710" t="str">
        <v>1613.par</v>
      </c>
      <c r="AV425" s="82" t="str">
        <v>255,127,0</v>
      </c>
      <c r="AW425" s="947">
        <v>84.96994937215598</v>
      </c>
      <c r="AX425" s="947">
        <v>84.96994937215598</v>
      </c>
      <c r="AY425" s="947">
        <v>0</v>
      </c>
    </row>
    <row r="426" spans="12:51" x14ac:dyDescent="0.25">
      <c r="L426"/>
      <c r="AD426" s="166"/>
      <c r="AE426" s="75">
        <v>1.135</v>
      </c>
      <c r="AF426" s="82">
        <v>1</v>
      </c>
      <c r="AG426" s="82">
        <v>1</v>
      </c>
      <c r="AH426" s="82">
        <v>1</v>
      </c>
      <c r="AI426" s="82">
        <v>1.9999999999890861</v>
      </c>
      <c r="AJ426" s="166">
        <v>1.1351199999999999</v>
      </c>
      <c r="AK426" s="82" t="str">
        <v>Base</v>
      </c>
      <c r="AL426" s="162">
        <v>-9</v>
      </c>
      <c r="AM426" s="162">
        <v>-4.9429492165422184</v>
      </c>
      <c r="AN426" s="162">
        <v>-1.6896807792821265</v>
      </c>
      <c r="AO426" s="162">
        <v>69.53293472939626</v>
      </c>
      <c r="AP426" s="162">
        <v>-26.457837763909776</v>
      </c>
      <c r="AQ426" s="162">
        <v>0</v>
      </c>
      <c r="AR426" s="710" t="str">
        <v>1613.par</v>
      </c>
      <c r="AV426" s="82" t="str">
        <v>255,127,0</v>
      </c>
      <c r="AW426" s="947">
        <v>69.53293472939626</v>
      </c>
      <c r="AX426" s="947">
        <v>69.53293472939626</v>
      </c>
      <c r="AY426" s="947">
        <v>0</v>
      </c>
    </row>
    <row r="427" spans="12:51" x14ac:dyDescent="0.25">
      <c r="L427"/>
      <c r="AD427" s="166"/>
      <c r="AE427" s="75">
        <v>1.129</v>
      </c>
      <c r="AF427" s="82">
        <v>1</v>
      </c>
      <c r="AG427" s="82">
        <v>1</v>
      </c>
      <c r="AH427" s="82">
        <v>1</v>
      </c>
      <c r="AI427" s="82">
        <v>1.9999999999890861</v>
      </c>
      <c r="AJ427" s="166">
        <v>1.1291199999999999</v>
      </c>
      <c r="AK427" s="82" t="str">
        <v>Base</v>
      </c>
      <c r="AL427" s="162">
        <v>-9</v>
      </c>
      <c r="AM427" s="162">
        <v>-4.599152845196758</v>
      </c>
      <c r="AN427" s="162">
        <v>-1.0053171078605834</v>
      </c>
      <c r="AO427" s="162">
        <v>50.943025181030578</v>
      </c>
      <c r="AP427" s="162">
        <v>-22.478543785706282</v>
      </c>
      <c r="AQ427" s="162">
        <v>0</v>
      </c>
      <c r="AR427" s="710" t="str">
        <v>1613.par</v>
      </c>
      <c r="AV427" s="82" t="str">
        <v>255,127,0</v>
      </c>
      <c r="AW427" s="947">
        <v>50.943025181030578</v>
      </c>
      <c r="AX427" s="947">
        <v>50.943025181030578</v>
      </c>
      <c r="AY427" s="947">
        <v>0</v>
      </c>
    </row>
    <row r="428" spans="12:51" x14ac:dyDescent="0.25">
      <c r="L428"/>
      <c r="AD428" s="166"/>
      <c r="AE428" s="75">
        <v>1.123</v>
      </c>
      <c r="AF428" s="82">
        <v>1</v>
      </c>
      <c r="AG428" s="82">
        <v>1</v>
      </c>
      <c r="AH428" s="82">
        <v>1</v>
      </c>
      <c r="AI428" s="82">
        <v>1.9999999999890861</v>
      </c>
      <c r="AJ428" s="166">
        <v>1.1231199999999999</v>
      </c>
      <c r="AK428" s="82" t="str">
        <v>Base</v>
      </c>
      <c r="AL428" s="162">
        <v>-9</v>
      </c>
      <c r="AM428" s="162">
        <v>-4.0340922214204733</v>
      </c>
      <c r="AN428" s="162">
        <v>-0.48786249527657388</v>
      </c>
      <c r="AO428" s="162">
        <v>32.228901208944677</v>
      </c>
      <c r="AP428" s="162">
        <v>-18.518146153032774</v>
      </c>
      <c r="AQ428" s="162">
        <v>0</v>
      </c>
      <c r="AR428" s="710" t="str">
        <v>1613.par</v>
      </c>
      <c r="AV428" s="82" t="str">
        <v>255,127,0</v>
      </c>
      <c r="AW428" s="947">
        <v>32.228901208944677</v>
      </c>
      <c r="AX428" s="947">
        <v>32.228901208944677</v>
      </c>
      <c r="AY428" s="947">
        <v>0</v>
      </c>
    </row>
    <row r="429" spans="12:51" x14ac:dyDescent="0.25">
      <c r="L429"/>
      <c r="AD429" s="166"/>
      <c r="AE429" s="75">
        <v>1.117</v>
      </c>
      <c r="AF429" s="82">
        <v>1</v>
      </c>
      <c r="AG429" s="82">
        <v>1</v>
      </c>
      <c r="AH429" s="82">
        <v>1</v>
      </c>
      <c r="AI429" s="82">
        <v>1.9999999999890861</v>
      </c>
      <c r="AJ429" s="166">
        <v>1.1171199999999999</v>
      </c>
      <c r="AK429" s="82" t="str">
        <v>Base</v>
      </c>
      <c r="AL429" s="162">
        <v>-9</v>
      </c>
      <c r="AM429" s="162">
        <v>-3.3213108411312309</v>
      </c>
      <c r="AN429" s="162">
        <v>-0.20551364369163311</v>
      </c>
      <c r="AO429" s="162">
        <v>13.374429842880255</v>
      </c>
      <c r="AP429" s="162">
        <v>-15.719986249129448</v>
      </c>
      <c r="AQ429" s="162">
        <v>0</v>
      </c>
      <c r="AR429" s="710" t="str">
        <v>1613 Ripper.par</v>
      </c>
      <c r="AV429" s="82" t="str">
        <v>255,127,0</v>
      </c>
      <c r="AW429" s="947">
        <v>13.374429842880255</v>
      </c>
      <c r="AX429" s="947">
        <v>13.374429842880255</v>
      </c>
      <c r="AY429" s="947">
        <v>0</v>
      </c>
    </row>
    <row r="430" spans="12:51" x14ac:dyDescent="0.25">
      <c r="L430"/>
      <c r="AD430" s="166"/>
      <c r="AE430" s="75">
        <v>1.111</v>
      </c>
      <c r="AF430" s="82">
        <v>1</v>
      </c>
      <c r="AG430" s="82">
        <v>1</v>
      </c>
      <c r="AH430" s="82">
        <v>1</v>
      </c>
      <c r="AI430" s="82">
        <v>1.9999999999890861</v>
      </c>
      <c r="AJ430" s="166">
        <v>1.1111199999999999</v>
      </c>
      <c r="AK430" s="82" t="str">
        <v>Base</v>
      </c>
      <c r="AL430" s="162">
        <v>-9</v>
      </c>
      <c r="AM430" s="162">
        <v>-2.5545423236824747</v>
      </c>
      <c r="AN430" s="162">
        <v>-0.19587727761418267</v>
      </c>
      <c r="AO430" s="162">
        <v>-5.4571267998021593</v>
      </c>
      <c r="AP430" s="162">
        <v>-15.23519930996278</v>
      </c>
      <c r="AQ430" s="162">
        <v>0</v>
      </c>
      <c r="AR430" s="710" t="str">
        <v>1613 Ripper.par</v>
      </c>
      <c r="AV430" s="82" t="str">
        <v>255,127,0</v>
      </c>
      <c r="AW430" s="947">
        <v>-5.4571267998021593</v>
      </c>
      <c r="AX430" s="947">
        <v>-5.4571267998021593</v>
      </c>
      <c r="AY430" s="947">
        <v>0</v>
      </c>
    </row>
    <row r="431" spans="12:51" x14ac:dyDescent="0.25">
      <c r="L431"/>
      <c r="AD431" s="166"/>
      <c r="AE431" s="75">
        <v>1.107</v>
      </c>
      <c r="AF431" s="82">
        <v>1</v>
      </c>
      <c r="AG431" s="82">
        <v>1</v>
      </c>
      <c r="AH431" s="82">
        <v>1</v>
      </c>
      <c r="AI431" s="82">
        <v>1.9999999999890861</v>
      </c>
      <c r="AJ431" s="166">
        <v>1.1071199999999999</v>
      </c>
      <c r="AK431" s="82" t="str">
        <v>Base</v>
      </c>
      <c r="AL431" s="162">
        <v>-9</v>
      </c>
      <c r="AM431" s="162">
        <v>-1.8451111286626787</v>
      </c>
      <c r="AN431" s="162">
        <v>-0.37659789570425356</v>
      </c>
      <c r="AO431" s="162">
        <v>-12.188363844259069</v>
      </c>
      <c r="AP431" s="162">
        <v>-15.1154526663362</v>
      </c>
      <c r="AQ431" s="162">
        <v>0</v>
      </c>
      <c r="AR431" s="710" t="str">
        <v>1613 Ripper.par</v>
      </c>
      <c r="AV431" s="82" t="str">
        <v>255,127,0</v>
      </c>
      <c r="AW431" s="947">
        <v>-12.188363844259069</v>
      </c>
      <c r="AX431" s="947">
        <v>-12.188363844259069</v>
      </c>
      <c r="AY431" s="947">
        <v>0</v>
      </c>
    </row>
    <row r="432" spans="12:51" x14ac:dyDescent="0.25">
      <c r="L432"/>
      <c r="AD432" s="166"/>
      <c r="AE432" s="75">
        <v>1.1040000000000001</v>
      </c>
      <c r="AF432" s="82">
        <v>1</v>
      </c>
      <c r="AG432" s="82">
        <v>1</v>
      </c>
      <c r="AH432" s="82">
        <v>1</v>
      </c>
      <c r="AI432" s="82">
        <v>2.000000000007276</v>
      </c>
      <c r="AJ432" s="166">
        <v>1.10412</v>
      </c>
      <c r="AK432" s="82" t="str">
        <v>Base</v>
      </c>
      <c r="AL432" s="162">
        <v>-9</v>
      </c>
      <c r="AM432" s="162">
        <v>-1.117872544258617</v>
      </c>
      <c r="AN432" s="162">
        <v>-0.57139065402951617</v>
      </c>
      <c r="AO432" s="162">
        <v>-13.592723484172373</v>
      </c>
      <c r="AP432" s="162">
        <v>-15.202531777354526</v>
      </c>
      <c r="AQ432" s="162">
        <v>0</v>
      </c>
      <c r="AR432" s="710" t="str">
        <v>1613 Ripper.par</v>
      </c>
      <c r="AV432" s="82" t="str">
        <v>255,127,0</v>
      </c>
      <c r="AW432" s="947">
        <v>-13.592723484172373</v>
      </c>
      <c r="AX432" s="947">
        <v>-13.592723484172373</v>
      </c>
      <c r="AY432" s="947">
        <v>0</v>
      </c>
    </row>
    <row r="433" spans="12:51" x14ac:dyDescent="0.25">
      <c r="L433"/>
      <c r="AD433" s="166"/>
      <c r="AE433" s="75">
        <v>1.101</v>
      </c>
      <c r="AF433" s="82">
        <v>1</v>
      </c>
      <c r="AG433" s="82">
        <v>1</v>
      </c>
      <c r="AH433" s="82">
        <v>1</v>
      </c>
      <c r="AI433" s="82">
        <v>1.9999999999890861</v>
      </c>
      <c r="AJ433" s="166">
        <v>1.1011199999999999</v>
      </c>
      <c r="AK433" s="82" t="str">
        <v>Base</v>
      </c>
      <c r="AL433" s="162">
        <v>-9</v>
      </c>
      <c r="AM433" s="162">
        <v>-0.34590084040938435</v>
      </c>
      <c r="AN433" s="162">
        <v>-0.77944053768466981</v>
      </c>
      <c r="AO433" s="162">
        <v>-18.141294048916745</v>
      </c>
      <c r="AP433" s="162">
        <v>-20.759298132405352</v>
      </c>
      <c r="AQ433" s="162">
        <v>0</v>
      </c>
      <c r="AR433" s="710" t="str">
        <v>1613.par</v>
      </c>
      <c r="AV433" s="82" t="str">
        <v>255,127,0</v>
      </c>
      <c r="AW433" s="947">
        <v>-18.141294048916745</v>
      </c>
      <c r="AX433" s="947">
        <v>-18.141294048916745</v>
      </c>
      <c r="AY433" s="947">
        <v>0</v>
      </c>
    </row>
    <row r="434" spans="12:51" x14ac:dyDescent="0.25">
      <c r="L434"/>
      <c r="AD434" s="166"/>
      <c r="AE434" s="75">
        <v>6.2539999999999996</v>
      </c>
      <c r="AF434" s="82">
        <v>6</v>
      </c>
      <c r="AG434" s="82">
        <v>2</v>
      </c>
      <c r="AH434" s="82">
        <v>2</v>
      </c>
      <c r="AI434" s="82">
        <v>1.9999999998981366</v>
      </c>
      <c r="AJ434" s="166">
        <v>6.2542199999999992</v>
      </c>
      <c r="AK434" s="82">
        <v>6.2541199999999995</v>
      </c>
      <c r="AL434" s="162">
        <v>0</v>
      </c>
      <c r="AM434" s="162">
        <v>0</v>
      </c>
      <c r="AN434" s="162">
        <v>0</v>
      </c>
      <c r="AO434" s="162">
        <v>0</v>
      </c>
      <c r="AP434" s="162">
        <v>0</v>
      </c>
      <c r="AQ434" s="162">
        <v>0</v>
      </c>
      <c r="AR434" s="710" t="str">
        <v>1313.par</v>
      </c>
      <c r="AV434" s="82" t="str">
        <v>188,121,255</v>
      </c>
      <c r="AW434" s="947">
        <v>100.03561890671624</v>
      </c>
      <c r="AX434" s="947">
        <v>100.03561890671624</v>
      </c>
      <c r="AY434" s="947">
        <v>0</v>
      </c>
    </row>
    <row r="435" spans="12:51" x14ac:dyDescent="0.25">
      <c r="L435"/>
      <c r="AD435" s="166"/>
      <c r="AE435" s="75">
        <v>6.2480000000000002</v>
      </c>
      <c r="AF435" s="82">
        <v>6</v>
      </c>
      <c r="AG435" s="82">
        <v>2</v>
      </c>
      <c r="AH435" s="82">
        <v>2</v>
      </c>
      <c r="AI435" s="82">
        <v>1.9999999999708962</v>
      </c>
      <c r="AJ435" s="166">
        <v>6.2482199999999999</v>
      </c>
      <c r="AK435" s="82">
        <v>6.2481200000000001</v>
      </c>
      <c r="AL435" s="162">
        <v>0</v>
      </c>
      <c r="AM435" s="162">
        <v>0</v>
      </c>
      <c r="AN435" s="162">
        <v>0</v>
      </c>
      <c r="AO435" s="162">
        <v>0</v>
      </c>
      <c r="AP435" s="162">
        <v>0</v>
      </c>
      <c r="AQ435" s="162">
        <v>0</v>
      </c>
      <c r="AR435" s="710" t="str">
        <v>32193r1.par</v>
      </c>
      <c r="AV435" s="82" t="str">
        <v>188,121,255</v>
      </c>
      <c r="AW435" s="947">
        <v>89.999987005609597</v>
      </c>
      <c r="AX435" s="947">
        <v>89.999987005609597</v>
      </c>
      <c r="AY435" s="947">
        <v>0</v>
      </c>
    </row>
    <row r="436" spans="12:51" x14ac:dyDescent="0.25">
      <c r="L436"/>
      <c r="AD436" s="166"/>
      <c r="AE436" s="75">
        <v>6.242</v>
      </c>
      <c r="AF436" s="82">
        <v>6</v>
      </c>
      <c r="AG436" s="82">
        <v>2</v>
      </c>
      <c r="AH436" s="82">
        <v>2</v>
      </c>
      <c r="AI436" s="82">
        <v>1.9999999999708962</v>
      </c>
      <c r="AJ436" s="166">
        <v>6.2422199999999997</v>
      </c>
      <c r="AK436" s="82">
        <v>6.2421199999999999</v>
      </c>
      <c r="AL436" s="162">
        <v>0</v>
      </c>
      <c r="AM436" s="162">
        <v>0</v>
      </c>
      <c r="AN436" s="162">
        <v>0</v>
      </c>
      <c r="AO436" s="162">
        <v>0</v>
      </c>
      <c r="AP436" s="162">
        <v>0</v>
      </c>
      <c r="AQ436" s="162">
        <v>0</v>
      </c>
      <c r="AR436" s="710" t="str">
        <v>32193r1.par</v>
      </c>
      <c r="AV436" s="82" t="str">
        <v>188,121,255</v>
      </c>
      <c r="AW436" s="947">
        <v>89.999987005609626</v>
      </c>
      <c r="AX436" s="947">
        <v>89.999987005609626</v>
      </c>
      <c r="AY436" s="947">
        <v>0</v>
      </c>
    </row>
    <row r="437" spans="12:51" x14ac:dyDescent="0.25">
      <c r="L437"/>
      <c r="AD437" s="166"/>
      <c r="AE437" s="75">
        <v>6.2359999999999998</v>
      </c>
      <c r="AF437" s="82">
        <v>6</v>
      </c>
      <c r="AG437" s="82">
        <v>2</v>
      </c>
      <c r="AH437" s="82">
        <v>2</v>
      </c>
      <c r="AI437" s="82">
        <v>1.9999999999708962</v>
      </c>
      <c r="AJ437" s="166">
        <v>6.2362199999999994</v>
      </c>
      <c r="AK437" s="82">
        <v>6.2361199999999997</v>
      </c>
      <c r="AL437" s="162">
        <v>0</v>
      </c>
      <c r="AM437" s="162">
        <v>0</v>
      </c>
      <c r="AN437" s="162">
        <v>0</v>
      </c>
      <c r="AO437" s="162">
        <v>0</v>
      </c>
      <c r="AP437" s="162">
        <v>0</v>
      </c>
      <c r="AQ437" s="162">
        <v>0</v>
      </c>
      <c r="AR437" s="710" t="str">
        <v>32193r1.par</v>
      </c>
      <c r="AV437" s="82" t="str">
        <v>188,121,255</v>
      </c>
      <c r="AW437" s="947">
        <v>75.999989026959227</v>
      </c>
      <c r="AX437" s="947">
        <v>75.999989026959227</v>
      </c>
      <c r="AY437" s="947">
        <v>0</v>
      </c>
    </row>
    <row r="438" spans="12:51" x14ac:dyDescent="0.25">
      <c r="L438"/>
      <c r="AD438" s="166"/>
      <c r="AE438" s="75">
        <v>6.23</v>
      </c>
      <c r="AF438" s="82">
        <v>6</v>
      </c>
      <c r="AG438" s="82">
        <v>2</v>
      </c>
      <c r="AH438" s="82">
        <v>2</v>
      </c>
      <c r="AI438" s="82">
        <v>2.0000000000436557</v>
      </c>
      <c r="AJ438" s="166">
        <v>6.2302200000000001</v>
      </c>
      <c r="AK438" s="82">
        <v>6.2301200000000003</v>
      </c>
      <c r="AL438" s="162">
        <v>0</v>
      </c>
      <c r="AM438" s="162">
        <v>0</v>
      </c>
      <c r="AN438" s="162">
        <v>0</v>
      </c>
      <c r="AO438" s="162">
        <v>0</v>
      </c>
      <c r="AP438" s="162">
        <v>0</v>
      </c>
      <c r="AQ438" s="162">
        <v>0</v>
      </c>
      <c r="AR438" s="710" t="str">
        <v>32193r1.par</v>
      </c>
      <c r="AV438" s="82" t="str">
        <v>188,121,255</v>
      </c>
      <c r="AW438" s="947">
        <v>54.999992058983658</v>
      </c>
      <c r="AX438" s="947">
        <v>54.999992058983658</v>
      </c>
      <c r="AY438" s="947">
        <v>0</v>
      </c>
    </row>
    <row r="439" spans="12:51" x14ac:dyDescent="0.25">
      <c r="L439"/>
      <c r="AD439" s="166"/>
      <c r="AE439" s="75">
        <v>6.2240000000000002</v>
      </c>
      <c r="AF439" s="82">
        <v>6</v>
      </c>
      <c r="AG439" s="82">
        <v>2</v>
      </c>
      <c r="AH439" s="82">
        <v>2</v>
      </c>
      <c r="AI439" s="82">
        <v>1.9999999999708962</v>
      </c>
      <c r="AJ439" s="166">
        <v>6.2242199999999999</v>
      </c>
      <c r="AK439" s="82">
        <v>6.2241200000000001</v>
      </c>
      <c r="AL439" s="162">
        <v>0</v>
      </c>
      <c r="AM439" s="162">
        <v>0</v>
      </c>
      <c r="AN439" s="162">
        <v>0</v>
      </c>
      <c r="AO439" s="162">
        <v>0</v>
      </c>
      <c r="AP439" s="162">
        <v>0</v>
      </c>
      <c r="AQ439" s="162">
        <v>0</v>
      </c>
      <c r="AR439" s="710" t="str">
        <v>32193r1.par</v>
      </c>
      <c r="AV439" s="82" t="str">
        <v>188,121,255</v>
      </c>
      <c r="AW439" s="947">
        <v>33.999995091008067</v>
      </c>
      <c r="AX439" s="947">
        <v>33.999995091008067</v>
      </c>
      <c r="AY439" s="947">
        <v>0</v>
      </c>
    </row>
    <row r="440" spans="12:51" x14ac:dyDescent="0.25">
      <c r="L440"/>
      <c r="AD440" s="166"/>
      <c r="AE440" s="75">
        <v>6.218</v>
      </c>
      <c r="AF440" s="82">
        <v>6</v>
      </c>
      <c r="AG440" s="82">
        <v>2</v>
      </c>
      <c r="AH440" s="82">
        <v>2</v>
      </c>
      <c r="AI440" s="82">
        <v>1.9999999999708962</v>
      </c>
      <c r="AJ440" s="166">
        <v>6.2182199999999996</v>
      </c>
      <c r="AK440" s="82">
        <v>6.2181199999999999</v>
      </c>
      <c r="AL440" s="162">
        <v>0</v>
      </c>
      <c r="AM440" s="162">
        <v>0</v>
      </c>
      <c r="AN440" s="162">
        <v>0</v>
      </c>
      <c r="AO440" s="162">
        <v>0</v>
      </c>
      <c r="AP440" s="162">
        <v>0</v>
      </c>
      <c r="AQ440" s="162">
        <v>0</v>
      </c>
      <c r="AR440" s="710" t="str">
        <v>32193r1.par</v>
      </c>
      <c r="AV440" s="82" t="str">
        <v>188,121,255</v>
      </c>
      <c r="AW440" s="947">
        <v>12.999998123032499</v>
      </c>
      <c r="AX440" s="947">
        <v>12.999998123032499</v>
      </c>
      <c r="AY440" s="947">
        <v>0</v>
      </c>
    </row>
    <row r="441" spans="12:51" x14ac:dyDescent="0.25">
      <c r="L441"/>
      <c r="AD441" s="166"/>
      <c r="AE441" s="75">
        <v>6.1479999999999997</v>
      </c>
      <c r="AF441" s="82">
        <v>6</v>
      </c>
      <c r="AG441" s="82">
        <v>1</v>
      </c>
      <c r="AH441" s="82">
        <v>2</v>
      </c>
      <c r="AI441" s="82">
        <v>1.9999999999708962</v>
      </c>
      <c r="AJ441" s="166">
        <v>6.1482199999999994</v>
      </c>
      <c r="AK441" s="82">
        <v>6.1481199999999996</v>
      </c>
      <c r="AL441" s="162">
        <v>0</v>
      </c>
      <c r="AM441" s="162">
        <v>0</v>
      </c>
      <c r="AN441" s="162">
        <v>0</v>
      </c>
      <c r="AO441" s="162">
        <v>0</v>
      </c>
      <c r="AP441" s="162">
        <v>0</v>
      </c>
      <c r="AQ441" s="162">
        <v>0</v>
      </c>
      <c r="AR441" s="710" t="str">
        <v>1613.par</v>
      </c>
      <c r="AV441" s="82" t="str">
        <v>127,0,255</v>
      </c>
      <c r="AW441" s="947">
        <v>84.970117416838406</v>
      </c>
      <c r="AX441" s="947">
        <v>84.970117416838406</v>
      </c>
      <c r="AY441" s="947">
        <v>0</v>
      </c>
    </row>
    <row r="442" spans="12:51" x14ac:dyDescent="0.25">
      <c r="L442"/>
      <c r="AD442" s="166"/>
      <c r="AE442" s="75">
        <v>6.1420000000000003</v>
      </c>
      <c r="AF442" s="82">
        <v>6</v>
      </c>
      <c r="AG442" s="82">
        <v>1</v>
      </c>
      <c r="AH442" s="82">
        <v>2</v>
      </c>
      <c r="AI442" s="82">
        <v>1.9999999999708962</v>
      </c>
      <c r="AJ442" s="166">
        <v>6.14222</v>
      </c>
      <c r="AK442" s="82">
        <v>6.1421200000000002</v>
      </c>
      <c r="AL442" s="162">
        <v>0</v>
      </c>
      <c r="AM442" s="162">
        <v>0</v>
      </c>
      <c r="AN442" s="162">
        <v>0</v>
      </c>
      <c r="AO442" s="162">
        <v>0</v>
      </c>
      <c r="AP442" s="162">
        <v>0</v>
      </c>
      <c r="AQ442" s="162">
        <v>0</v>
      </c>
      <c r="AR442" s="710" t="str">
        <v>1613.par</v>
      </c>
      <c r="AV442" s="82" t="str">
        <v>127,0,255</v>
      </c>
      <c r="AW442" s="947">
        <v>84.96994937215598</v>
      </c>
      <c r="AX442" s="947">
        <v>84.96994937215598</v>
      </c>
      <c r="AY442" s="947">
        <v>0</v>
      </c>
    </row>
    <row r="443" spans="12:51" x14ac:dyDescent="0.25">
      <c r="L443"/>
      <c r="AD443" s="166"/>
      <c r="AE443" s="75">
        <v>6.1360000000000001</v>
      </c>
      <c r="AF443" s="82">
        <v>6</v>
      </c>
      <c r="AG443" s="82">
        <v>1</v>
      </c>
      <c r="AH443" s="82">
        <v>2</v>
      </c>
      <c r="AI443" s="82">
        <v>1.9999999999708962</v>
      </c>
      <c r="AJ443" s="166">
        <v>6.1362199999999998</v>
      </c>
      <c r="AK443" s="82">
        <v>6.13612</v>
      </c>
      <c r="AL443" s="162">
        <v>0</v>
      </c>
      <c r="AM443" s="162">
        <v>0</v>
      </c>
      <c r="AN443" s="162">
        <v>0</v>
      </c>
      <c r="AO443" s="162">
        <v>0</v>
      </c>
      <c r="AP443" s="162">
        <v>0</v>
      </c>
      <c r="AQ443" s="162">
        <v>0</v>
      </c>
      <c r="AR443" s="710" t="str">
        <v>1613.par</v>
      </c>
      <c r="AV443" s="82" t="str">
        <v>127,0,255</v>
      </c>
      <c r="AW443" s="947">
        <v>72.623499997444313</v>
      </c>
      <c r="AX443" s="947">
        <v>72.623499997444313</v>
      </c>
      <c r="AY443" s="947">
        <v>0</v>
      </c>
    </row>
    <row r="444" spans="12:51" x14ac:dyDescent="0.25">
      <c r="L444"/>
      <c r="AD444" s="166"/>
      <c r="AE444" s="75">
        <v>6.13</v>
      </c>
      <c r="AF444" s="82">
        <v>6</v>
      </c>
      <c r="AG444" s="82">
        <v>1</v>
      </c>
      <c r="AH444" s="82">
        <v>2</v>
      </c>
      <c r="AI444" s="82">
        <v>1.9999999999708962</v>
      </c>
      <c r="AJ444" s="166">
        <v>6.1302199999999996</v>
      </c>
      <c r="AK444" s="82">
        <v>6.1301199999999998</v>
      </c>
      <c r="AL444" s="162">
        <v>0</v>
      </c>
      <c r="AM444" s="162">
        <v>0</v>
      </c>
      <c r="AN444" s="162">
        <v>0</v>
      </c>
      <c r="AO444" s="162">
        <v>0</v>
      </c>
      <c r="AP444" s="162">
        <v>0</v>
      </c>
      <c r="AQ444" s="162">
        <v>0</v>
      </c>
      <c r="AR444" s="710" t="str">
        <v>1613.par</v>
      </c>
      <c r="AV444" s="82" t="str">
        <v>127,0,255</v>
      </c>
      <c r="AW444" s="947">
        <v>54.048010045486649</v>
      </c>
      <c r="AX444" s="947">
        <v>54.048010045486649</v>
      </c>
      <c r="AY444" s="947">
        <v>0</v>
      </c>
    </row>
    <row r="445" spans="12:51" x14ac:dyDescent="0.25">
      <c r="L445"/>
      <c r="AD445" s="166"/>
      <c r="AE445" s="75">
        <v>6.1239999999999997</v>
      </c>
      <c r="AF445" s="82">
        <v>6</v>
      </c>
      <c r="AG445" s="82">
        <v>1</v>
      </c>
      <c r="AH445" s="82">
        <v>2</v>
      </c>
      <c r="AI445" s="82">
        <v>1.9999999998981366</v>
      </c>
      <c r="AJ445" s="166">
        <v>6.1242199999999993</v>
      </c>
      <c r="AK445" s="82">
        <v>6.1241199999999996</v>
      </c>
      <c r="AL445" s="162">
        <v>0</v>
      </c>
      <c r="AM445" s="162">
        <v>0</v>
      </c>
      <c r="AN445" s="162">
        <v>0</v>
      </c>
      <c r="AO445" s="162">
        <v>0</v>
      </c>
      <c r="AP445" s="162">
        <v>0</v>
      </c>
      <c r="AQ445" s="162">
        <v>0</v>
      </c>
      <c r="AR445" s="710" t="str">
        <v>1613.par</v>
      </c>
      <c r="AV445" s="82" t="str">
        <v>127,0,255</v>
      </c>
      <c r="AW445" s="947">
        <v>35.360276952469491</v>
      </c>
      <c r="AX445" s="947">
        <v>35.360276952469491</v>
      </c>
      <c r="AY445" s="947">
        <v>0</v>
      </c>
    </row>
    <row r="446" spans="12:51" x14ac:dyDescent="0.25">
      <c r="L446"/>
      <c r="AD446" s="166"/>
      <c r="AE446" s="75">
        <v>6.1180000000000003</v>
      </c>
      <c r="AF446" s="82">
        <v>6</v>
      </c>
      <c r="AG446" s="82">
        <v>1</v>
      </c>
      <c r="AH446" s="82">
        <v>2</v>
      </c>
      <c r="AI446" s="82">
        <v>1.9999999999708962</v>
      </c>
      <c r="AJ446" s="166">
        <v>6.11822</v>
      </c>
      <c r="AK446" s="82">
        <v>6.1181200000000002</v>
      </c>
      <c r="AL446" s="162">
        <v>0</v>
      </c>
      <c r="AM446" s="162">
        <v>0</v>
      </c>
      <c r="AN446" s="162">
        <v>0</v>
      </c>
      <c r="AO446" s="162">
        <v>0</v>
      </c>
      <c r="AP446" s="162">
        <v>0</v>
      </c>
      <c r="AQ446" s="162">
        <v>0</v>
      </c>
      <c r="AR446" s="710" t="str">
        <v>1613 Ripper.par</v>
      </c>
      <c r="AV446" s="82" t="str">
        <v>127,0,255</v>
      </c>
      <c r="AW446" s="947">
        <v>16.504059297615232</v>
      </c>
      <c r="AX446" s="947">
        <v>16.504059297615232</v>
      </c>
      <c r="AY446" s="947">
        <v>0</v>
      </c>
    </row>
    <row r="447" spans="12:51" x14ac:dyDescent="0.25">
      <c r="L447"/>
      <c r="AD447" s="166"/>
      <c r="AE447" s="75">
        <v>6.1120000000000001</v>
      </c>
      <c r="AF447" s="82">
        <v>6</v>
      </c>
      <c r="AG447" s="82">
        <v>1</v>
      </c>
      <c r="AH447" s="82">
        <v>2</v>
      </c>
      <c r="AI447" s="82">
        <v>1.9999999999708962</v>
      </c>
      <c r="AJ447" s="166">
        <v>6.1122199999999998</v>
      </c>
      <c r="AK447" s="82">
        <v>6.11212</v>
      </c>
      <c r="AL447" s="162">
        <v>0</v>
      </c>
      <c r="AM447" s="162">
        <v>0</v>
      </c>
      <c r="AN447" s="162">
        <v>0</v>
      </c>
      <c r="AO447" s="162">
        <v>0</v>
      </c>
      <c r="AP447" s="162">
        <v>0</v>
      </c>
      <c r="AQ447" s="162">
        <v>0</v>
      </c>
      <c r="AR447" s="710" t="str">
        <v>1613 Ripper.par</v>
      </c>
      <c r="AV447" s="82" t="str">
        <v>127,0,255</v>
      </c>
      <c r="AW447" s="947">
        <v>-2.3119637600075813</v>
      </c>
      <c r="AX447" s="947">
        <v>-2.3119637600075813</v>
      </c>
      <c r="AY447" s="947">
        <v>0</v>
      </c>
    </row>
    <row r="448" spans="12:51" x14ac:dyDescent="0.25">
      <c r="L448"/>
      <c r="AD448" s="166"/>
      <c r="AE448" s="75">
        <v>5.2549999999999999</v>
      </c>
      <c r="AF448" s="82">
        <v>5</v>
      </c>
      <c r="AG448" s="82">
        <v>2</v>
      </c>
      <c r="AH448" s="82">
        <v>2</v>
      </c>
      <c r="AI448" s="82">
        <v>1.9999999999708962</v>
      </c>
      <c r="AJ448" s="166">
        <v>5.2552199999999996</v>
      </c>
      <c r="AK448" s="82">
        <v>5.2551199999999998</v>
      </c>
      <c r="AL448" s="162">
        <v>0</v>
      </c>
      <c r="AM448" s="162">
        <v>0</v>
      </c>
      <c r="AN448" s="162">
        <v>0</v>
      </c>
      <c r="AO448" s="162">
        <v>0</v>
      </c>
      <c r="AP448" s="162">
        <v>0</v>
      </c>
      <c r="AQ448" s="162">
        <v>0</v>
      </c>
      <c r="AR448" s="710" t="str">
        <v>1313.par</v>
      </c>
      <c r="AV448" s="82" t="str">
        <v>121,188,255</v>
      </c>
      <c r="AW448" s="947">
        <v>100.03561890671617</v>
      </c>
      <c r="AX448" s="947">
        <v>100.03561890671617</v>
      </c>
      <c r="AY448" s="947">
        <v>0</v>
      </c>
    </row>
    <row r="449" spans="12:51" x14ac:dyDescent="0.25">
      <c r="L449"/>
      <c r="AD449" s="166"/>
      <c r="AE449" s="75">
        <v>5.2489999999999997</v>
      </c>
      <c r="AF449" s="82">
        <v>5</v>
      </c>
      <c r="AG449" s="82">
        <v>2</v>
      </c>
      <c r="AH449" s="82">
        <v>2</v>
      </c>
      <c r="AI449" s="82">
        <v>1.9999999998981366</v>
      </c>
      <c r="AJ449" s="166">
        <v>5.2492199999999993</v>
      </c>
      <c r="AK449" s="82">
        <v>5.2491199999999996</v>
      </c>
      <c r="AL449" s="162">
        <v>0</v>
      </c>
      <c r="AM449" s="162">
        <v>0</v>
      </c>
      <c r="AN449" s="162">
        <v>0</v>
      </c>
      <c r="AO449" s="162">
        <v>0</v>
      </c>
      <c r="AP449" s="162">
        <v>0</v>
      </c>
      <c r="AQ449" s="162">
        <v>0</v>
      </c>
      <c r="AR449" s="710" t="str">
        <v>32193r1.par</v>
      </c>
      <c r="AV449" s="82" t="str">
        <v>121,188,255</v>
      </c>
      <c r="AW449" s="947">
        <v>89.999987005609597</v>
      </c>
      <c r="AX449" s="947">
        <v>89.999987005609597</v>
      </c>
      <c r="AY449" s="947">
        <v>0</v>
      </c>
    </row>
    <row r="450" spans="12:51" x14ac:dyDescent="0.25">
      <c r="L450"/>
      <c r="AD450" s="166"/>
      <c r="AE450" s="75">
        <v>5.2430000000000003</v>
      </c>
      <c r="AF450" s="82">
        <v>5</v>
      </c>
      <c r="AG450" s="82">
        <v>2</v>
      </c>
      <c r="AH450" s="82">
        <v>2</v>
      </c>
      <c r="AI450" s="82">
        <v>1.9999999999708962</v>
      </c>
      <c r="AJ450" s="166">
        <v>5.24322</v>
      </c>
      <c r="AK450" s="82">
        <v>5.2431200000000002</v>
      </c>
      <c r="AL450" s="162">
        <v>0</v>
      </c>
      <c r="AM450" s="162">
        <v>0</v>
      </c>
      <c r="AN450" s="162">
        <v>0</v>
      </c>
      <c r="AO450" s="162">
        <v>0</v>
      </c>
      <c r="AP450" s="162">
        <v>0</v>
      </c>
      <c r="AQ450" s="162">
        <v>0</v>
      </c>
      <c r="AR450" s="710" t="str">
        <v>32193r1.par</v>
      </c>
      <c r="AV450" s="82" t="str">
        <v>121,188,255</v>
      </c>
      <c r="AW450" s="947">
        <v>89.999987005609597</v>
      </c>
      <c r="AX450" s="947">
        <v>89.999987005609597</v>
      </c>
      <c r="AY450" s="947">
        <v>0</v>
      </c>
    </row>
    <row r="451" spans="12:51" x14ac:dyDescent="0.25">
      <c r="L451"/>
      <c r="AD451" s="166"/>
      <c r="AE451" s="75">
        <v>5.2370000000000001</v>
      </c>
      <c r="AF451" s="82">
        <v>5</v>
      </c>
      <c r="AG451" s="82">
        <v>2</v>
      </c>
      <c r="AH451" s="82">
        <v>2</v>
      </c>
      <c r="AI451" s="82">
        <v>1.9999999999708962</v>
      </c>
      <c r="AJ451" s="166">
        <v>5.2372199999999998</v>
      </c>
      <c r="AK451" s="82">
        <v>5.23712</v>
      </c>
      <c r="AL451" s="162">
        <v>0</v>
      </c>
      <c r="AM451" s="162">
        <v>0</v>
      </c>
      <c r="AN451" s="162">
        <v>0</v>
      </c>
      <c r="AO451" s="162">
        <v>0</v>
      </c>
      <c r="AP451" s="162">
        <v>0</v>
      </c>
      <c r="AQ451" s="162">
        <v>0</v>
      </c>
      <c r="AR451" s="710" t="str">
        <v>1313.par</v>
      </c>
      <c r="AV451" s="82" t="str">
        <v>121,188,255</v>
      </c>
      <c r="AW451" s="947">
        <v>75.733702256223253</v>
      </c>
      <c r="AX451" s="947">
        <v>75.733702256223253</v>
      </c>
      <c r="AY451" s="947">
        <v>0</v>
      </c>
    </row>
    <row r="452" spans="12:51" x14ac:dyDescent="0.25">
      <c r="L452"/>
      <c r="AD452" s="166"/>
      <c r="AE452" s="75">
        <v>5.2309999999999999</v>
      </c>
      <c r="AF452" s="82">
        <v>5</v>
      </c>
      <c r="AG452" s="82">
        <v>2</v>
      </c>
      <c r="AH452" s="82">
        <v>2</v>
      </c>
      <c r="AI452" s="82">
        <v>1.9999999999708962</v>
      </c>
      <c r="AJ452" s="166">
        <v>5.2312199999999995</v>
      </c>
      <c r="AK452" s="82">
        <v>5.2311199999999998</v>
      </c>
      <c r="AL452" s="162">
        <v>0</v>
      </c>
      <c r="AM452" s="162">
        <v>0</v>
      </c>
      <c r="AN452" s="162">
        <v>0</v>
      </c>
      <c r="AO452" s="162">
        <v>0</v>
      </c>
      <c r="AP452" s="162">
        <v>0</v>
      </c>
      <c r="AQ452" s="162">
        <v>0</v>
      </c>
      <c r="AR452" s="710" t="str">
        <v>1313.par</v>
      </c>
      <c r="AV452" s="82" t="str">
        <v>121,188,255</v>
      </c>
      <c r="AW452" s="947">
        <v>57.213428741154814</v>
      </c>
      <c r="AX452" s="947">
        <v>57.213428741154814</v>
      </c>
      <c r="AY452" s="947">
        <v>0</v>
      </c>
    </row>
    <row r="453" spans="12:51" x14ac:dyDescent="0.25">
      <c r="L453"/>
      <c r="AD453" s="166"/>
      <c r="AE453" s="75">
        <v>5.2249999999999996</v>
      </c>
      <c r="AF453" s="82">
        <v>5</v>
      </c>
      <c r="AG453" s="82">
        <v>2</v>
      </c>
      <c r="AH453" s="82">
        <v>2</v>
      </c>
      <c r="AI453" s="82">
        <v>1.9999999998981366</v>
      </c>
      <c r="AJ453" s="166">
        <v>5.2252199999999993</v>
      </c>
      <c r="AK453" s="82">
        <v>5.2251199999999995</v>
      </c>
      <c r="AL453" s="162">
        <v>0</v>
      </c>
      <c r="AM453" s="162">
        <v>0</v>
      </c>
      <c r="AN453" s="162">
        <v>0</v>
      </c>
      <c r="AO453" s="162">
        <v>0</v>
      </c>
      <c r="AP453" s="162">
        <v>0</v>
      </c>
      <c r="AQ453" s="162">
        <v>0</v>
      </c>
      <c r="AR453" s="710" t="str">
        <v>1313.par</v>
      </c>
      <c r="AV453" s="82" t="str">
        <v>121,188,255</v>
      </c>
      <c r="AW453" s="947">
        <v>38.623227592362632</v>
      </c>
      <c r="AX453" s="947">
        <v>38.623227592362632</v>
      </c>
      <c r="AY453" s="947">
        <v>0</v>
      </c>
    </row>
    <row r="454" spans="12:51" x14ac:dyDescent="0.25">
      <c r="L454"/>
      <c r="AD454" s="166"/>
      <c r="AE454" s="75">
        <v>5.2190000000000003</v>
      </c>
      <c r="AF454" s="82">
        <v>5</v>
      </c>
      <c r="AG454" s="82">
        <v>2</v>
      </c>
      <c r="AH454" s="82">
        <v>2</v>
      </c>
      <c r="AI454" s="82">
        <v>1.9999999999708962</v>
      </c>
      <c r="AJ454" s="166">
        <v>5.21922</v>
      </c>
      <c r="AK454" s="82">
        <v>5.2191200000000002</v>
      </c>
      <c r="AL454" s="162">
        <v>0</v>
      </c>
      <c r="AM454" s="162">
        <v>0</v>
      </c>
      <c r="AN454" s="162">
        <v>0</v>
      </c>
      <c r="AO454" s="162">
        <v>0</v>
      </c>
      <c r="AP454" s="162">
        <v>0</v>
      </c>
      <c r="AQ454" s="162">
        <v>0</v>
      </c>
      <c r="AR454" s="710" t="str">
        <v>32193r1.par</v>
      </c>
      <c r="AV454" s="82" t="str">
        <v>121,188,255</v>
      </c>
      <c r="AW454" s="947">
        <v>12.999998123032507</v>
      </c>
      <c r="AX454" s="947">
        <v>12.999998123032507</v>
      </c>
      <c r="AY454" s="947">
        <v>0</v>
      </c>
    </row>
    <row r="455" spans="12:51" x14ac:dyDescent="0.25">
      <c r="L455"/>
      <c r="AD455" s="166"/>
      <c r="AE455" s="75">
        <v>5.149</v>
      </c>
      <c r="AF455" s="82">
        <v>5</v>
      </c>
      <c r="AG455" s="82">
        <v>1</v>
      </c>
      <c r="AH455" s="82">
        <v>2</v>
      </c>
      <c r="AI455" s="82">
        <v>1.9999999999708962</v>
      </c>
      <c r="AJ455" s="166">
        <v>5.1492199999999997</v>
      </c>
      <c r="AK455" s="82">
        <v>5.1491199999999999</v>
      </c>
      <c r="AL455" s="162">
        <v>0</v>
      </c>
      <c r="AM455" s="162">
        <v>0</v>
      </c>
      <c r="AN455" s="162">
        <v>0</v>
      </c>
      <c r="AO455" s="162">
        <v>0</v>
      </c>
      <c r="AP455" s="162">
        <v>0</v>
      </c>
      <c r="AQ455" s="162">
        <v>0</v>
      </c>
      <c r="AR455" s="710" t="str">
        <v>1613.par</v>
      </c>
      <c r="AV455" s="82" t="str">
        <v>0,102,204</v>
      </c>
      <c r="AW455" s="947">
        <v>84.97011741683842</v>
      </c>
      <c r="AX455" s="947">
        <v>84.97011741683842</v>
      </c>
      <c r="AY455" s="947">
        <v>0</v>
      </c>
    </row>
    <row r="456" spans="12:51" x14ac:dyDescent="0.25">
      <c r="L456"/>
      <c r="AD456" s="166"/>
      <c r="AE456" s="75">
        <v>5.1429999999999998</v>
      </c>
      <c r="AF456" s="82">
        <v>5</v>
      </c>
      <c r="AG456" s="82">
        <v>1</v>
      </c>
      <c r="AH456" s="82">
        <v>2</v>
      </c>
      <c r="AI456" s="82">
        <v>1.9999999999708962</v>
      </c>
      <c r="AJ456" s="166">
        <v>5.1432199999999995</v>
      </c>
      <c r="AK456" s="82">
        <v>5.1431199999999997</v>
      </c>
      <c r="AL456" s="162">
        <v>0</v>
      </c>
      <c r="AM456" s="162">
        <v>0</v>
      </c>
      <c r="AN456" s="162">
        <v>0</v>
      </c>
      <c r="AO456" s="162">
        <v>0</v>
      </c>
      <c r="AP456" s="162">
        <v>0</v>
      </c>
      <c r="AQ456" s="162">
        <v>0</v>
      </c>
      <c r="AR456" s="710" t="str">
        <v>1613.par</v>
      </c>
      <c r="AV456" s="82" t="str">
        <v>0,102,204</v>
      </c>
      <c r="AW456" s="947">
        <v>84.969949372155952</v>
      </c>
      <c r="AX456" s="947">
        <v>84.969949372155952</v>
      </c>
      <c r="AY456" s="947">
        <v>0</v>
      </c>
    </row>
    <row r="457" spans="12:51" x14ac:dyDescent="0.25">
      <c r="L457"/>
      <c r="AD457" s="166"/>
      <c r="AE457" s="75">
        <v>5.1369999999999996</v>
      </c>
      <c r="AF457" s="82">
        <v>5</v>
      </c>
      <c r="AG457" s="82">
        <v>1</v>
      </c>
      <c r="AH457" s="82">
        <v>2</v>
      </c>
      <c r="AI457" s="82">
        <v>1.9999999998981366</v>
      </c>
      <c r="AJ457" s="166">
        <v>5.1372199999999992</v>
      </c>
      <c r="AK457" s="82">
        <v>5.1371199999999995</v>
      </c>
      <c r="AL457" s="162">
        <v>0</v>
      </c>
      <c r="AM457" s="162">
        <v>0</v>
      </c>
      <c r="AN457" s="162">
        <v>0</v>
      </c>
      <c r="AO457" s="162">
        <v>0</v>
      </c>
      <c r="AP457" s="162">
        <v>0</v>
      </c>
      <c r="AQ457" s="162">
        <v>0</v>
      </c>
      <c r="AR457" s="710" t="str">
        <v>1613.par</v>
      </c>
      <c r="AV457" s="82" t="str">
        <v>0,102,204</v>
      </c>
      <c r="AW457" s="947">
        <v>75.712346529077777</v>
      </c>
      <c r="AX457" s="947">
        <v>75.712346529077777</v>
      </c>
      <c r="AY457" s="947">
        <v>0</v>
      </c>
    </row>
    <row r="458" spans="12:51" x14ac:dyDescent="0.25">
      <c r="L458"/>
      <c r="AE458" s="75">
        <v>5.1310000000000002</v>
      </c>
      <c r="AF458" s="82">
        <v>5</v>
      </c>
      <c r="AG458" s="82">
        <v>1</v>
      </c>
      <c r="AH458" s="82">
        <v>2</v>
      </c>
      <c r="AI458" s="82">
        <v>1.9999999999708962</v>
      </c>
      <c r="AJ458" s="166">
        <v>5.1312199999999999</v>
      </c>
      <c r="AK458" s="82">
        <v>5.1311200000000001</v>
      </c>
      <c r="AL458" s="162">
        <v>0</v>
      </c>
      <c r="AM458" s="162">
        <v>0</v>
      </c>
      <c r="AN458" s="162">
        <v>0</v>
      </c>
      <c r="AO458" s="162">
        <v>0</v>
      </c>
      <c r="AP458" s="162">
        <v>0</v>
      </c>
      <c r="AQ458" s="162">
        <v>0</v>
      </c>
      <c r="AR458" s="710" t="str">
        <v>1613.par</v>
      </c>
      <c r="AV458" s="82" t="str">
        <v>0,102,204</v>
      </c>
      <c r="AW458" s="947">
        <v>57.149982620263913</v>
      </c>
      <c r="AX458" s="947">
        <v>57.149982620263913</v>
      </c>
      <c r="AY458" s="947">
        <v>0</v>
      </c>
    </row>
    <row r="459" spans="12:51" x14ac:dyDescent="0.25">
      <c r="L459"/>
      <c r="AE459" s="75">
        <v>5.125</v>
      </c>
      <c r="AF459" s="82">
        <v>5</v>
      </c>
      <c r="AG459" s="82">
        <v>1</v>
      </c>
      <c r="AH459" s="82">
        <v>2</v>
      </c>
      <c r="AI459" s="82">
        <v>1.9999999999708962</v>
      </c>
      <c r="AJ459" s="166">
        <v>5.1252199999999997</v>
      </c>
      <c r="AK459" s="82">
        <v>5.1251199999999999</v>
      </c>
      <c r="AL459" s="162">
        <v>0</v>
      </c>
      <c r="AM459" s="162">
        <v>0</v>
      </c>
      <c r="AN459" s="162">
        <v>0</v>
      </c>
      <c r="AO459" s="162">
        <v>0</v>
      </c>
      <c r="AP459" s="162">
        <v>0</v>
      </c>
      <c r="AQ459" s="162">
        <v>0</v>
      </c>
      <c r="AR459" s="710" t="str">
        <v>1613.par</v>
      </c>
      <c r="AV459" s="82" t="str">
        <v>0,102,204</v>
      </c>
      <c r="AW459" s="947">
        <v>38.485986851085471</v>
      </c>
      <c r="AX459" s="947">
        <v>38.485986851085471</v>
      </c>
      <c r="AY459" s="947">
        <v>0</v>
      </c>
    </row>
    <row r="460" spans="12:51" x14ac:dyDescent="0.25">
      <c r="L460"/>
      <c r="AE460" s="75">
        <v>5.1189999999999998</v>
      </c>
      <c r="AF460" s="82">
        <v>5</v>
      </c>
      <c r="AG460" s="82">
        <v>1</v>
      </c>
      <c r="AH460" s="82">
        <v>2</v>
      </c>
      <c r="AI460" s="82">
        <v>1.9999999999708962</v>
      </c>
      <c r="AJ460" s="166">
        <v>5.1192199999999994</v>
      </c>
      <c r="AK460" s="82">
        <v>5.1191199999999997</v>
      </c>
      <c r="AL460" s="162">
        <v>0</v>
      </c>
      <c r="AM460" s="162">
        <v>0</v>
      </c>
      <c r="AN460" s="162">
        <v>0</v>
      </c>
      <c r="AO460" s="162">
        <v>0</v>
      </c>
      <c r="AP460" s="162">
        <v>0</v>
      </c>
      <c r="AQ460" s="162">
        <v>0</v>
      </c>
      <c r="AR460" s="710" t="str">
        <v>1613 Ripper.par</v>
      </c>
      <c r="AV460" s="82" t="str">
        <v>0,102,204</v>
      </c>
      <c r="AW460" s="947">
        <v>19.63131247542724</v>
      </c>
      <c r="AX460" s="947">
        <v>19.63131247542724</v>
      </c>
      <c r="AY460" s="947">
        <v>0</v>
      </c>
    </row>
    <row r="461" spans="12:51" x14ac:dyDescent="0.25">
      <c r="L461"/>
      <c r="AE461" s="75">
        <v>5.1130000000000004</v>
      </c>
      <c r="AF461" s="82">
        <v>5</v>
      </c>
      <c r="AG461" s="82">
        <v>1</v>
      </c>
      <c r="AH461" s="82">
        <v>2</v>
      </c>
      <c r="AI461" s="82">
        <v>2.0000000000436557</v>
      </c>
      <c r="AJ461" s="166">
        <v>5.1132200000000001</v>
      </c>
      <c r="AK461" s="82">
        <v>5.1131200000000003</v>
      </c>
      <c r="AL461" s="162">
        <v>0</v>
      </c>
      <c r="AM461" s="162">
        <v>0</v>
      </c>
      <c r="AN461" s="162">
        <v>0</v>
      </c>
      <c r="AO461" s="162">
        <v>0</v>
      </c>
      <c r="AP461" s="162">
        <v>0</v>
      </c>
      <c r="AQ461" s="162">
        <v>0</v>
      </c>
      <c r="AR461" s="710" t="str">
        <v>1613 Ripper.par</v>
      </c>
      <c r="AV461" s="82" t="str">
        <v>0,102,204</v>
      </c>
      <c r="AW461" s="947">
        <v>0.8306004126858153</v>
      </c>
      <c r="AX461" s="947">
        <v>0.8306004126858153</v>
      </c>
      <c r="AY461" s="947">
        <v>0</v>
      </c>
    </row>
    <row r="462" spans="12:51" x14ac:dyDescent="0.25">
      <c r="L462"/>
      <c r="AE462" s="75">
        <v>5.1079999999999997</v>
      </c>
      <c r="AF462" s="82">
        <v>5</v>
      </c>
      <c r="AG462" s="82">
        <v>1</v>
      </c>
      <c r="AH462" s="82">
        <v>2</v>
      </c>
      <c r="AI462" s="82">
        <v>1.9999999998981366</v>
      </c>
      <c r="AJ462" s="166">
        <v>5.1082199999999993</v>
      </c>
      <c r="AK462" s="82">
        <v>5.1081199999999995</v>
      </c>
      <c r="AL462" s="162">
        <v>0</v>
      </c>
      <c r="AM462" s="162">
        <v>0</v>
      </c>
      <c r="AN462" s="162">
        <v>0</v>
      </c>
      <c r="AO462" s="162">
        <v>0</v>
      </c>
      <c r="AP462" s="162">
        <v>0</v>
      </c>
      <c r="AQ462" s="162">
        <v>0</v>
      </c>
      <c r="AR462" s="710" t="str">
        <v>1613 Ripper.par</v>
      </c>
      <c r="AV462" s="82" t="str">
        <v>0,102,204</v>
      </c>
      <c r="AW462" s="947">
        <v>-11.945289726695552</v>
      </c>
      <c r="AX462" s="947">
        <v>-11.945289726695552</v>
      </c>
      <c r="AY462" s="947">
        <v>0</v>
      </c>
    </row>
    <row r="463" spans="12:51" x14ac:dyDescent="0.25">
      <c r="L463"/>
      <c r="AE463" s="75">
        <v>5.1050000000000004</v>
      </c>
      <c r="AF463" s="82">
        <v>5</v>
      </c>
      <c r="AG463" s="82">
        <v>1</v>
      </c>
      <c r="AH463" s="82">
        <v>2</v>
      </c>
      <c r="AI463" s="82">
        <v>2.0000000000436557</v>
      </c>
      <c r="AJ463" s="166">
        <v>5.1052200000000001</v>
      </c>
      <c r="AK463" s="82">
        <v>5.1051200000000003</v>
      </c>
      <c r="AL463" s="162">
        <v>0</v>
      </c>
      <c r="AM463" s="162">
        <v>0</v>
      </c>
      <c r="AN463" s="162">
        <v>0</v>
      </c>
      <c r="AO463" s="162">
        <v>0</v>
      </c>
      <c r="AP463" s="162">
        <v>0</v>
      </c>
      <c r="AQ463" s="162">
        <v>0</v>
      </c>
      <c r="AR463" s="710" t="str">
        <v>1613 Ripper.par</v>
      </c>
      <c r="AV463" s="82" t="str">
        <v>0,102,204</v>
      </c>
      <c r="AW463" s="947">
        <v>-12.949138827495569</v>
      </c>
      <c r="AX463" s="947">
        <v>-12.949138827495569</v>
      </c>
      <c r="AY463" s="947">
        <v>0</v>
      </c>
    </row>
    <row r="464" spans="12:51" x14ac:dyDescent="0.25">
      <c r="L464"/>
      <c r="AE464" s="75">
        <v>5.1020000000000003</v>
      </c>
      <c r="AF464" s="82">
        <v>5</v>
      </c>
      <c r="AG464" s="82">
        <v>1</v>
      </c>
      <c r="AH464" s="82">
        <v>2</v>
      </c>
      <c r="AI464" s="82">
        <v>1.9999999999708962</v>
      </c>
      <c r="AJ464" s="166">
        <v>5.10222</v>
      </c>
      <c r="AK464" s="82">
        <v>5.1021200000000002</v>
      </c>
      <c r="AL464" s="162">
        <v>0</v>
      </c>
      <c r="AM464" s="162">
        <v>0</v>
      </c>
      <c r="AN464" s="162">
        <v>0</v>
      </c>
      <c r="AO464" s="162">
        <v>0</v>
      </c>
      <c r="AP464" s="162">
        <v>0</v>
      </c>
      <c r="AQ464" s="162">
        <v>0</v>
      </c>
      <c r="AR464" s="710" t="str">
        <v>1613.par</v>
      </c>
      <c r="AV464" s="82" t="str">
        <v>0,102,204</v>
      </c>
      <c r="AW464" s="947">
        <v>-15.496960293563548</v>
      </c>
      <c r="AX464" s="947">
        <v>-15.496960293563548</v>
      </c>
      <c r="AY464" s="947">
        <v>0</v>
      </c>
    </row>
    <row r="465" spans="12:51" x14ac:dyDescent="0.25">
      <c r="L465"/>
      <c r="AE465" s="75">
        <v>4.25</v>
      </c>
      <c r="AF465" s="82">
        <v>4</v>
      </c>
      <c r="AG465" s="82">
        <v>2</v>
      </c>
      <c r="AH465" s="82">
        <v>2</v>
      </c>
      <c r="AI465" s="82">
        <v>1.9999999999708962</v>
      </c>
      <c r="AJ465" s="166">
        <v>4.2502199999999997</v>
      </c>
      <c r="AK465" s="82">
        <v>4.2501199999999999</v>
      </c>
      <c r="AL465" s="162">
        <v>0</v>
      </c>
      <c r="AM465" s="162">
        <v>0</v>
      </c>
      <c r="AN465" s="162">
        <v>0</v>
      </c>
      <c r="AO465" s="162">
        <v>0</v>
      </c>
      <c r="AP465" s="162">
        <v>0</v>
      </c>
      <c r="AQ465" s="162">
        <v>0</v>
      </c>
      <c r="AR465" s="710" t="str">
        <v>1313.par</v>
      </c>
      <c r="AV465" s="82" t="str">
        <v>91,255,255</v>
      </c>
      <c r="AW465" s="947">
        <v>100.03561890671628</v>
      </c>
      <c r="AX465" s="947">
        <v>100.03561890671628</v>
      </c>
      <c r="AY465" s="947">
        <v>0</v>
      </c>
    </row>
    <row r="466" spans="12:51" x14ac:dyDescent="0.25">
      <c r="L466"/>
      <c r="AE466" s="75">
        <v>4.2439999999999998</v>
      </c>
      <c r="AF466" s="82">
        <v>4</v>
      </c>
      <c r="AG466" s="82">
        <v>2</v>
      </c>
      <c r="AH466" s="82">
        <v>2</v>
      </c>
      <c r="AI466" s="82">
        <v>1.9999999999708962</v>
      </c>
      <c r="AJ466" s="166">
        <v>4.2442199999999994</v>
      </c>
      <c r="AK466" s="82">
        <v>4.2441199999999997</v>
      </c>
      <c r="AL466" s="162">
        <v>0</v>
      </c>
      <c r="AM466" s="162">
        <v>0</v>
      </c>
      <c r="AN466" s="162">
        <v>0</v>
      </c>
      <c r="AO466" s="162">
        <v>0</v>
      </c>
      <c r="AP466" s="162">
        <v>0</v>
      </c>
      <c r="AQ466" s="162">
        <v>0</v>
      </c>
      <c r="AR466" s="710" t="str">
        <v>32193r1.par</v>
      </c>
      <c r="AV466" s="82" t="str">
        <v>91,255,255</v>
      </c>
      <c r="AW466" s="947">
        <v>89.999987005609597</v>
      </c>
      <c r="AX466" s="947">
        <v>89.999987005609597</v>
      </c>
      <c r="AY466" s="947">
        <v>0</v>
      </c>
    </row>
    <row r="467" spans="12:51" x14ac:dyDescent="0.25">
      <c r="L467"/>
      <c r="AE467" s="75">
        <v>4.2380000000000004</v>
      </c>
      <c r="AF467" s="82">
        <v>4</v>
      </c>
      <c r="AG467" s="82">
        <v>2</v>
      </c>
      <c r="AH467" s="82">
        <v>2</v>
      </c>
      <c r="AI467" s="82">
        <v>2.0000000000436557</v>
      </c>
      <c r="AJ467" s="166">
        <v>4.2382200000000001</v>
      </c>
      <c r="AK467" s="82">
        <v>4.2381200000000003</v>
      </c>
      <c r="AL467" s="162">
        <v>0</v>
      </c>
      <c r="AM467" s="162">
        <v>0</v>
      </c>
      <c r="AN467" s="162">
        <v>0</v>
      </c>
      <c r="AO467" s="162">
        <v>0</v>
      </c>
      <c r="AP467" s="162">
        <v>0</v>
      </c>
      <c r="AQ467" s="162">
        <v>0</v>
      </c>
      <c r="AR467" s="710" t="str">
        <v>32193r1.par</v>
      </c>
      <c r="AV467" s="82" t="str">
        <v>91,255,255</v>
      </c>
      <c r="AW467" s="947">
        <v>82.999988016284419</v>
      </c>
      <c r="AX467" s="947">
        <v>82.999988016284419</v>
      </c>
      <c r="AY467" s="947">
        <v>0</v>
      </c>
    </row>
    <row r="468" spans="12:51" x14ac:dyDescent="0.25">
      <c r="L468"/>
      <c r="AE468" s="75">
        <v>4.2320000000000002</v>
      </c>
      <c r="AF468" s="82">
        <v>4</v>
      </c>
      <c r="AG468" s="82">
        <v>2</v>
      </c>
      <c r="AH468" s="82">
        <v>2</v>
      </c>
      <c r="AI468" s="82">
        <v>1.9999999999708962</v>
      </c>
      <c r="AJ468" s="166">
        <v>4.2322199999999999</v>
      </c>
      <c r="AK468" s="82">
        <v>4.2321200000000001</v>
      </c>
      <c r="AL468" s="162">
        <v>0</v>
      </c>
      <c r="AM468" s="162">
        <v>0</v>
      </c>
      <c r="AN468" s="162">
        <v>0</v>
      </c>
      <c r="AO468" s="162">
        <v>0</v>
      </c>
      <c r="AP468" s="162">
        <v>0</v>
      </c>
      <c r="AQ468" s="162">
        <v>0</v>
      </c>
      <c r="AR468" s="710" t="str">
        <v>32193r1.par</v>
      </c>
      <c r="AV468" s="82" t="str">
        <v>91,255,255</v>
      </c>
      <c r="AW468" s="947">
        <v>61.99999104830885</v>
      </c>
      <c r="AX468" s="947">
        <v>61.99999104830885</v>
      </c>
      <c r="AY468" s="947">
        <v>0</v>
      </c>
    </row>
    <row r="469" spans="12:51" x14ac:dyDescent="0.25">
      <c r="L469"/>
      <c r="AE469" s="75">
        <v>4.226</v>
      </c>
      <c r="AF469" s="82">
        <v>4</v>
      </c>
      <c r="AG469" s="82">
        <v>2</v>
      </c>
      <c r="AH469" s="82">
        <v>2</v>
      </c>
      <c r="AI469" s="82">
        <v>1.9999999999708962</v>
      </c>
      <c r="AJ469" s="166">
        <v>4.2262199999999996</v>
      </c>
      <c r="AK469" s="82">
        <v>4.2261199999999999</v>
      </c>
      <c r="AL469" s="162">
        <v>0</v>
      </c>
      <c r="AM469" s="162">
        <v>0</v>
      </c>
      <c r="AN469" s="162">
        <v>0</v>
      </c>
      <c r="AO469" s="162">
        <v>0</v>
      </c>
      <c r="AP469" s="162">
        <v>0</v>
      </c>
      <c r="AQ469" s="162">
        <v>0</v>
      </c>
      <c r="AR469" s="710" t="str">
        <v>32193r1.par</v>
      </c>
      <c r="AV469" s="82" t="str">
        <v>91,255,255</v>
      </c>
      <c r="AW469" s="947">
        <v>40.999994080333266</v>
      </c>
      <c r="AX469" s="947">
        <v>40.999994080333266</v>
      </c>
      <c r="AY469" s="947">
        <v>0</v>
      </c>
    </row>
    <row r="470" spans="12:51" x14ac:dyDescent="0.25">
      <c r="L470"/>
      <c r="AE470" s="75">
        <v>4.22</v>
      </c>
      <c r="AF470" s="82">
        <v>4</v>
      </c>
      <c r="AG470" s="82">
        <v>2</v>
      </c>
      <c r="AH470" s="82">
        <v>2</v>
      </c>
      <c r="AI470" s="82">
        <v>1.9999999999708962</v>
      </c>
      <c r="AJ470" s="166">
        <v>4.2202199999999994</v>
      </c>
      <c r="AK470" s="82">
        <v>4.2201199999999996</v>
      </c>
      <c r="AL470" s="162">
        <v>0</v>
      </c>
      <c r="AM470" s="162">
        <v>0</v>
      </c>
      <c r="AN470" s="162">
        <v>0</v>
      </c>
      <c r="AO470" s="162">
        <v>0</v>
      </c>
      <c r="AP470" s="162">
        <v>0</v>
      </c>
      <c r="AQ470" s="162">
        <v>0</v>
      </c>
      <c r="AR470" s="710" t="str">
        <v>32193r1.par</v>
      </c>
      <c r="AV470" s="82" t="str">
        <v>91,255,255</v>
      </c>
      <c r="AW470" s="947">
        <v>19.99999711235769</v>
      </c>
      <c r="AX470" s="947">
        <v>19.99999711235769</v>
      </c>
      <c r="AY470" s="947">
        <v>0</v>
      </c>
    </row>
    <row r="471" spans="12:51" x14ac:dyDescent="0.25">
      <c r="L471"/>
      <c r="AE471" s="75">
        <v>4.1440000000000001</v>
      </c>
      <c r="AF471" s="82">
        <v>4</v>
      </c>
      <c r="AG471" s="82">
        <v>1</v>
      </c>
      <c r="AH471" s="82">
        <v>2</v>
      </c>
      <c r="AI471" s="82">
        <v>1.9999999999708962</v>
      </c>
      <c r="AJ471" s="166">
        <v>4.1442199999999998</v>
      </c>
      <c r="AK471" s="82">
        <v>4.14412</v>
      </c>
      <c r="AL471" s="162">
        <v>0</v>
      </c>
      <c r="AM471" s="162">
        <v>0</v>
      </c>
      <c r="AN471" s="162">
        <v>0</v>
      </c>
      <c r="AO471" s="162">
        <v>0</v>
      </c>
      <c r="AP471" s="162">
        <v>0</v>
      </c>
      <c r="AQ471" s="162">
        <v>0</v>
      </c>
      <c r="AR471" s="710" t="str">
        <v>1613.par</v>
      </c>
      <c r="AV471" s="82" t="str">
        <v>0,204,204</v>
      </c>
      <c r="AW471" s="947">
        <v>84.970117416838406</v>
      </c>
      <c r="AX471" s="947">
        <v>84.970117416838406</v>
      </c>
      <c r="AY471" s="947">
        <v>0</v>
      </c>
    </row>
    <row r="472" spans="12:51" x14ac:dyDescent="0.25">
      <c r="L472"/>
      <c r="AE472" s="75">
        <v>4.1379999999999999</v>
      </c>
      <c r="AF472" s="82">
        <v>4</v>
      </c>
      <c r="AG472" s="82">
        <v>1</v>
      </c>
      <c r="AH472" s="82">
        <v>2</v>
      </c>
      <c r="AI472" s="82">
        <v>1.9999999999708962</v>
      </c>
      <c r="AJ472" s="166">
        <v>4.1382199999999996</v>
      </c>
      <c r="AK472" s="82">
        <v>4.1381199999999998</v>
      </c>
      <c r="AL472" s="162">
        <v>0</v>
      </c>
      <c r="AM472" s="162">
        <v>0</v>
      </c>
      <c r="AN472" s="162">
        <v>0</v>
      </c>
      <c r="AO472" s="162">
        <v>0</v>
      </c>
      <c r="AP472" s="162">
        <v>0</v>
      </c>
      <c r="AQ472" s="162">
        <v>0</v>
      </c>
      <c r="AR472" s="710" t="str">
        <v>1613.par</v>
      </c>
      <c r="AV472" s="82" t="str">
        <v>0,204,204</v>
      </c>
      <c r="AW472" s="947">
        <v>78.799617313561896</v>
      </c>
      <c r="AX472" s="947">
        <v>78.799617313561896</v>
      </c>
      <c r="AY472" s="947">
        <v>0</v>
      </c>
    </row>
    <row r="473" spans="12:51" x14ac:dyDescent="0.25">
      <c r="L473"/>
      <c r="AE473" s="75">
        <v>4.1319999999999997</v>
      </c>
      <c r="AF473" s="82">
        <v>4</v>
      </c>
      <c r="AG473" s="82">
        <v>1</v>
      </c>
      <c r="AH473" s="82">
        <v>2</v>
      </c>
      <c r="AI473" s="82">
        <v>1.9999999998981366</v>
      </c>
      <c r="AJ473" s="166">
        <v>4.1322199999999993</v>
      </c>
      <c r="AK473" s="82">
        <v>4.1321199999999996</v>
      </c>
      <c r="AL473" s="162">
        <v>0</v>
      </c>
      <c r="AM473" s="162">
        <v>0</v>
      </c>
      <c r="AN473" s="162">
        <v>0</v>
      </c>
      <c r="AO473" s="162">
        <v>0</v>
      </c>
      <c r="AP473" s="162">
        <v>0</v>
      </c>
      <c r="AQ473" s="162">
        <v>0</v>
      </c>
      <c r="AR473" s="710" t="str">
        <v>1613.par</v>
      </c>
      <c r="AV473" s="82" t="str">
        <v>0,204,204</v>
      </c>
      <c r="AW473" s="947">
        <v>60.249226457616452</v>
      </c>
      <c r="AX473" s="947">
        <v>60.249226457616452</v>
      </c>
      <c r="AY473" s="947">
        <v>0</v>
      </c>
    </row>
    <row r="474" spans="12:51" x14ac:dyDescent="0.25">
      <c r="L474"/>
      <c r="AE474" s="75">
        <v>4.1260000000000003</v>
      </c>
      <c r="AF474" s="82">
        <v>4</v>
      </c>
      <c r="AG474" s="82">
        <v>1</v>
      </c>
      <c r="AH474" s="82">
        <v>2</v>
      </c>
      <c r="AI474" s="82">
        <v>1.9999999999708962</v>
      </c>
      <c r="AJ474" s="166">
        <v>4.12622</v>
      </c>
      <c r="AK474" s="82">
        <v>4.1261200000000002</v>
      </c>
      <c r="AL474" s="162">
        <v>0</v>
      </c>
      <c r="AM474" s="162">
        <v>0</v>
      </c>
      <c r="AN474" s="162">
        <v>0</v>
      </c>
      <c r="AO474" s="162">
        <v>0</v>
      </c>
      <c r="AP474" s="162">
        <v>0</v>
      </c>
      <c r="AQ474" s="162">
        <v>0</v>
      </c>
      <c r="AR474" s="710" t="str">
        <v>1613.par</v>
      </c>
      <c r="AV474" s="82" t="str">
        <v>0,204,204</v>
      </c>
      <c r="AW474" s="947">
        <v>41.606624611766414</v>
      </c>
      <c r="AX474" s="947">
        <v>41.606624611766414</v>
      </c>
      <c r="AY474" s="947">
        <v>0</v>
      </c>
    </row>
    <row r="475" spans="12:51" x14ac:dyDescent="0.25">
      <c r="L475"/>
      <c r="AE475" s="75">
        <v>4.12</v>
      </c>
      <c r="AF475" s="82">
        <v>4</v>
      </c>
      <c r="AG475" s="82">
        <v>1</v>
      </c>
      <c r="AH475" s="82">
        <v>2</v>
      </c>
      <c r="AI475" s="82">
        <v>1.9999999999708962</v>
      </c>
      <c r="AJ475" s="166">
        <v>4.1202199999999998</v>
      </c>
      <c r="AK475" s="82">
        <v>4.12012</v>
      </c>
      <c r="AL475" s="162">
        <v>0</v>
      </c>
      <c r="AM475" s="162">
        <v>0</v>
      </c>
      <c r="AN475" s="162">
        <v>0</v>
      </c>
      <c r="AO475" s="162">
        <v>0</v>
      </c>
      <c r="AP475" s="162">
        <v>0</v>
      </c>
      <c r="AQ475" s="162">
        <v>0</v>
      </c>
      <c r="AR475" s="710" t="str">
        <v>1613 Ripper.par</v>
      </c>
      <c r="AV475" s="82" t="str">
        <v>0,204,204</v>
      </c>
      <c r="AW475" s="947">
        <v>22.793338283804125</v>
      </c>
      <c r="AX475" s="947">
        <v>22.793338283804125</v>
      </c>
      <c r="AY475" s="947">
        <v>0</v>
      </c>
    </row>
    <row r="476" spans="12:51" x14ac:dyDescent="0.25">
      <c r="L476"/>
      <c r="AE476" s="75">
        <v>4.1139999999999999</v>
      </c>
      <c r="AF476" s="82">
        <v>4</v>
      </c>
      <c r="AG476" s="82">
        <v>1</v>
      </c>
      <c r="AH476" s="82">
        <v>2</v>
      </c>
      <c r="AI476" s="82">
        <v>1.9999999999708962</v>
      </c>
      <c r="AJ476" s="166">
        <v>4.1142199999999995</v>
      </c>
      <c r="AK476" s="82">
        <v>4.1141199999999998</v>
      </c>
      <c r="AL476" s="162">
        <v>0</v>
      </c>
      <c r="AM476" s="162">
        <v>0</v>
      </c>
      <c r="AN476" s="162">
        <v>0</v>
      </c>
      <c r="AO476" s="162">
        <v>0</v>
      </c>
      <c r="AP476" s="162">
        <v>0</v>
      </c>
      <c r="AQ476" s="162">
        <v>0</v>
      </c>
      <c r="AR476" s="710" t="str">
        <v>1613 Ripper.par</v>
      </c>
      <c r="AV476" s="82" t="str">
        <v>0,204,204</v>
      </c>
      <c r="AW476" s="947">
        <v>3.9705087662236287</v>
      </c>
      <c r="AX476" s="947">
        <v>3.9705087662236287</v>
      </c>
      <c r="AY476" s="947">
        <v>0</v>
      </c>
    </row>
    <row r="477" spans="12:51" x14ac:dyDescent="0.25">
      <c r="L477"/>
      <c r="AE477" s="75">
        <v>3.2509999999999999</v>
      </c>
      <c r="AF477" s="82">
        <v>3</v>
      </c>
      <c r="AG477" s="82">
        <v>2</v>
      </c>
      <c r="AH477" s="82">
        <v>2</v>
      </c>
      <c r="AI477" s="82">
        <v>2.000000000007276</v>
      </c>
      <c r="AJ477" s="166">
        <v>3.25122</v>
      </c>
      <c r="AK477" s="82">
        <v>3.2511199999999998</v>
      </c>
      <c r="AL477" s="162">
        <v>0</v>
      </c>
      <c r="AM477" s="162">
        <v>0</v>
      </c>
      <c r="AN477" s="162">
        <v>0</v>
      </c>
      <c r="AO477" s="162">
        <v>0</v>
      </c>
      <c r="AP477" s="162">
        <v>0</v>
      </c>
      <c r="AQ477" s="162">
        <v>0</v>
      </c>
      <c r="AR477" s="710" t="str">
        <v>1313.par</v>
      </c>
      <c r="AV477" s="82" t="str">
        <v>97,255,97</v>
      </c>
      <c r="AW477" s="947">
        <v>100.03561890671625</v>
      </c>
      <c r="AX477" s="947">
        <v>100.03561890671625</v>
      </c>
      <c r="AY477" s="947">
        <v>0</v>
      </c>
    </row>
    <row r="478" spans="12:51" x14ac:dyDescent="0.25">
      <c r="L478"/>
      <c r="AE478" s="75">
        <v>3.2450000000000001</v>
      </c>
      <c r="AF478" s="82">
        <v>3</v>
      </c>
      <c r="AG478" s="82">
        <v>2</v>
      </c>
      <c r="AH478" s="82">
        <v>2</v>
      </c>
      <c r="AI478" s="82">
        <v>2.000000000007276</v>
      </c>
      <c r="AJ478" s="166">
        <v>3.2452200000000002</v>
      </c>
      <c r="AK478" s="82">
        <v>3.24512</v>
      </c>
      <c r="AL478" s="162">
        <v>0</v>
      </c>
      <c r="AM478" s="162">
        <v>0</v>
      </c>
      <c r="AN478" s="162">
        <v>0</v>
      </c>
      <c r="AO478" s="162">
        <v>0</v>
      </c>
      <c r="AP478" s="162">
        <v>0</v>
      </c>
      <c r="AQ478" s="162">
        <v>0</v>
      </c>
      <c r="AR478" s="710" t="str">
        <v>32193r1.par</v>
      </c>
      <c r="AV478" s="82" t="str">
        <v>97,255,97</v>
      </c>
      <c r="AW478" s="947">
        <v>89.999987005609611</v>
      </c>
      <c r="AX478" s="947">
        <v>89.999987005609611</v>
      </c>
      <c r="AY478" s="947">
        <v>0</v>
      </c>
    </row>
    <row r="479" spans="12:51" x14ac:dyDescent="0.25">
      <c r="L479"/>
      <c r="AE479" s="75">
        <v>3.2389999999999999</v>
      </c>
      <c r="AF479" s="82">
        <v>3</v>
      </c>
      <c r="AG479" s="82">
        <v>2</v>
      </c>
      <c r="AH479" s="82">
        <v>2</v>
      </c>
      <c r="AI479" s="82">
        <v>2.000000000007276</v>
      </c>
      <c r="AJ479" s="166">
        <v>3.23922</v>
      </c>
      <c r="AK479" s="82">
        <v>3.2391199999999998</v>
      </c>
      <c r="AL479" s="162">
        <v>0</v>
      </c>
      <c r="AM479" s="162">
        <v>0</v>
      </c>
      <c r="AN479" s="162">
        <v>0</v>
      </c>
      <c r="AO479" s="162">
        <v>0</v>
      </c>
      <c r="AP479" s="162">
        <v>0</v>
      </c>
      <c r="AQ479" s="162">
        <v>0</v>
      </c>
      <c r="AR479" s="710" t="str">
        <v>32193r1.par</v>
      </c>
      <c r="AV479" s="82" t="str">
        <v>97,255,97</v>
      </c>
      <c r="AW479" s="947">
        <v>82.999988016284419</v>
      </c>
      <c r="AX479" s="947">
        <v>82.999988016284419</v>
      </c>
      <c r="AY479" s="947">
        <v>0</v>
      </c>
    </row>
    <row r="480" spans="12:51" x14ac:dyDescent="0.25">
      <c r="L480"/>
      <c r="AE480" s="75">
        <v>3.2330000000000001</v>
      </c>
      <c r="AF480" s="82">
        <v>3</v>
      </c>
      <c r="AG480" s="82">
        <v>2</v>
      </c>
      <c r="AH480" s="82">
        <v>2</v>
      </c>
      <c r="AI480" s="82">
        <v>2.000000000007276</v>
      </c>
      <c r="AJ480" s="166">
        <v>3.2332200000000002</v>
      </c>
      <c r="AK480" s="82">
        <v>3.23312</v>
      </c>
      <c r="AL480" s="162">
        <v>0</v>
      </c>
      <c r="AM480" s="162">
        <v>0</v>
      </c>
      <c r="AN480" s="162">
        <v>0</v>
      </c>
      <c r="AO480" s="162">
        <v>0</v>
      </c>
      <c r="AP480" s="162">
        <v>0</v>
      </c>
      <c r="AQ480" s="162">
        <v>0</v>
      </c>
      <c r="AR480" s="710" t="str">
        <v>1313.par</v>
      </c>
      <c r="AV480" s="82" t="str">
        <v>97,255,97</v>
      </c>
      <c r="AW480" s="947">
        <v>63.392943063786667</v>
      </c>
      <c r="AX480" s="947">
        <v>63.392943063786667</v>
      </c>
      <c r="AY480" s="947">
        <v>0</v>
      </c>
    </row>
    <row r="481" spans="12:51" x14ac:dyDescent="0.25">
      <c r="L481"/>
      <c r="AE481" s="75">
        <v>3.2269999999999999</v>
      </c>
      <c r="AF481" s="82">
        <v>3</v>
      </c>
      <c r="AG481" s="82">
        <v>2</v>
      </c>
      <c r="AH481" s="82">
        <v>2</v>
      </c>
      <c r="AI481" s="82">
        <v>2.000000000007276</v>
      </c>
      <c r="AJ481" s="166">
        <v>3.22722</v>
      </c>
      <c r="AK481" s="82">
        <v>3.2271199999999998</v>
      </c>
      <c r="AL481" s="162">
        <v>0</v>
      </c>
      <c r="AM481" s="162">
        <v>0</v>
      </c>
      <c r="AN481" s="162">
        <v>0</v>
      </c>
      <c r="AO481" s="162">
        <v>0</v>
      </c>
      <c r="AP481" s="162">
        <v>0</v>
      </c>
      <c r="AQ481" s="162">
        <v>0</v>
      </c>
      <c r="AR481" s="710" t="str">
        <v>1313.par</v>
      </c>
      <c r="AV481" s="82" t="str">
        <v>97,255,97</v>
      </c>
      <c r="AW481" s="947">
        <v>44.830187859593472</v>
      </c>
      <c r="AX481" s="947">
        <v>44.830187859593472</v>
      </c>
      <c r="AY481" s="947">
        <v>0</v>
      </c>
    </row>
    <row r="482" spans="12:51" x14ac:dyDescent="0.25">
      <c r="L482"/>
      <c r="AE482" s="75">
        <v>3.2210000000000001</v>
      </c>
      <c r="AF482" s="82">
        <v>3</v>
      </c>
      <c r="AG482" s="82">
        <v>2</v>
      </c>
      <c r="AH482" s="82">
        <v>2</v>
      </c>
      <c r="AI482" s="82">
        <v>2.000000000007276</v>
      </c>
      <c r="AJ482" s="166">
        <v>3.2212200000000002</v>
      </c>
      <c r="AK482" s="82">
        <v>3.22112</v>
      </c>
      <c r="AL482" s="162">
        <v>0</v>
      </c>
      <c r="AM482" s="162">
        <v>0</v>
      </c>
      <c r="AN482" s="162">
        <v>0</v>
      </c>
      <c r="AO482" s="162">
        <v>0</v>
      </c>
      <c r="AP482" s="162">
        <v>0</v>
      </c>
      <c r="AQ482" s="162">
        <v>0</v>
      </c>
      <c r="AR482" s="710" t="str">
        <v>1313.par</v>
      </c>
      <c r="AV482" s="82" t="str">
        <v>97,255,97</v>
      </c>
      <c r="AW482" s="947">
        <v>26.167511622001179</v>
      </c>
      <c r="AX482" s="947">
        <v>26.167511622001179</v>
      </c>
      <c r="AY482" s="947">
        <v>0</v>
      </c>
    </row>
    <row r="483" spans="12:51" x14ac:dyDescent="0.25">
      <c r="L483"/>
      <c r="AE483" s="75">
        <v>3.2149999999999999</v>
      </c>
      <c r="AF483" s="82">
        <v>3</v>
      </c>
      <c r="AG483" s="82">
        <v>2</v>
      </c>
      <c r="AH483" s="82">
        <v>2</v>
      </c>
      <c r="AI483" s="82">
        <v>2.000000000007276</v>
      </c>
      <c r="AJ483" s="166">
        <v>3.21522</v>
      </c>
      <c r="AK483" s="82">
        <v>3.2151199999999998</v>
      </c>
      <c r="AL483" s="162">
        <v>0</v>
      </c>
      <c r="AM483" s="162">
        <v>0</v>
      </c>
      <c r="AN483" s="162">
        <v>0</v>
      </c>
      <c r="AO483" s="162">
        <v>0</v>
      </c>
      <c r="AP483" s="162">
        <v>0</v>
      </c>
      <c r="AQ483" s="162">
        <v>0</v>
      </c>
      <c r="AR483" s="710" t="str">
        <v>32193r1.par</v>
      </c>
      <c r="AV483" s="82" t="str">
        <v>97,255,97</v>
      </c>
      <c r="AW483" s="947">
        <v>-0.99999985561788196</v>
      </c>
      <c r="AX483" s="947">
        <v>-0.99999985561788196</v>
      </c>
      <c r="AY483" s="947">
        <v>0</v>
      </c>
    </row>
    <row r="484" spans="12:51" x14ac:dyDescent="0.25">
      <c r="L484"/>
      <c r="AE484" s="75">
        <v>3.145</v>
      </c>
      <c r="AF484" s="82">
        <v>3</v>
      </c>
      <c r="AG484" s="82">
        <v>1</v>
      </c>
      <c r="AH484" s="82">
        <v>2</v>
      </c>
      <c r="AI484" s="82">
        <v>2.000000000007276</v>
      </c>
      <c r="AJ484" s="166">
        <v>3.1452200000000001</v>
      </c>
      <c r="AK484" s="82">
        <v>3.1451199999999999</v>
      </c>
      <c r="AL484" s="162">
        <v>0</v>
      </c>
      <c r="AM484" s="162">
        <v>0</v>
      </c>
      <c r="AN484" s="162">
        <v>0</v>
      </c>
      <c r="AO484" s="162">
        <v>0</v>
      </c>
      <c r="AP484" s="162">
        <v>0</v>
      </c>
      <c r="AQ484" s="162">
        <v>0</v>
      </c>
      <c r="AR484" s="710" t="str">
        <v>1613.par</v>
      </c>
      <c r="AV484" s="82" t="str">
        <v>0,204,0</v>
      </c>
      <c r="AW484" s="947">
        <v>84.97011741683842</v>
      </c>
      <c r="AX484" s="947">
        <v>84.97011741683842</v>
      </c>
      <c r="AY484" s="947">
        <v>0</v>
      </c>
    </row>
    <row r="485" spans="12:51" x14ac:dyDescent="0.25">
      <c r="L485"/>
      <c r="AE485" s="75">
        <v>3.1389999999999998</v>
      </c>
      <c r="AF485" s="82">
        <v>3</v>
      </c>
      <c r="AG485" s="82">
        <v>1</v>
      </c>
      <c r="AH485" s="82">
        <v>2</v>
      </c>
      <c r="AI485" s="82">
        <v>2.000000000007276</v>
      </c>
      <c r="AJ485" s="166">
        <v>3.1392199999999999</v>
      </c>
      <c r="AK485" s="82">
        <v>3.1391199999999997</v>
      </c>
      <c r="AL485" s="162">
        <v>0</v>
      </c>
      <c r="AM485" s="162">
        <v>0</v>
      </c>
      <c r="AN485" s="162">
        <v>0</v>
      </c>
      <c r="AO485" s="162">
        <v>0</v>
      </c>
      <c r="AP485" s="162">
        <v>0</v>
      </c>
      <c r="AQ485" s="162">
        <v>0</v>
      </c>
      <c r="AR485" s="710" t="str">
        <v>1613.par</v>
      </c>
      <c r="AV485" s="82" t="str">
        <v>0,204,0</v>
      </c>
      <c r="AW485" s="947">
        <v>81.885446807640747</v>
      </c>
      <c r="AX485" s="947">
        <v>81.885446807640747</v>
      </c>
      <c r="AY485" s="947">
        <v>0</v>
      </c>
    </row>
    <row r="486" spans="12:51" x14ac:dyDescent="0.25">
      <c r="L486"/>
      <c r="AE486" s="75">
        <v>3.133</v>
      </c>
      <c r="AF486" s="82">
        <v>3</v>
      </c>
      <c r="AG486" s="82">
        <v>1</v>
      </c>
      <c r="AH486" s="82">
        <v>2</v>
      </c>
      <c r="AI486" s="82">
        <v>2.000000000007276</v>
      </c>
      <c r="AJ486" s="166">
        <v>3.1332200000000001</v>
      </c>
      <c r="AK486" s="82">
        <v>3.1331199999999999</v>
      </c>
      <c r="AL486" s="162">
        <v>0</v>
      </c>
      <c r="AM486" s="162">
        <v>0</v>
      </c>
      <c r="AN486" s="162">
        <v>0</v>
      </c>
      <c r="AO486" s="162">
        <v>0</v>
      </c>
      <c r="AP486" s="162">
        <v>0</v>
      </c>
      <c r="AQ486" s="162">
        <v>0</v>
      </c>
      <c r="AR486" s="710" t="str">
        <v>1613.par</v>
      </c>
      <c r="AV486" s="82" t="str">
        <v>0,204,0</v>
      </c>
      <c r="AW486" s="947">
        <v>63.345987496311885</v>
      </c>
      <c r="AX486" s="947">
        <v>63.345987496311885</v>
      </c>
      <c r="AY486" s="947">
        <v>0</v>
      </c>
    </row>
    <row r="487" spans="12:51" x14ac:dyDescent="0.25">
      <c r="L487"/>
      <c r="AE487" s="75">
        <v>3.1269999999999998</v>
      </c>
      <c r="AF487" s="82">
        <v>3</v>
      </c>
      <c r="AG487" s="82">
        <v>1</v>
      </c>
      <c r="AH487" s="82">
        <v>2</v>
      </c>
      <c r="AI487" s="82">
        <v>1.9999999999708962</v>
      </c>
      <c r="AJ487" s="166">
        <v>3.1272199999999999</v>
      </c>
      <c r="AK487" s="82">
        <v>3.1271199999999997</v>
      </c>
      <c r="AL487" s="162">
        <v>0</v>
      </c>
      <c r="AM487" s="162">
        <v>0</v>
      </c>
      <c r="AN487" s="162">
        <v>0</v>
      </c>
      <c r="AO487" s="162">
        <v>0</v>
      </c>
      <c r="AP487" s="162">
        <v>0</v>
      </c>
      <c r="AQ487" s="162">
        <v>0</v>
      </c>
      <c r="AR487" s="710" t="str">
        <v>1613.par</v>
      </c>
      <c r="AV487" s="82" t="str">
        <v>0,204,0</v>
      </c>
      <c r="AW487" s="947">
        <v>44.722719194276351</v>
      </c>
      <c r="AX487" s="947">
        <v>44.722719194276351</v>
      </c>
      <c r="AY487" s="947">
        <v>0</v>
      </c>
    </row>
    <row r="488" spans="12:51" x14ac:dyDescent="0.25">
      <c r="L488"/>
      <c r="AE488" s="75">
        <v>3.121</v>
      </c>
      <c r="AF488" s="82">
        <v>3</v>
      </c>
      <c r="AG488" s="82">
        <v>1</v>
      </c>
      <c r="AH488" s="82">
        <v>2</v>
      </c>
      <c r="AI488" s="82">
        <v>2.000000000007276</v>
      </c>
      <c r="AJ488" s="166">
        <v>3.1212200000000001</v>
      </c>
      <c r="AK488" s="82">
        <v>3.1211199999999999</v>
      </c>
      <c r="AL488" s="162">
        <v>0</v>
      </c>
      <c r="AM488" s="162">
        <v>0</v>
      </c>
      <c r="AN488" s="162">
        <v>0</v>
      </c>
      <c r="AO488" s="162">
        <v>0</v>
      </c>
      <c r="AP488" s="162">
        <v>0</v>
      </c>
      <c r="AQ488" s="162">
        <v>0</v>
      </c>
      <c r="AR488" s="710" t="str">
        <v>1613 Ripper.par</v>
      </c>
      <c r="AV488" s="82" t="str">
        <v>0,204,0</v>
      </c>
      <c r="AW488" s="947">
        <v>25.946275176386688</v>
      </c>
      <c r="AX488" s="947">
        <v>25.946275176386688</v>
      </c>
      <c r="AY488" s="947">
        <v>0</v>
      </c>
    </row>
    <row r="489" spans="12:51" x14ac:dyDescent="0.25">
      <c r="L489"/>
      <c r="AE489" s="75">
        <v>3.1150000000000002</v>
      </c>
      <c r="AF489" s="82">
        <v>3</v>
      </c>
      <c r="AG489" s="82">
        <v>1</v>
      </c>
      <c r="AH489" s="82">
        <v>2</v>
      </c>
      <c r="AI489" s="82">
        <v>2.0000000000436557</v>
      </c>
      <c r="AJ489" s="166">
        <v>3.1152200000000003</v>
      </c>
      <c r="AK489" s="82">
        <v>3.1151200000000001</v>
      </c>
      <c r="AL489" s="162">
        <v>0</v>
      </c>
      <c r="AM489" s="162">
        <v>0</v>
      </c>
      <c r="AN489" s="162">
        <v>0</v>
      </c>
      <c r="AO489" s="162">
        <v>0</v>
      </c>
      <c r="AP489" s="162">
        <v>0</v>
      </c>
      <c r="AQ489" s="162">
        <v>0</v>
      </c>
      <c r="AR489" s="710" t="str">
        <v>1613 Ripper.par</v>
      </c>
      <c r="AV489" s="82" t="str">
        <v>0,204,0</v>
      </c>
      <c r="AW489" s="947">
        <v>7.1077563806310833</v>
      </c>
      <c r="AX489" s="947">
        <v>7.1077563806310833</v>
      </c>
      <c r="AY489" s="947">
        <v>0</v>
      </c>
    </row>
    <row r="490" spans="12:51" x14ac:dyDescent="0.25">
      <c r="L490"/>
      <c r="AE490" s="75">
        <v>3.109</v>
      </c>
      <c r="AF490" s="82">
        <v>3</v>
      </c>
      <c r="AG490" s="82">
        <v>1</v>
      </c>
      <c r="AH490" s="82">
        <v>2</v>
      </c>
      <c r="AI490" s="82">
        <v>2.000000000007276</v>
      </c>
      <c r="AJ490" s="166">
        <v>3.1092200000000001</v>
      </c>
      <c r="AK490" s="82">
        <v>3.1091199999999999</v>
      </c>
      <c r="AL490" s="162">
        <v>0</v>
      </c>
      <c r="AM490" s="162">
        <v>0</v>
      </c>
      <c r="AN490" s="162">
        <v>0</v>
      </c>
      <c r="AO490" s="162">
        <v>0</v>
      </c>
      <c r="AP490" s="162">
        <v>0</v>
      </c>
      <c r="AQ490" s="162">
        <v>0</v>
      </c>
      <c r="AR490" s="710" t="str">
        <v>1613 Ripper.par</v>
      </c>
      <c r="AV490" s="82" t="str">
        <v>0,204,0</v>
      </c>
      <c r="AW490" s="947">
        <v>-11.754573914654843</v>
      </c>
      <c r="AX490" s="947">
        <v>-11.754573914654843</v>
      </c>
      <c r="AY490" s="947">
        <v>0</v>
      </c>
    </row>
    <row r="491" spans="12:51" x14ac:dyDescent="0.25">
      <c r="L491"/>
      <c r="AE491" s="75">
        <v>3.1059999999999999</v>
      </c>
      <c r="AF491" s="82">
        <v>3</v>
      </c>
      <c r="AG491" s="82">
        <v>1</v>
      </c>
      <c r="AH491" s="82">
        <v>2</v>
      </c>
      <c r="AI491" s="82">
        <v>2.000000000007276</v>
      </c>
      <c r="AJ491" s="166">
        <v>3.10622</v>
      </c>
      <c r="AK491" s="82">
        <v>3.1061199999999998</v>
      </c>
      <c r="AL491" s="162">
        <v>0</v>
      </c>
      <c r="AM491" s="162">
        <v>0</v>
      </c>
      <c r="AN491" s="162">
        <v>0</v>
      </c>
      <c r="AO491" s="162">
        <v>0</v>
      </c>
      <c r="AP491" s="162">
        <v>0</v>
      </c>
      <c r="AQ491" s="162">
        <v>0</v>
      </c>
      <c r="AR491" s="710" t="str">
        <v>1613 Ripper.par</v>
      </c>
      <c r="AV491" s="82" t="str">
        <v>0,204,0</v>
      </c>
      <c r="AW491" s="947">
        <v>-12.508515021959289</v>
      </c>
      <c r="AX491" s="947">
        <v>-12.508515021959289</v>
      </c>
      <c r="AY491" s="947">
        <v>0</v>
      </c>
    </row>
    <row r="492" spans="12:51" x14ac:dyDescent="0.25">
      <c r="L492"/>
      <c r="AE492" s="75">
        <v>3.1030000000000002</v>
      </c>
      <c r="AF492" s="82">
        <v>3</v>
      </c>
      <c r="AG492" s="82">
        <v>1</v>
      </c>
      <c r="AH492" s="82">
        <v>2</v>
      </c>
      <c r="AI492" s="82">
        <v>2.0000000000436557</v>
      </c>
      <c r="AJ492" s="166">
        <v>3.1032200000000003</v>
      </c>
      <c r="AK492" s="82">
        <v>3.1031200000000001</v>
      </c>
      <c r="AL492" s="162">
        <v>0</v>
      </c>
      <c r="AM492" s="162">
        <v>0</v>
      </c>
      <c r="AN492" s="162">
        <v>0</v>
      </c>
      <c r="AO492" s="162">
        <v>0</v>
      </c>
      <c r="AP492" s="162">
        <v>0</v>
      </c>
      <c r="AQ492" s="162">
        <v>0</v>
      </c>
      <c r="AR492" s="710" t="str">
        <v>1613.par</v>
      </c>
      <c r="AV492" s="82" t="str">
        <v>0,204,0</v>
      </c>
      <c r="AW492" s="947">
        <v>-14.302653650703496</v>
      </c>
      <c r="AX492" s="947">
        <v>-14.302653650703496</v>
      </c>
      <c r="AY492" s="947">
        <v>0</v>
      </c>
    </row>
    <row r="493" spans="12:51" x14ac:dyDescent="0.25">
      <c r="L493"/>
      <c r="AE493" s="75">
        <v>2.2519999999999998</v>
      </c>
      <c r="AF493" s="82">
        <v>2</v>
      </c>
      <c r="AG493" s="82">
        <v>2</v>
      </c>
      <c r="AH493" s="82">
        <v>2</v>
      </c>
      <c r="AI493" s="82">
        <v>1.9999999999708962</v>
      </c>
      <c r="AJ493" s="166">
        <v>2.2522199999999999</v>
      </c>
      <c r="AK493" s="82">
        <v>2.2521199999999997</v>
      </c>
      <c r="AL493" s="162">
        <v>0</v>
      </c>
      <c r="AM493" s="162">
        <v>0</v>
      </c>
      <c r="AN493" s="162">
        <v>0</v>
      </c>
      <c r="AO493" s="162">
        <v>0</v>
      </c>
      <c r="AP493" s="162">
        <v>0</v>
      </c>
      <c r="AQ493" s="162">
        <v>0</v>
      </c>
      <c r="AR493" s="710" t="str">
        <v>1313.par</v>
      </c>
      <c r="AV493" s="82" t="str">
        <v>255,255,91</v>
      </c>
      <c r="AW493" s="947">
        <v>100.03561890671624</v>
      </c>
      <c r="AX493" s="947">
        <v>100.03561890671624</v>
      </c>
      <c r="AY493" s="947">
        <v>0</v>
      </c>
    </row>
    <row r="494" spans="12:51" x14ac:dyDescent="0.25">
      <c r="L494"/>
      <c r="AE494" s="75">
        <v>2.246</v>
      </c>
      <c r="AF494" s="82">
        <v>2</v>
      </c>
      <c r="AG494" s="82">
        <v>2</v>
      </c>
      <c r="AH494" s="82">
        <v>2</v>
      </c>
      <c r="AI494" s="82">
        <v>2.000000000007276</v>
      </c>
      <c r="AJ494" s="166">
        <v>2.2462200000000001</v>
      </c>
      <c r="AK494" s="82">
        <v>2.2461199999999999</v>
      </c>
      <c r="AL494" s="162">
        <v>0</v>
      </c>
      <c r="AM494" s="162">
        <v>0</v>
      </c>
      <c r="AN494" s="162">
        <v>0</v>
      </c>
      <c r="AO494" s="162">
        <v>0</v>
      </c>
      <c r="AP494" s="162">
        <v>0</v>
      </c>
      <c r="AQ494" s="162">
        <v>0</v>
      </c>
      <c r="AR494" s="710" t="str">
        <v>32193r1.par</v>
      </c>
      <c r="AV494" s="82" t="str">
        <v>255,255,91</v>
      </c>
      <c r="AW494" s="947">
        <v>89.999987005609626</v>
      </c>
      <c r="AX494" s="947">
        <v>89.999987005609626</v>
      </c>
      <c r="AY494" s="947">
        <v>0</v>
      </c>
    </row>
    <row r="495" spans="12:51" x14ac:dyDescent="0.25">
      <c r="L495"/>
      <c r="AE495" s="75">
        <v>2.2400000000000002</v>
      </c>
      <c r="AF495" s="82">
        <v>2</v>
      </c>
      <c r="AG495" s="82">
        <v>2</v>
      </c>
      <c r="AH495" s="82">
        <v>2</v>
      </c>
      <c r="AI495" s="82">
        <v>2.0000000000436557</v>
      </c>
      <c r="AJ495" s="166">
        <v>2.2402200000000003</v>
      </c>
      <c r="AK495" s="82">
        <v>2.2401200000000001</v>
      </c>
      <c r="AL495" s="162">
        <v>0</v>
      </c>
      <c r="AM495" s="162">
        <v>0</v>
      </c>
      <c r="AN495" s="162">
        <v>0</v>
      </c>
      <c r="AO495" s="162">
        <v>0</v>
      </c>
      <c r="AP495" s="162">
        <v>0</v>
      </c>
      <c r="AQ495" s="162">
        <v>0</v>
      </c>
      <c r="AR495" s="710" t="str">
        <v>32193r1.par</v>
      </c>
      <c r="AV495" s="82" t="str">
        <v>255,255,91</v>
      </c>
      <c r="AW495" s="947">
        <v>89.999987005609611</v>
      </c>
      <c r="AX495" s="947">
        <v>89.999987005609611</v>
      </c>
      <c r="AY495" s="947">
        <v>0</v>
      </c>
    </row>
    <row r="496" spans="12:51" x14ac:dyDescent="0.25">
      <c r="L496"/>
      <c r="AE496" s="75">
        <v>2.234</v>
      </c>
      <c r="AF496" s="82">
        <v>2</v>
      </c>
      <c r="AG496" s="82">
        <v>2</v>
      </c>
      <c r="AH496" s="82">
        <v>2</v>
      </c>
      <c r="AI496" s="82">
        <v>2.000000000007276</v>
      </c>
      <c r="AJ496" s="166">
        <v>2.2342200000000001</v>
      </c>
      <c r="AK496" s="82">
        <v>2.2341199999999999</v>
      </c>
      <c r="AL496" s="162">
        <v>0</v>
      </c>
      <c r="AM496" s="162">
        <v>0</v>
      </c>
      <c r="AN496" s="162">
        <v>0</v>
      </c>
      <c r="AO496" s="162">
        <v>0</v>
      </c>
      <c r="AP496" s="162">
        <v>0</v>
      </c>
      <c r="AQ496" s="162">
        <v>0</v>
      </c>
      <c r="AR496" s="710" t="str">
        <v>32193r1.par</v>
      </c>
      <c r="AV496" s="82" t="str">
        <v>255,255,91</v>
      </c>
      <c r="AW496" s="947">
        <v>68.999990037634035</v>
      </c>
      <c r="AX496" s="947">
        <v>68.999990037634035</v>
      </c>
      <c r="AY496" s="947">
        <v>0</v>
      </c>
    </row>
    <row r="497" spans="31:51" x14ac:dyDescent="0.25">
      <c r="AE497" s="75">
        <v>2.2280000000000002</v>
      </c>
      <c r="AF497" s="82">
        <v>2</v>
      </c>
      <c r="AG497" s="82">
        <v>2</v>
      </c>
      <c r="AH497" s="82">
        <v>2</v>
      </c>
      <c r="AI497" s="82">
        <v>2.0000000000436557</v>
      </c>
      <c r="AJ497" s="166">
        <v>2.2282200000000003</v>
      </c>
      <c r="AK497" s="82">
        <v>2.2281200000000001</v>
      </c>
      <c r="AL497" s="162">
        <v>0</v>
      </c>
      <c r="AM497" s="162">
        <v>0</v>
      </c>
      <c r="AN497" s="162">
        <v>0</v>
      </c>
      <c r="AO497" s="162">
        <v>0</v>
      </c>
      <c r="AP497" s="162">
        <v>0</v>
      </c>
      <c r="AQ497" s="162">
        <v>0</v>
      </c>
      <c r="AR497" s="710" t="str">
        <v>32193r1.par</v>
      </c>
      <c r="AV497" s="82" t="str">
        <v>255,255,91</v>
      </c>
      <c r="AW497" s="947">
        <v>47.999993069658451</v>
      </c>
      <c r="AX497" s="947">
        <v>47.999993069658451</v>
      </c>
      <c r="AY497" s="947">
        <v>0</v>
      </c>
    </row>
    <row r="498" spans="31:51" x14ac:dyDescent="0.25">
      <c r="AE498" s="75">
        <v>2.222</v>
      </c>
      <c r="AF498" s="82">
        <v>2</v>
      </c>
      <c r="AG498" s="82">
        <v>2</v>
      </c>
      <c r="AH498" s="82">
        <v>2</v>
      </c>
      <c r="AI498" s="82">
        <v>2.000000000007276</v>
      </c>
      <c r="AJ498" s="166">
        <v>2.2222200000000001</v>
      </c>
      <c r="AK498" s="82">
        <v>2.2221199999999999</v>
      </c>
      <c r="AL498" s="162">
        <v>0</v>
      </c>
      <c r="AM498" s="162">
        <v>0</v>
      </c>
      <c r="AN498" s="162">
        <v>0</v>
      </c>
      <c r="AO498" s="162">
        <v>0</v>
      </c>
      <c r="AP498" s="162">
        <v>0</v>
      </c>
      <c r="AQ498" s="162">
        <v>0</v>
      </c>
      <c r="AR498" s="710" t="str">
        <v>32193r1.par</v>
      </c>
      <c r="AV498" s="82" t="str">
        <v>255,255,91</v>
      </c>
      <c r="AW498" s="947">
        <v>26.999996101682878</v>
      </c>
      <c r="AX498" s="947">
        <v>26.999996101682878</v>
      </c>
      <c r="AY498" s="947">
        <v>0</v>
      </c>
    </row>
    <row r="499" spans="31:51" x14ac:dyDescent="0.25">
      <c r="AE499" s="75">
        <v>2.2160000000000002</v>
      </c>
      <c r="AF499" s="82">
        <v>2</v>
      </c>
      <c r="AG499" s="82">
        <v>2</v>
      </c>
      <c r="AH499" s="82">
        <v>2</v>
      </c>
      <c r="AI499" s="82">
        <v>2.0000000000436557</v>
      </c>
      <c r="AJ499" s="166">
        <v>2.2162200000000003</v>
      </c>
      <c r="AK499" s="82">
        <v>2.2161200000000001</v>
      </c>
      <c r="AL499" s="162">
        <v>0</v>
      </c>
      <c r="AM499" s="162">
        <v>0</v>
      </c>
      <c r="AN499" s="162">
        <v>0</v>
      </c>
      <c r="AO499" s="162">
        <v>0</v>
      </c>
      <c r="AP499" s="162">
        <v>0</v>
      </c>
      <c r="AQ499" s="162">
        <v>0</v>
      </c>
      <c r="AR499" s="710" t="str">
        <v>32193r1.par</v>
      </c>
      <c r="AV499" s="82" t="str">
        <v>255,255,91</v>
      </c>
      <c r="AW499" s="947">
        <v>5.9999991337073082</v>
      </c>
      <c r="AX499" s="947">
        <v>5.9999991337073082</v>
      </c>
      <c r="AY499" s="947">
        <v>0</v>
      </c>
    </row>
    <row r="500" spans="31:51" x14ac:dyDescent="0.25">
      <c r="AE500" s="75">
        <v>2.1459999999999999</v>
      </c>
      <c r="AF500" s="82">
        <v>2</v>
      </c>
      <c r="AG500" s="82">
        <v>1</v>
      </c>
      <c r="AH500" s="82">
        <v>2</v>
      </c>
      <c r="AI500" s="82">
        <v>2.000000000007276</v>
      </c>
      <c r="AJ500" s="166">
        <v>2.14622</v>
      </c>
      <c r="AK500" s="82">
        <v>2.1461199999999998</v>
      </c>
      <c r="AL500" s="162">
        <v>0</v>
      </c>
      <c r="AM500" s="162">
        <v>0</v>
      </c>
      <c r="AN500" s="162">
        <v>0</v>
      </c>
      <c r="AO500" s="162">
        <v>0</v>
      </c>
      <c r="AP500" s="162">
        <v>0</v>
      </c>
      <c r="AQ500" s="162">
        <v>0</v>
      </c>
      <c r="AR500" s="710" t="str">
        <v>1613.par</v>
      </c>
      <c r="AV500" s="82" t="str">
        <v>204,204,0</v>
      </c>
      <c r="AW500" s="947">
        <v>84.97011741683842</v>
      </c>
      <c r="AX500" s="947">
        <v>84.97011741683842</v>
      </c>
      <c r="AY500" s="947">
        <v>0</v>
      </c>
    </row>
    <row r="501" spans="31:51" x14ac:dyDescent="0.25">
      <c r="AE501" s="75">
        <v>2.14</v>
      </c>
      <c r="AF501" s="82">
        <v>2</v>
      </c>
      <c r="AG501" s="82">
        <v>1</v>
      </c>
      <c r="AH501" s="82">
        <v>2</v>
      </c>
      <c r="AI501" s="82">
        <v>2.000000000007276</v>
      </c>
      <c r="AJ501" s="166">
        <v>2.1402200000000002</v>
      </c>
      <c r="AK501" s="82">
        <v>2.14012</v>
      </c>
      <c r="AL501" s="162">
        <v>0</v>
      </c>
      <c r="AM501" s="162">
        <v>0</v>
      </c>
      <c r="AN501" s="162">
        <v>0</v>
      </c>
      <c r="AO501" s="162">
        <v>0</v>
      </c>
      <c r="AP501" s="162">
        <v>0</v>
      </c>
      <c r="AQ501" s="162">
        <v>0</v>
      </c>
      <c r="AR501" s="710" t="str">
        <v>1613.par</v>
      </c>
      <c r="AV501" s="82" t="str">
        <v>204,204,0</v>
      </c>
      <c r="AW501" s="947">
        <v>84.969949372155938</v>
      </c>
      <c r="AX501" s="947">
        <v>84.969949372155938</v>
      </c>
      <c r="AY501" s="947">
        <v>0</v>
      </c>
    </row>
    <row r="502" spans="31:51" x14ac:dyDescent="0.25">
      <c r="AE502" s="75">
        <v>2.1339999999999999</v>
      </c>
      <c r="AF502" s="82">
        <v>2</v>
      </c>
      <c r="AG502" s="82">
        <v>1</v>
      </c>
      <c r="AH502" s="82">
        <v>2</v>
      </c>
      <c r="AI502" s="82">
        <v>2.000000000007276</v>
      </c>
      <c r="AJ502" s="166">
        <v>2.13422</v>
      </c>
      <c r="AK502" s="82">
        <v>2.1341199999999998</v>
      </c>
      <c r="AL502" s="162">
        <v>0</v>
      </c>
      <c r="AM502" s="162">
        <v>0</v>
      </c>
      <c r="AN502" s="162">
        <v>0</v>
      </c>
      <c r="AO502" s="162">
        <v>0</v>
      </c>
      <c r="AP502" s="162">
        <v>0</v>
      </c>
      <c r="AQ502" s="162">
        <v>0</v>
      </c>
      <c r="AR502" s="710" t="str">
        <v>1613.par</v>
      </c>
      <c r="AV502" s="82" t="str">
        <v>204,204,0</v>
      </c>
      <c r="AW502" s="947">
        <v>66.440489504246187</v>
      </c>
      <c r="AX502" s="947">
        <v>66.440489504246187</v>
      </c>
      <c r="AY502" s="947">
        <v>0</v>
      </c>
    </row>
    <row r="503" spans="31:51" x14ac:dyDescent="0.25">
      <c r="AE503" s="75">
        <v>2.1280000000000001</v>
      </c>
      <c r="AF503" s="82">
        <v>2</v>
      </c>
      <c r="AG503" s="82">
        <v>1</v>
      </c>
      <c r="AH503" s="82">
        <v>2</v>
      </c>
      <c r="AI503" s="82">
        <v>2.000000000007276</v>
      </c>
      <c r="AJ503" s="166">
        <v>2.1282200000000002</v>
      </c>
      <c r="AK503" s="82">
        <v>2.12812</v>
      </c>
      <c r="AL503" s="162">
        <v>0</v>
      </c>
      <c r="AM503" s="162">
        <v>0</v>
      </c>
      <c r="AN503" s="162">
        <v>0</v>
      </c>
      <c r="AO503" s="162">
        <v>0</v>
      </c>
      <c r="AP503" s="162">
        <v>0</v>
      </c>
      <c r="AQ503" s="162">
        <v>0</v>
      </c>
      <c r="AR503" s="710" t="str">
        <v>1613.par</v>
      </c>
      <c r="AV503" s="82" t="str">
        <v>204,204,0</v>
      </c>
      <c r="AW503" s="947">
        <v>47.834713669325687</v>
      </c>
      <c r="AX503" s="947">
        <v>47.834713669325687</v>
      </c>
      <c r="AY503" s="947">
        <v>0</v>
      </c>
    </row>
    <row r="504" spans="31:51" x14ac:dyDescent="0.25">
      <c r="AE504" s="75">
        <v>2.1219999999999999</v>
      </c>
      <c r="AF504" s="82">
        <v>2</v>
      </c>
      <c r="AG504" s="82">
        <v>1</v>
      </c>
      <c r="AH504" s="82">
        <v>2</v>
      </c>
      <c r="AI504" s="82">
        <v>2.000000000007276</v>
      </c>
      <c r="AJ504" s="166">
        <v>2.12222</v>
      </c>
      <c r="AK504" s="82">
        <v>2.1221199999999998</v>
      </c>
      <c r="AL504" s="162">
        <v>0</v>
      </c>
      <c r="AM504" s="162">
        <v>0</v>
      </c>
      <c r="AN504" s="162">
        <v>0</v>
      </c>
      <c r="AO504" s="162">
        <v>0</v>
      </c>
      <c r="AP504" s="162">
        <v>0</v>
      </c>
      <c r="AQ504" s="162">
        <v>0</v>
      </c>
      <c r="AR504" s="710" t="str">
        <v>1613.par</v>
      </c>
      <c r="AV504" s="82" t="str">
        <v>204,204,0</v>
      </c>
      <c r="AW504" s="947">
        <v>29.091158349317926</v>
      </c>
      <c r="AX504" s="947">
        <v>29.091158349317926</v>
      </c>
      <c r="AY504" s="947">
        <v>0</v>
      </c>
    </row>
    <row r="505" spans="31:51" x14ac:dyDescent="0.25">
      <c r="AE505" s="75">
        <v>2.1160000000000001</v>
      </c>
      <c r="AF505" s="82">
        <v>2</v>
      </c>
      <c r="AG505" s="82">
        <v>1</v>
      </c>
      <c r="AH505" s="82">
        <v>2</v>
      </c>
      <c r="AI505" s="82">
        <v>2.000000000007276</v>
      </c>
      <c r="AJ505" s="166">
        <v>2.1162200000000002</v>
      </c>
      <c r="AK505" s="82">
        <v>2.11612</v>
      </c>
      <c r="AL505" s="162">
        <v>0</v>
      </c>
      <c r="AM505" s="162">
        <v>0</v>
      </c>
      <c r="AN505" s="162">
        <v>0</v>
      </c>
      <c r="AO505" s="162">
        <v>0</v>
      </c>
      <c r="AP505" s="162">
        <v>0</v>
      </c>
      <c r="AQ505" s="162">
        <v>0</v>
      </c>
      <c r="AR505" s="710" t="str">
        <v>1613 Ripper.par</v>
      </c>
      <c r="AV505" s="82" t="str">
        <v>204,204,0</v>
      </c>
      <c r="AW505" s="947">
        <v>10.242376499105918</v>
      </c>
      <c r="AX505" s="947">
        <v>10.242376499105918</v>
      </c>
      <c r="AY505" s="947">
        <v>0</v>
      </c>
    </row>
    <row r="506" spans="31:51" x14ac:dyDescent="0.25">
      <c r="AE506" s="75">
        <v>2.11</v>
      </c>
      <c r="AF506" s="82">
        <v>2</v>
      </c>
      <c r="AG506" s="82">
        <v>1</v>
      </c>
      <c r="AH506" s="82">
        <v>2</v>
      </c>
      <c r="AI506" s="82">
        <v>2.000000000007276</v>
      </c>
      <c r="AJ506" s="166">
        <v>2.11022</v>
      </c>
      <c r="AK506" s="82">
        <v>2.1101199999999998</v>
      </c>
      <c r="AL506" s="162">
        <v>0</v>
      </c>
      <c r="AM506" s="162">
        <v>0</v>
      </c>
      <c r="AN506" s="162">
        <v>0</v>
      </c>
      <c r="AO506" s="162">
        <v>0</v>
      </c>
      <c r="AP506" s="162">
        <v>0</v>
      </c>
      <c r="AQ506" s="162">
        <v>0</v>
      </c>
      <c r="AR506" s="710" t="str">
        <v>1613 Ripper.par</v>
      </c>
      <c r="AV506" s="82" t="str">
        <v>204,204,0</v>
      </c>
      <c r="AW506" s="947">
        <v>-8.604830320611164</v>
      </c>
      <c r="AX506" s="947">
        <v>-8.604830320611164</v>
      </c>
      <c r="AY506" s="947">
        <v>0</v>
      </c>
    </row>
    <row r="507" spans="31:51" x14ac:dyDescent="0.25">
      <c r="AE507" s="75">
        <v>1.2529999999999999</v>
      </c>
      <c r="AF507" s="82">
        <v>1</v>
      </c>
      <c r="AG507" s="82">
        <v>2</v>
      </c>
      <c r="AH507" s="82">
        <v>2</v>
      </c>
      <c r="AI507" s="82">
        <v>2.000000000007276</v>
      </c>
      <c r="AJ507" s="166">
        <v>1.25322</v>
      </c>
      <c r="AK507" s="82">
        <v>1.25312</v>
      </c>
      <c r="AL507" s="162">
        <v>0</v>
      </c>
      <c r="AM507" s="162">
        <v>0</v>
      </c>
      <c r="AN507" s="162">
        <v>0</v>
      </c>
      <c r="AO507" s="162">
        <v>0</v>
      </c>
      <c r="AP507" s="162">
        <v>0</v>
      </c>
      <c r="AQ507" s="162">
        <v>0</v>
      </c>
      <c r="AR507" s="710" t="str">
        <v>1313.par</v>
      </c>
      <c r="AV507" s="82" t="str">
        <v>255,188,121</v>
      </c>
      <c r="AW507" s="947">
        <v>100.03561890671624</v>
      </c>
      <c r="AX507" s="947">
        <v>100.03561890671624</v>
      </c>
      <c r="AY507" s="947">
        <v>0</v>
      </c>
    </row>
    <row r="508" spans="31:51" x14ac:dyDescent="0.25">
      <c r="AE508" s="75">
        <v>1.2470000000000001</v>
      </c>
      <c r="AF508" s="82">
        <v>1</v>
      </c>
      <c r="AG508" s="82">
        <v>2</v>
      </c>
      <c r="AH508" s="82">
        <v>2</v>
      </c>
      <c r="AI508" s="82">
        <v>2.0000000000254659</v>
      </c>
      <c r="AJ508" s="166">
        <v>1.2472200000000002</v>
      </c>
      <c r="AK508" s="82">
        <v>1.2471200000000002</v>
      </c>
      <c r="AL508" s="162">
        <v>0</v>
      </c>
      <c r="AM508" s="162">
        <v>0</v>
      </c>
      <c r="AN508" s="162">
        <v>0</v>
      </c>
      <c r="AO508" s="162">
        <v>0</v>
      </c>
      <c r="AP508" s="162">
        <v>0</v>
      </c>
      <c r="AQ508" s="162">
        <v>0</v>
      </c>
      <c r="AR508" s="710" t="str">
        <v>32193r1.par</v>
      </c>
      <c r="AV508" s="82" t="str">
        <v>255,188,121</v>
      </c>
      <c r="AW508" s="947">
        <v>89.999987005609597</v>
      </c>
      <c r="AX508" s="947">
        <v>89.999987005609597</v>
      </c>
      <c r="AY508" s="947">
        <v>0</v>
      </c>
    </row>
    <row r="509" spans="31:51" x14ac:dyDescent="0.25">
      <c r="AE509" s="75">
        <v>1.2410000000000001</v>
      </c>
      <c r="AF509" s="82">
        <v>1</v>
      </c>
      <c r="AG509" s="82">
        <v>2</v>
      </c>
      <c r="AH509" s="82">
        <v>2</v>
      </c>
      <c r="AI509" s="82">
        <v>2.0000000000254659</v>
      </c>
      <c r="AJ509" s="166">
        <v>1.2412200000000002</v>
      </c>
      <c r="AK509" s="82">
        <v>1.2411200000000002</v>
      </c>
      <c r="AL509" s="162">
        <v>0</v>
      </c>
      <c r="AM509" s="162">
        <v>0</v>
      </c>
      <c r="AN509" s="162">
        <v>0</v>
      </c>
      <c r="AO509" s="162">
        <v>0</v>
      </c>
      <c r="AP509" s="162">
        <v>0</v>
      </c>
      <c r="AQ509" s="162">
        <v>0</v>
      </c>
      <c r="AR509" s="710" t="str">
        <v>32193r1.par</v>
      </c>
      <c r="AV509" s="82" t="str">
        <v>255,188,121</v>
      </c>
      <c r="AW509" s="947">
        <v>89.999987005609611</v>
      </c>
      <c r="AX509" s="947">
        <v>89.999987005609611</v>
      </c>
      <c r="AY509" s="947">
        <v>0</v>
      </c>
    </row>
    <row r="510" spans="31:51" x14ac:dyDescent="0.25">
      <c r="AE510" s="75">
        <v>1.2350000000000001</v>
      </c>
      <c r="AF510" s="82">
        <v>1</v>
      </c>
      <c r="AG510" s="82">
        <v>2</v>
      </c>
      <c r="AH510" s="82">
        <v>2</v>
      </c>
      <c r="AI510" s="82">
        <v>2.0000000000254659</v>
      </c>
      <c r="AJ510" s="166">
        <v>1.2352200000000002</v>
      </c>
      <c r="AK510" s="82">
        <v>1.2351200000000002</v>
      </c>
      <c r="AL510" s="162">
        <v>0</v>
      </c>
      <c r="AM510" s="162">
        <v>0</v>
      </c>
      <c r="AN510" s="162">
        <v>0</v>
      </c>
      <c r="AO510" s="162">
        <v>0</v>
      </c>
      <c r="AP510" s="162">
        <v>0</v>
      </c>
      <c r="AQ510" s="162">
        <v>0</v>
      </c>
      <c r="AR510" s="710" t="str">
        <v>1313.par</v>
      </c>
      <c r="AV510" s="82" t="str">
        <v>255,188,121</v>
      </c>
      <c r="AW510" s="947">
        <v>69.566043588691343</v>
      </c>
      <c r="AX510" s="947">
        <v>69.566043588691343</v>
      </c>
      <c r="AY510" s="947">
        <v>0</v>
      </c>
    </row>
    <row r="511" spans="31:51" x14ac:dyDescent="0.25">
      <c r="AE511" s="75">
        <v>1.2290000000000001</v>
      </c>
      <c r="AF511" s="82">
        <v>1</v>
      </c>
      <c r="AG511" s="82">
        <v>2</v>
      </c>
      <c r="AH511" s="82">
        <v>2</v>
      </c>
      <c r="AI511" s="82">
        <v>2.0000000000254659</v>
      </c>
      <c r="AJ511" s="166">
        <v>1.2292200000000002</v>
      </c>
      <c r="AK511" s="82">
        <v>1.2291200000000002</v>
      </c>
      <c r="AL511" s="162">
        <v>0</v>
      </c>
      <c r="AM511" s="162">
        <v>0</v>
      </c>
      <c r="AN511" s="162">
        <v>0</v>
      </c>
      <c r="AO511" s="162">
        <v>0</v>
      </c>
      <c r="AP511" s="162">
        <v>0</v>
      </c>
      <c r="AQ511" s="162">
        <v>0</v>
      </c>
      <c r="AR511" s="710" t="str">
        <v>1313.par</v>
      </c>
      <c r="AV511" s="82" t="str">
        <v>255,188,121</v>
      </c>
      <c r="AW511" s="947">
        <v>51.026324417745535</v>
      </c>
      <c r="AX511" s="947">
        <v>51.026324417745535</v>
      </c>
      <c r="AY511" s="947">
        <v>0</v>
      </c>
    </row>
    <row r="512" spans="31:51" x14ac:dyDescent="0.25">
      <c r="AE512" s="75">
        <v>1.2230000000000001</v>
      </c>
      <c r="AF512" s="82">
        <v>1</v>
      </c>
      <c r="AG512" s="82">
        <v>2</v>
      </c>
      <c r="AH512" s="82">
        <v>2</v>
      </c>
      <c r="AI512" s="82">
        <v>2.0000000000254659</v>
      </c>
      <c r="AJ512" s="166">
        <v>1.2232200000000002</v>
      </c>
      <c r="AK512" s="82">
        <v>1.2231200000000002</v>
      </c>
      <c r="AL512" s="162">
        <v>0</v>
      </c>
      <c r="AM512" s="162">
        <v>0</v>
      </c>
      <c r="AN512" s="162">
        <v>0</v>
      </c>
      <c r="AO512" s="162">
        <v>0</v>
      </c>
      <c r="AP512" s="162">
        <v>0</v>
      </c>
      <c r="AQ512" s="162">
        <v>0</v>
      </c>
      <c r="AR512" s="710" t="str">
        <v>1313.par</v>
      </c>
      <c r="AV512" s="82" t="str">
        <v>255,188,121</v>
      </c>
      <c r="AW512" s="947">
        <v>32.403257224374144</v>
      </c>
      <c r="AX512" s="947">
        <v>32.403257224374144</v>
      </c>
      <c r="AY512" s="947">
        <v>0</v>
      </c>
    </row>
    <row r="513" spans="31:51" x14ac:dyDescent="0.25">
      <c r="AE513" s="75">
        <v>1.2170000000000001</v>
      </c>
      <c r="AF513" s="82">
        <v>1</v>
      </c>
      <c r="AG513" s="82">
        <v>2</v>
      </c>
      <c r="AH513" s="82">
        <v>2</v>
      </c>
      <c r="AI513" s="82">
        <v>2.0000000000254659</v>
      </c>
      <c r="AJ513" s="166">
        <v>1.2172200000000002</v>
      </c>
      <c r="AK513" s="82">
        <v>1.2171200000000002</v>
      </c>
      <c r="AL513" s="162">
        <v>0</v>
      </c>
      <c r="AM513" s="162">
        <v>0</v>
      </c>
      <c r="AN513" s="162">
        <v>0</v>
      </c>
      <c r="AO513" s="162">
        <v>0</v>
      </c>
      <c r="AP513" s="162">
        <v>0</v>
      </c>
      <c r="AQ513" s="162">
        <v>0</v>
      </c>
      <c r="AR513" s="710" t="str">
        <v>32193r1.par</v>
      </c>
      <c r="AV513" s="82" t="str">
        <v>255,188,121</v>
      </c>
      <c r="AW513" s="947">
        <v>5.9999991337073153</v>
      </c>
      <c r="AX513" s="947">
        <v>5.9999991337073153</v>
      </c>
      <c r="AY513" s="947">
        <v>0</v>
      </c>
    </row>
    <row r="514" spans="31:51" x14ac:dyDescent="0.25">
      <c r="AE514" s="75">
        <v>1.147</v>
      </c>
      <c r="AF514" s="82">
        <v>1</v>
      </c>
      <c r="AG514" s="82">
        <v>1</v>
      </c>
      <c r="AH514" s="82">
        <v>2</v>
      </c>
      <c r="AI514" s="82">
        <v>2.000000000007276</v>
      </c>
      <c r="AJ514" s="166">
        <v>1.1472200000000001</v>
      </c>
      <c r="AK514" s="82">
        <v>1.1471200000000001</v>
      </c>
      <c r="AL514" s="162">
        <v>0</v>
      </c>
      <c r="AM514" s="162">
        <v>0</v>
      </c>
      <c r="AN514" s="162">
        <v>0</v>
      </c>
      <c r="AO514" s="162">
        <v>0</v>
      </c>
      <c r="AP514" s="162">
        <v>0</v>
      </c>
      <c r="AQ514" s="162">
        <v>0</v>
      </c>
      <c r="AR514" s="710" t="str">
        <v>1613.par</v>
      </c>
      <c r="AV514" s="82" t="str">
        <v>255,127,0</v>
      </c>
      <c r="AW514" s="947">
        <v>84.970117416838434</v>
      </c>
      <c r="AX514" s="947">
        <v>84.970117416838434</v>
      </c>
      <c r="AY514" s="947">
        <v>0</v>
      </c>
    </row>
    <row r="515" spans="31:51" x14ac:dyDescent="0.25">
      <c r="AE515" s="75">
        <v>1.141</v>
      </c>
      <c r="AF515" s="82">
        <v>1</v>
      </c>
      <c r="AG515" s="82">
        <v>1</v>
      </c>
      <c r="AH515" s="82">
        <v>2</v>
      </c>
      <c r="AI515" s="82">
        <v>2.000000000007276</v>
      </c>
      <c r="AJ515" s="166">
        <v>1.1412200000000001</v>
      </c>
      <c r="AK515" s="82">
        <v>1.1411200000000001</v>
      </c>
      <c r="AL515" s="162">
        <v>0</v>
      </c>
      <c r="AM515" s="162">
        <v>0</v>
      </c>
      <c r="AN515" s="162">
        <v>0</v>
      </c>
      <c r="AO515" s="162">
        <v>0</v>
      </c>
      <c r="AP515" s="162">
        <v>0</v>
      </c>
      <c r="AQ515" s="162">
        <v>0</v>
      </c>
      <c r="AR515" s="710" t="str">
        <v>1613.par</v>
      </c>
      <c r="AV515" s="82" t="str">
        <v>255,127,0</v>
      </c>
      <c r="AW515" s="947">
        <v>84.96994937215598</v>
      </c>
      <c r="AX515" s="947">
        <v>84.96994937215598</v>
      </c>
      <c r="AY515" s="947">
        <v>0</v>
      </c>
    </row>
    <row r="516" spans="31:51" x14ac:dyDescent="0.25">
      <c r="AE516" s="75">
        <v>1.135</v>
      </c>
      <c r="AF516" s="82">
        <v>1</v>
      </c>
      <c r="AG516" s="82">
        <v>1</v>
      </c>
      <c r="AH516" s="82">
        <v>2</v>
      </c>
      <c r="AI516" s="82">
        <v>2.000000000007276</v>
      </c>
      <c r="AJ516" s="166">
        <v>1.1352200000000001</v>
      </c>
      <c r="AK516" s="82">
        <v>1.1351200000000001</v>
      </c>
      <c r="AL516" s="162">
        <v>0</v>
      </c>
      <c r="AM516" s="162">
        <v>0</v>
      </c>
      <c r="AN516" s="162">
        <v>0</v>
      </c>
      <c r="AO516" s="162">
        <v>0</v>
      </c>
      <c r="AP516" s="162">
        <v>0</v>
      </c>
      <c r="AQ516" s="162">
        <v>0</v>
      </c>
      <c r="AR516" s="710" t="str">
        <v>1613.par</v>
      </c>
      <c r="AV516" s="82" t="str">
        <v>255,127,0</v>
      </c>
      <c r="AW516" s="947">
        <v>69.53293472939626</v>
      </c>
      <c r="AX516" s="947">
        <v>69.53293472939626</v>
      </c>
      <c r="AY516" s="947">
        <v>0</v>
      </c>
    </row>
    <row r="517" spans="31:51" x14ac:dyDescent="0.25">
      <c r="AE517" s="75">
        <v>1.129</v>
      </c>
      <c r="AF517" s="82">
        <v>1</v>
      </c>
      <c r="AG517" s="82">
        <v>1</v>
      </c>
      <c r="AH517" s="82">
        <v>2</v>
      </c>
      <c r="AI517" s="82">
        <v>2.000000000007276</v>
      </c>
      <c r="AJ517" s="166">
        <v>1.1292200000000001</v>
      </c>
      <c r="AK517" s="82">
        <v>1.1291200000000001</v>
      </c>
      <c r="AL517" s="162">
        <v>0</v>
      </c>
      <c r="AM517" s="162">
        <v>0</v>
      </c>
      <c r="AN517" s="162">
        <v>0</v>
      </c>
      <c r="AO517" s="162">
        <v>0</v>
      </c>
      <c r="AP517" s="162">
        <v>0</v>
      </c>
      <c r="AQ517" s="162">
        <v>0</v>
      </c>
      <c r="AR517" s="710" t="str">
        <v>1613.par</v>
      </c>
      <c r="AV517" s="82" t="str">
        <v>255,127,0</v>
      </c>
      <c r="AW517" s="947">
        <v>50.943025181030578</v>
      </c>
      <c r="AX517" s="947">
        <v>50.943025181030578</v>
      </c>
      <c r="AY517" s="947">
        <v>0</v>
      </c>
    </row>
    <row r="518" spans="31:51" x14ac:dyDescent="0.25">
      <c r="AE518" s="75">
        <v>1.123</v>
      </c>
      <c r="AF518" s="82">
        <v>1</v>
      </c>
      <c r="AG518" s="82">
        <v>1</v>
      </c>
      <c r="AH518" s="82">
        <v>2</v>
      </c>
      <c r="AI518" s="82">
        <v>2.000000000007276</v>
      </c>
      <c r="AJ518" s="166">
        <v>1.1232200000000001</v>
      </c>
      <c r="AK518" s="82">
        <v>1.1231200000000001</v>
      </c>
      <c r="AL518" s="162">
        <v>0</v>
      </c>
      <c r="AM518" s="162">
        <v>0</v>
      </c>
      <c r="AN518" s="162">
        <v>0</v>
      </c>
      <c r="AO518" s="162">
        <v>0</v>
      </c>
      <c r="AP518" s="162">
        <v>0</v>
      </c>
      <c r="AQ518" s="162">
        <v>0</v>
      </c>
      <c r="AR518" s="710" t="str">
        <v>1613.par</v>
      </c>
      <c r="AV518" s="82" t="str">
        <v>255,127,0</v>
      </c>
      <c r="AW518" s="947">
        <v>32.228901208944677</v>
      </c>
      <c r="AX518" s="947">
        <v>32.228901208944677</v>
      </c>
      <c r="AY518" s="947">
        <v>0</v>
      </c>
    </row>
    <row r="519" spans="31:51" x14ac:dyDescent="0.25">
      <c r="AE519" s="75">
        <v>1.117</v>
      </c>
      <c r="AF519" s="82">
        <v>1</v>
      </c>
      <c r="AG519" s="82">
        <v>1</v>
      </c>
      <c r="AH519" s="82">
        <v>2</v>
      </c>
      <c r="AI519" s="82">
        <v>2.000000000007276</v>
      </c>
      <c r="AJ519" s="166">
        <v>1.1172200000000001</v>
      </c>
      <c r="AK519" s="82">
        <v>1.1171200000000001</v>
      </c>
      <c r="AL519" s="162">
        <v>0</v>
      </c>
      <c r="AM519" s="162">
        <v>0</v>
      </c>
      <c r="AN519" s="162">
        <v>0</v>
      </c>
      <c r="AO519" s="162">
        <v>0</v>
      </c>
      <c r="AP519" s="162">
        <v>0</v>
      </c>
      <c r="AQ519" s="162">
        <v>0</v>
      </c>
      <c r="AR519" s="710" t="str">
        <v>1613 Ripper.par</v>
      </c>
      <c r="AV519" s="82" t="str">
        <v>255,127,0</v>
      </c>
      <c r="AW519" s="947">
        <v>13.374429842880255</v>
      </c>
      <c r="AX519" s="947">
        <v>13.374429842880255</v>
      </c>
      <c r="AY519" s="947">
        <v>0</v>
      </c>
    </row>
    <row r="520" spans="31:51" x14ac:dyDescent="0.25">
      <c r="AE520" s="75">
        <v>1.111</v>
      </c>
      <c r="AF520" s="82">
        <v>1</v>
      </c>
      <c r="AG520" s="82">
        <v>1</v>
      </c>
      <c r="AH520" s="82">
        <v>2</v>
      </c>
      <c r="AI520" s="82">
        <v>2.000000000007276</v>
      </c>
      <c r="AJ520" s="166">
        <v>1.1112200000000001</v>
      </c>
      <c r="AK520" s="82">
        <v>1.1111200000000001</v>
      </c>
      <c r="AL520" s="162">
        <v>0</v>
      </c>
      <c r="AM520" s="162">
        <v>0</v>
      </c>
      <c r="AN520" s="162">
        <v>0</v>
      </c>
      <c r="AO520" s="162">
        <v>0</v>
      </c>
      <c r="AP520" s="162">
        <v>0</v>
      </c>
      <c r="AQ520" s="162">
        <v>0</v>
      </c>
      <c r="AR520" s="710" t="str">
        <v>1613 Ripper.par</v>
      </c>
      <c r="AV520" s="82" t="str">
        <v>255,127,0</v>
      </c>
      <c r="AW520" s="947">
        <v>-5.4571267998021593</v>
      </c>
      <c r="AX520" s="947">
        <v>-5.4571267998021593</v>
      </c>
      <c r="AY520" s="947">
        <v>0</v>
      </c>
    </row>
    <row r="521" spans="31:51" x14ac:dyDescent="0.25">
      <c r="AE521" s="75">
        <v>1.107</v>
      </c>
      <c r="AF521" s="82">
        <v>1</v>
      </c>
      <c r="AG521" s="82">
        <v>1</v>
      </c>
      <c r="AH521" s="82">
        <v>2</v>
      </c>
      <c r="AI521" s="82">
        <v>2.000000000007276</v>
      </c>
      <c r="AJ521" s="166">
        <v>1.1072200000000001</v>
      </c>
      <c r="AK521" s="82">
        <v>1.1071200000000001</v>
      </c>
      <c r="AL521" s="162">
        <v>0</v>
      </c>
      <c r="AM521" s="162">
        <v>0</v>
      </c>
      <c r="AN521" s="162">
        <v>0</v>
      </c>
      <c r="AO521" s="162">
        <v>0</v>
      </c>
      <c r="AP521" s="162">
        <v>0</v>
      </c>
      <c r="AQ521" s="162">
        <v>0</v>
      </c>
      <c r="AR521" s="710" t="str">
        <v>1613 Ripper.par</v>
      </c>
      <c r="AV521" s="82" t="str">
        <v>255,127,0</v>
      </c>
      <c r="AW521" s="947">
        <v>-12.188363844259069</v>
      </c>
      <c r="AX521" s="947">
        <v>-12.188363844259069</v>
      </c>
      <c r="AY521" s="947">
        <v>0</v>
      </c>
    </row>
    <row r="522" spans="31:51" x14ac:dyDescent="0.25">
      <c r="AE522" s="75">
        <v>1.1040000000000001</v>
      </c>
      <c r="AF522" s="82">
        <v>1</v>
      </c>
      <c r="AG522" s="82">
        <v>1</v>
      </c>
      <c r="AH522" s="82">
        <v>2</v>
      </c>
      <c r="AI522" s="82">
        <v>2.0000000000254659</v>
      </c>
      <c r="AJ522" s="166">
        <v>1.1042200000000002</v>
      </c>
      <c r="AK522" s="82">
        <v>1.1041200000000002</v>
      </c>
      <c r="AL522" s="162">
        <v>0</v>
      </c>
      <c r="AM522" s="162">
        <v>0</v>
      </c>
      <c r="AN522" s="162">
        <v>0</v>
      </c>
      <c r="AO522" s="162">
        <v>0</v>
      </c>
      <c r="AP522" s="162">
        <v>0</v>
      </c>
      <c r="AQ522" s="162">
        <v>0</v>
      </c>
      <c r="AR522" s="710" t="str">
        <v>1613 Ripper.par</v>
      </c>
      <c r="AV522" s="82" t="str">
        <v>255,127,0</v>
      </c>
      <c r="AW522" s="947">
        <v>-13.592723484172373</v>
      </c>
      <c r="AX522" s="947">
        <v>-13.592723484172373</v>
      </c>
      <c r="AY522" s="947">
        <v>0</v>
      </c>
    </row>
    <row r="523" spans="31:51" x14ac:dyDescent="0.25">
      <c r="AE523" s="75">
        <v>1.101</v>
      </c>
      <c r="AF523" s="82">
        <v>1</v>
      </c>
      <c r="AG523" s="82">
        <v>1</v>
      </c>
      <c r="AH523" s="82">
        <v>2</v>
      </c>
      <c r="AI523" s="82">
        <v>2.000000000007276</v>
      </c>
      <c r="AJ523" s="166">
        <v>1.1012200000000001</v>
      </c>
      <c r="AK523" s="82">
        <v>1.1011200000000001</v>
      </c>
      <c r="AL523" s="162">
        <v>0</v>
      </c>
      <c r="AM523" s="162">
        <v>0</v>
      </c>
      <c r="AN523" s="162">
        <v>0</v>
      </c>
      <c r="AO523" s="162">
        <v>0</v>
      </c>
      <c r="AP523" s="162">
        <v>0</v>
      </c>
      <c r="AQ523" s="162">
        <v>0</v>
      </c>
      <c r="AR523" s="710" t="str">
        <v>1613.par</v>
      </c>
      <c r="AV523" s="82" t="str">
        <v>255,127,0</v>
      </c>
      <c r="AW523" s="947">
        <v>-18.141294048916745</v>
      </c>
      <c r="AX523" s="947">
        <v>-18.141294048916745</v>
      </c>
      <c r="AY523" s="947">
        <v>0</v>
      </c>
    </row>
    <row r="524" spans="31:51" x14ac:dyDescent="0.25">
      <c r="AE524" s="75">
        <v>6.2539999999999996</v>
      </c>
      <c r="AF524" s="82">
        <v>6</v>
      </c>
      <c r="AG524" s="82">
        <v>2</v>
      </c>
      <c r="AH524" s="82">
        <v>1</v>
      </c>
      <c r="AI524" s="82">
        <v>3.0000000000291038</v>
      </c>
      <c r="AJ524" s="166">
        <v>6.25413</v>
      </c>
      <c r="AK524" s="82" t="str">
        <v>Base</v>
      </c>
      <c r="AL524" s="162">
        <v>-8.25</v>
      </c>
      <c r="AM524" s="162">
        <v>-5.1223779559634774</v>
      </c>
      <c r="AN524" s="162">
        <v>-9.577502715860998</v>
      </c>
      <c r="AO524" s="162">
        <v>100.03561890671624</v>
      </c>
      <c r="AP524" s="162">
        <v>-39.831236627249652</v>
      </c>
      <c r="AQ524" s="162">
        <v>0</v>
      </c>
      <c r="AR524" s="710" t="str">
        <v>1313.par</v>
      </c>
      <c r="AV524" s="82" t="str">
        <v>188,121,255</v>
      </c>
      <c r="AW524" s="947">
        <v>100.03561890671624</v>
      </c>
      <c r="AX524" s="947">
        <v>100.03561890671624</v>
      </c>
      <c r="AY524" s="947">
        <v>0</v>
      </c>
    </row>
    <row r="525" spans="31:51" x14ac:dyDescent="0.25">
      <c r="AE525" s="75">
        <v>6.2480000000000002</v>
      </c>
      <c r="AF525" s="82">
        <v>6</v>
      </c>
      <c r="AG525" s="82">
        <v>2</v>
      </c>
      <c r="AH525" s="82">
        <v>1</v>
      </c>
      <c r="AI525" s="82">
        <v>3.0000000000291038</v>
      </c>
      <c r="AJ525" s="166">
        <v>6.2481300000000006</v>
      </c>
      <c r="AK525" s="82" t="str">
        <v>Base</v>
      </c>
      <c r="AL525" s="162">
        <v>-8.25</v>
      </c>
      <c r="AM525" s="162">
        <v>-5.02087479466259</v>
      </c>
      <c r="AN525" s="162">
        <v>-3.3968894986260953</v>
      </c>
      <c r="AO525" s="162">
        <v>89.999987005609597</v>
      </c>
      <c r="AP525" s="162">
        <v>0</v>
      </c>
      <c r="AQ525" s="162">
        <v>0</v>
      </c>
      <c r="AR525" s="710" t="str">
        <v>32193r1.par</v>
      </c>
      <c r="AV525" s="82" t="str">
        <v>188,121,255</v>
      </c>
      <c r="AW525" s="947">
        <v>89.999987005609597</v>
      </c>
      <c r="AX525" s="947">
        <v>89.999987005609597</v>
      </c>
      <c r="AY525" s="947">
        <v>0</v>
      </c>
    </row>
    <row r="526" spans="31:51" x14ac:dyDescent="0.25">
      <c r="AE526" s="75">
        <v>6.242</v>
      </c>
      <c r="AF526" s="82">
        <v>6</v>
      </c>
      <c r="AG526" s="82">
        <v>2</v>
      </c>
      <c r="AH526" s="82">
        <v>1</v>
      </c>
      <c r="AI526" s="82">
        <v>3.0000000000291038</v>
      </c>
      <c r="AJ526" s="166">
        <v>6.2421300000000004</v>
      </c>
      <c r="AK526" s="82" t="str">
        <v>Base</v>
      </c>
      <c r="AL526" s="162">
        <v>-8.25</v>
      </c>
      <c r="AM526" s="162">
        <v>-4.9927899012947687</v>
      </c>
      <c r="AN526" s="162">
        <v>-2.6455030774578323</v>
      </c>
      <c r="AO526" s="162">
        <v>89.999987005609626</v>
      </c>
      <c r="AP526" s="162">
        <v>0</v>
      </c>
      <c r="AQ526" s="162">
        <v>0</v>
      </c>
      <c r="AR526" s="710" t="str">
        <v>32193r1.par</v>
      </c>
      <c r="AV526" s="82" t="str">
        <v>188,121,255</v>
      </c>
      <c r="AW526" s="947">
        <v>89.999987005609626</v>
      </c>
      <c r="AX526" s="947">
        <v>89.999987005609626</v>
      </c>
      <c r="AY526" s="947">
        <v>0</v>
      </c>
    </row>
    <row r="527" spans="31:51" x14ac:dyDescent="0.25">
      <c r="AE527" s="75">
        <v>6.2359999999999998</v>
      </c>
      <c r="AF527" s="82">
        <v>6</v>
      </c>
      <c r="AG527" s="82">
        <v>2</v>
      </c>
      <c r="AH527" s="82">
        <v>1</v>
      </c>
      <c r="AI527" s="82">
        <v>3.0000000000291038</v>
      </c>
      <c r="AJ527" s="166">
        <v>6.2361300000000002</v>
      </c>
      <c r="AK527" s="82" t="str">
        <v>Base</v>
      </c>
      <c r="AL527" s="162">
        <v>-8.25</v>
      </c>
      <c r="AM527" s="162">
        <v>-4.9489444380016616</v>
      </c>
      <c r="AN527" s="162">
        <v>-1.8903852060990123</v>
      </c>
      <c r="AO527" s="162">
        <v>75.999989026959227</v>
      </c>
      <c r="AP527" s="162">
        <v>0</v>
      </c>
      <c r="AQ527" s="162">
        <v>0</v>
      </c>
      <c r="AR527" s="710" t="str">
        <v>32193r1.par</v>
      </c>
      <c r="AV527" s="82" t="str">
        <v>188,121,255</v>
      </c>
      <c r="AW527" s="947">
        <v>75.999989026959227</v>
      </c>
      <c r="AX527" s="947">
        <v>75.999989026959227</v>
      </c>
      <c r="AY527" s="947">
        <v>0</v>
      </c>
    </row>
    <row r="528" spans="31:51" x14ac:dyDescent="0.25">
      <c r="AE528" s="75">
        <v>6.23</v>
      </c>
      <c r="AF528" s="82">
        <v>6</v>
      </c>
      <c r="AG528" s="82">
        <v>2</v>
      </c>
      <c r="AH528" s="82">
        <v>1</v>
      </c>
      <c r="AI528" s="82">
        <v>3.0000000001018634</v>
      </c>
      <c r="AJ528" s="166">
        <v>6.2301300000000008</v>
      </c>
      <c r="AK528" s="82" t="str">
        <v>Base</v>
      </c>
      <c r="AL528" s="162">
        <v>-8.25</v>
      </c>
      <c r="AM528" s="162">
        <v>-4.6587367544457434</v>
      </c>
      <c r="AN528" s="162">
        <v>-1.1900551153559435</v>
      </c>
      <c r="AO528" s="162">
        <v>54.999992058983658</v>
      </c>
      <c r="AP528" s="162">
        <v>0</v>
      </c>
      <c r="AQ528" s="162">
        <v>0</v>
      </c>
      <c r="AR528" s="710" t="str">
        <v>32193r1.par</v>
      </c>
      <c r="AV528" s="82" t="str">
        <v>188,121,255</v>
      </c>
      <c r="AW528" s="947">
        <v>54.999992058983658</v>
      </c>
      <c r="AX528" s="947">
        <v>54.999992058983658</v>
      </c>
      <c r="AY528" s="947">
        <v>0</v>
      </c>
    </row>
    <row r="529" spans="31:51" x14ac:dyDescent="0.25">
      <c r="AE529" s="75">
        <v>6.2240000000000002</v>
      </c>
      <c r="AF529" s="82">
        <v>6</v>
      </c>
      <c r="AG529" s="82">
        <v>2</v>
      </c>
      <c r="AH529" s="82">
        <v>1</v>
      </c>
      <c r="AI529" s="82">
        <v>3.0000000000291038</v>
      </c>
      <c r="AJ529" s="166">
        <v>6.2241300000000006</v>
      </c>
      <c r="AK529" s="82" t="str">
        <v>Base</v>
      </c>
      <c r="AL529" s="162">
        <v>-8.25</v>
      </c>
      <c r="AM529" s="162">
        <v>-4.1347966802298517</v>
      </c>
      <c r="AN529" s="162">
        <v>-0.63953428553362535</v>
      </c>
      <c r="AO529" s="162">
        <v>33.999995091008067</v>
      </c>
      <c r="AP529" s="162">
        <v>0</v>
      </c>
      <c r="AQ529" s="162">
        <v>0</v>
      </c>
      <c r="AR529" s="710" t="str">
        <v>32193r1.par</v>
      </c>
      <c r="AV529" s="82" t="str">
        <v>188,121,255</v>
      </c>
      <c r="AW529" s="947">
        <v>33.999995091008067</v>
      </c>
      <c r="AX529" s="947">
        <v>33.999995091008067</v>
      </c>
      <c r="AY529" s="947">
        <v>0</v>
      </c>
    </row>
    <row r="530" spans="31:51" x14ac:dyDescent="0.25">
      <c r="AE530" s="75">
        <v>6.218</v>
      </c>
      <c r="AF530" s="82">
        <v>6</v>
      </c>
      <c r="AG530" s="82">
        <v>2</v>
      </c>
      <c r="AH530" s="82">
        <v>1</v>
      </c>
      <c r="AI530" s="82">
        <v>3.0000000000291038</v>
      </c>
      <c r="AJ530" s="166">
        <v>6.2181300000000004</v>
      </c>
      <c r="AK530" s="82" t="str">
        <v>Base</v>
      </c>
      <c r="AL530" s="162">
        <v>-8.25</v>
      </c>
      <c r="AM530" s="162">
        <v>-3.4452199378410095</v>
      </c>
      <c r="AN530" s="162">
        <v>-0.31378922075499782</v>
      </c>
      <c r="AO530" s="162">
        <v>12.999998123032499</v>
      </c>
      <c r="AP530" s="162">
        <v>0</v>
      </c>
      <c r="AQ530" s="162">
        <v>0</v>
      </c>
      <c r="AR530" s="710" t="str">
        <v>32193r1.par</v>
      </c>
      <c r="AV530" s="82" t="str">
        <v>188,121,255</v>
      </c>
      <c r="AW530" s="947">
        <v>12.999998123032499</v>
      </c>
      <c r="AX530" s="947">
        <v>12.999998123032499</v>
      </c>
      <c r="AY530" s="947">
        <v>0</v>
      </c>
    </row>
    <row r="531" spans="31:51" x14ac:dyDescent="0.25">
      <c r="AE531" s="75">
        <v>6.1479999999999997</v>
      </c>
      <c r="AF531" s="82">
        <v>6</v>
      </c>
      <c r="AG531" s="82">
        <v>1</v>
      </c>
      <c r="AH531" s="82">
        <v>1</v>
      </c>
      <c r="AI531" s="82">
        <v>3.0000000000291038</v>
      </c>
      <c r="AJ531" s="166">
        <v>6.1481300000000001</v>
      </c>
      <c r="AK531" s="82" t="str">
        <v>Base</v>
      </c>
      <c r="AL531" s="162">
        <v>-7.5</v>
      </c>
      <c r="AM531" s="162">
        <v>-5.0550887932628417</v>
      </c>
      <c r="AN531" s="162">
        <v>-3.3766240860829173</v>
      </c>
      <c r="AO531" s="162">
        <v>84.970117416838406</v>
      </c>
      <c r="AP531" s="162">
        <v>-29.785208788526884</v>
      </c>
      <c r="AQ531" s="162">
        <v>0</v>
      </c>
      <c r="AR531" s="710" t="str">
        <v>1613.par</v>
      </c>
      <c r="AV531" s="82" t="str">
        <v>127,0,255</v>
      </c>
      <c r="AW531" s="947">
        <v>84.970117416838406</v>
      </c>
      <c r="AX531" s="947">
        <v>84.970117416838406</v>
      </c>
      <c r="AY531" s="947">
        <v>0</v>
      </c>
    </row>
    <row r="532" spans="31:51" x14ac:dyDescent="0.25">
      <c r="AE532" s="75">
        <v>6.1420000000000003</v>
      </c>
      <c r="AF532" s="82">
        <v>6</v>
      </c>
      <c r="AG532" s="82">
        <v>1</v>
      </c>
      <c r="AH532" s="82">
        <v>1</v>
      </c>
      <c r="AI532" s="82">
        <v>3.0000000001018634</v>
      </c>
      <c r="AJ532" s="166">
        <v>6.1421300000000008</v>
      </c>
      <c r="AK532" s="82" t="str">
        <v>Base</v>
      </c>
      <c r="AL532" s="162">
        <v>-7.5</v>
      </c>
      <c r="AM532" s="162">
        <v>-5.0270040657372705</v>
      </c>
      <c r="AN532" s="162">
        <v>-2.6251398038523592</v>
      </c>
      <c r="AO532" s="162">
        <v>84.96994937215598</v>
      </c>
      <c r="AP532" s="162">
        <v>-29.78411602484832</v>
      </c>
      <c r="AQ532" s="162">
        <v>0</v>
      </c>
      <c r="AR532" s="710" t="str">
        <v>1613.par</v>
      </c>
      <c r="AV532" s="82" t="str">
        <v>127,0,255</v>
      </c>
      <c r="AW532" s="947">
        <v>84.96994937215598</v>
      </c>
      <c r="AX532" s="947">
        <v>84.96994937215598</v>
      </c>
      <c r="AY532" s="947">
        <v>0</v>
      </c>
    </row>
    <row r="533" spans="31:51" x14ac:dyDescent="0.25">
      <c r="AE533" s="75">
        <v>6.1360000000000001</v>
      </c>
      <c r="AF533" s="82">
        <v>6</v>
      </c>
      <c r="AG533" s="82">
        <v>1</v>
      </c>
      <c r="AH533" s="82">
        <v>1</v>
      </c>
      <c r="AI533" s="82">
        <v>3.0000000000291038</v>
      </c>
      <c r="AJ533" s="166">
        <v>6.1361300000000005</v>
      </c>
      <c r="AK533" s="82" t="str">
        <v>Base</v>
      </c>
      <c r="AL533" s="162">
        <v>-7.5</v>
      </c>
      <c r="AM533" s="162">
        <v>-4.9750965181077582</v>
      </c>
      <c r="AN533" s="162">
        <v>-1.8647085328086965</v>
      </c>
      <c r="AO533" s="162">
        <v>72.623499997444313</v>
      </c>
      <c r="AP533" s="162">
        <v>-27.122431911212644</v>
      </c>
      <c r="AQ533" s="162">
        <v>0</v>
      </c>
      <c r="AR533" s="710" t="str">
        <v>1613.par</v>
      </c>
      <c r="AV533" s="82" t="str">
        <v>127,0,255</v>
      </c>
      <c r="AW533" s="947">
        <v>72.623499997444313</v>
      </c>
      <c r="AX533" s="947">
        <v>72.623499997444313</v>
      </c>
      <c r="AY533" s="947">
        <v>0</v>
      </c>
    </row>
    <row r="534" spans="31:51" x14ac:dyDescent="0.25">
      <c r="AE534" s="75">
        <v>6.13</v>
      </c>
      <c r="AF534" s="82">
        <v>6</v>
      </c>
      <c r="AG534" s="82">
        <v>1</v>
      </c>
      <c r="AH534" s="82">
        <v>1</v>
      </c>
      <c r="AI534" s="82">
        <v>3.0000000000291038</v>
      </c>
      <c r="AJ534" s="166">
        <v>6.1301300000000003</v>
      </c>
      <c r="AK534" s="82" t="str">
        <v>Base</v>
      </c>
      <c r="AL534" s="162">
        <v>-7.5</v>
      </c>
      <c r="AM534" s="162">
        <v>-4.6734295163530577</v>
      </c>
      <c r="AN534" s="162">
        <v>-1.1608189594259546</v>
      </c>
      <c r="AO534" s="162">
        <v>54.048010045486649</v>
      </c>
      <c r="AP534" s="162">
        <v>-23.140655756290503</v>
      </c>
      <c r="AQ534" s="162">
        <v>0</v>
      </c>
      <c r="AR534" s="710" t="str">
        <v>1613.par</v>
      </c>
      <c r="AV534" s="82" t="str">
        <v>127,0,255</v>
      </c>
      <c r="AW534" s="947">
        <v>54.048010045486649</v>
      </c>
      <c r="AX534" s="947">
        <v>54.048010045486649</v>
      </c>
      <c r="AY534" s="947">
        <v>0</v>
      </c>
    </row>
    <row r="535" spans="31:51" x14ac:dyDescent="0.25">
      <c r="AE535" s="75">
        <v>6.1239999999999997</v>
      </c>
      <c r="AF535" s="82">
        <v>6</v>
      </c>
      <c r="AG535" s="82">
        <v>1</v>
      </c>
      <c r="AH535" s="82">
        <v>1</v>
      </c>
      <c r="AI535" s="82">
        <v>3.0000000000291038</v>
      </c>
      <c r="AJ535" s="166">
        <v>6.1241300000000001</v>
      </c>
      <c r="AK535" s="82" t="str">
        <v>Base</v>
      </c>
      <c r="AL535" s="162">
        <v>-7.5</v>
      </c>
      <c r="AM535" s="162">
        <v>-4.1407800265276293</v>
      </c>
      <c r="AN535" s="162">
        <v>-0.61014823193770384</v>
      </c>
      <c r="AO535" s="162">
        <v>35.360276952469491</v>
      </c>
      <c r="AP535" s="162">
        <v>-19.176506828006705</v>
      </c>
      <c r="AQ535" s="162">
        <v>0</v>
      </c>
      <c r="AR535" s="710" t="str">
        <v>1613.par</v>
      </c>
      <c r="AV535" s="82" t="str">
        <v>127,0,255</v>
      </c>
      <c r="AW535" s="947">
        <v>35.360276952469491</v>
      </c>
      <c r="AX535" s="947">
        <v>35.360276952469491</v>
      </c>
      <c r="AY535" s="947">
        <v>0</v>
      </c>
    </row>
    <row r="536" spans="31:51" x14ac:dyDescent="0.25">
      <c r="AE536" s="75">
        <v>6.1180000000000003</v>
      </c>
      <c r="AF536" s="82">
        <v>6</v>
      </c>
      <c r="AG536" s="82">
        <v>1</v>
      </c>
      <c r="AH536" s="82">
        <v>1</v>
      </c>
      <c r="AI536" s="82">
        <v>3.0000000001018634</v>
      </c>
      <c r="AJ536" s="166">
        <v>6.1181300000000007</v>
      </c>
      <c r="AK536" s="82" t="str">
        <v>Base</v>
      </c>
      <c r="AL536" s="162">
        <v>-7.5</v>
      </c>
      <c r="AM536" s="162">
        <v>-3.4466194971855479</v>
      </c>
      <c r="AN536" s="162">
        <v>-0.28498111901833822</v>
      </c>
      <c r="AO536" s="162">
        <v>16.504059297615232</v>
      </c>
      <c r="AP536" s="162">
        <v>-15.806279282856705</v>
      </c>
      <c r="AQ536" s="162">
        <v>0</v>
      </c>
      <c r="AR536" s="710" t="str">
        <v>1613 Ripper.par</v>
      </c>
      <c r="AV536" s="82" t="str">
        <v>127,0,255</v>
      </c>
      <c r="AW536" s="947">
        <v>16.504059297615232</v>
      </c>
      <c r="AX536" s="947">
        <v>16.504059297615232</v>
      </c>
      <c r="AY536" s="947">
        <v>0</v>
      </c>
    </row>
    <row r="537" spans="31:51" x14ac:dyDescent="0.25">
      <c r="AE537" s="75">
        <v>6.1120000000000001</v>
      </c>
      <c r="AF537" s="82">
        <v>6</v>
      </c>
      <c r="AG537" s="82">
        <v>1</v>
      </c>
      <c r="AH537" s="82">
        <v>1</v>
      </c>
      <c r="AI537" s="82">
        <v>3.0000000000291038</v>
      </c>
      <c r="AJ537" s="166">
        <v>6.1121300000000005</v>
      </c>
      <c r="AK537" s="82" t="str">
        <v>Base</v>
      </c>
      <c r="AL537" s="162">
        <v>-7.5</v>
      </c>
      <c r="AM537" s="162">
        <v>-2.6817598405224108</v>
      </c>
      <c r="AN537" s="162">
        <v>-0.22896156210796892</v>
      </c>
      <c r="AO537" s="162">
        <v>-2.3119637600075813</v>
      </c>
      <c r="AP537" s="162">
        <v>-15.311212110967897</v>
      </c>
      <c r="AQ537" s="162">
        <v>0</v>
      </c>
      <c r="AR537" s="710" t="str">
        <v>1613 Ripper.par</v>
      </c>
      <c r="AV537" s="82" t="str">
        <v>127,0,255</v>
      </c>
      <c r="AW537" s="947">
        <v>-2.3119637600075813</v>
      </c>
      <c r="AX537" s="947">
        <v>-2.3119637600075813</v>
      </c>
      <c r="AY537" s="947">
        <v>0</v>
      </c>
    </row>
    <row r="538" spans="31:51" x14ac:dyDescent="0.25">
      <c r="AE538" s="75">
        <v>5.2549999999999999</v>
      </c>
      <c r="AF538" s="82">
        <v>5</v>
      </c>
      <c r="AG538" s="82">
        <v>2</v>
      </c>
      <c r="AH538" s="82">
        <v>1</v>
      </c>
      <c r="AI538" s="82">
        <v>3.0000000000291038</v>
      </c>
      <c r="AJ538" s="166">
        <v>5.2551300000000003</v>
      </c>
      <c r="AK538" s="82" t="str">
        <v>Base</v>
      </c>
      <c r="AL538" s="162">
        <v>-6.75</v>
      </c>
      <c r="AM538" s="162">
        <v>-5.1223779559634766</v>
      </c>
      <c r="AN538" s="162">
        <v>-9.6608360516006986</v>
      </c>
      <c r="AO538" s="162">
        <v>100.03561890671617</v>
      </c>
      <c r="AP538" s="162">
        <v>-39.831236627249673</v>
      </c>
      <c r="AQ538" s="162">
        <v>0</v>
      </c>
      <c r="AR538" s="710" t="str">
        <v>1313.par</v>
      </c>
      <c r="AV538" s="82" t="str">
        <v>121,188,255</v>
      </c>
      <c r="AW538" s="947">
        <v>100.03561890671617</v>
      </c>
      <c r="AX538" s="947">
        <v>100.03561890671617</v>
      </c>
      <c r="AY538" s="947">
        <v>0</v>
      </c>
    </row>
    <row r="539" spans="31:51" x14ac:dyDescent="0.25">
      <c r="AE539" s="75">
        <v>5.2489999999999997</v>
      </c>
      <c r="AF539" s="82">
        <v>5</v>
      </c>
      <c r="AG539" s="82">
        <v>2</v>
      </c>
      <c r="AH539" s="82">
        <v>1</v>
      </c>
      <c r="AI539" s="82">
        <v>3.0000000000291038</v>
      </c>
      <c r="AJ539" s="166">
        <v>5.2491300000000001</v>
      </c>
      <c r="AK539" s="82" t="str">
        <v>Base</v>
      </c>
      <c r="AL539" s="162">
        <v>-6.75</v>
      </c>
      <c r="AM539" s="162">
        <v>-5.0208747946625891</v>
      </c>
      <c r="AN539" s="162">
        <v>-3.504890064216863</v>
      </c>
      <c r="AO539" s="162">
        <v>89.999987005609597</v>
      </c>
      <c r="AP539" s="162">
        <v>0</v>
      </c>
      <c r="AQ539" s="162">
        <v>0</v>
      </c>
      <c r="AR539" s="710" t="str">
        <v>32193r1.par</v>
      </c>
      <c r="AV539" s="82" t="str">
        <v>121,188,255</v>
      </c>
      <c r="AW539" s="947">
        <v>89.999987005609597</v>
      </c>
      <c r="AX539" s="947">
        <v>89.999987005609597</v>
      </c>
      <c r="AY539" s="947">
        <v>0</v>
      </c>
    </row>
    <row r="540" spans="31:51" x14ac:dyDescent="0.25">
      <c r="AE540" s="75">
        <v>5.2430000000000003</v>
      </c>
      <c r="AF540" s="82">
        <v>5</v>
      </c>
      <c r="AG540" s="82">
        <v>2</v>
      </c>
      <c r="AH540" s="82">
        <v>1</v>
      </c>
      <c r="AI540" s="82">
        <v>3.0000000001018634</v>
      </c>
      <c r="AJ540" s="166">
        <v>5.2431300000000007</v>
      </c>
      <c r="AK540" s="82" t="str">
        <v>Base</v>
      </c>
      <c r="AL540" s="162">
        <v>-6.75</v>
      </c>
      <c r="AM540" s="162">
        <v>-4.9927899012947661</v>
      </c>
      <c r="AN540" s="162">
        <v>-2.7535036430558737</v>
      </c>
      <c r="AO540" s="162">
        <v>89.999987005609597</v>
      </c>
      <c r="AP540" s="162">
        <v>0</v>
      </c>
      <c r="AQ540" s="162">
        <v>0</v>
      </c>
      <c r="AR540" s="710" t="str">
        <v>32193r1.par</v>
      </c>
      <c r="AV540" s="82" t="str">
        <v>121,188,255</v>
      </c>
      <c r="AW540" s="947">
        <v>89.999987005609597</v>
      </c>
      <c r="AX540" s="947">
        <v>89.999987005609597</v>
      </c>
      <c r="AY540" s="947">
        <v>0</v>
      </c>
    </row>
    <row r="541" spans="31:51" x14ac:dyDescent="0.25">
      <c r="AE541" s="75">
        <v>5.2370000000000001</v>
      </c>
      <c r="AF541" s="82">
        <v>5</v>
      </c>
      <c r="AG541" s="82">
        <v>2</v>
      </c>
      <c r="AH541" s="82">
        <v>1</v>
      </c>
      <c r="AI541" s="82">
        <v>3.0000000000291038</v>
      </c>
      <c r="AJ541" s="166">
        <v>5.2371300000000005</v>
      </c>
      <c r="AK541" s="82" t="str">
        <v>Base</v>
      </c>
      <c r="AL541" s="162">
        <v>-6.75</v>
      </c>
      <c r="AM541" s="162">
        <v>-5.023018431596987</v>
      </c>
      <c r="AN541" s="162">
        <v>-1.9805605453362678</v>
      </c>
      <c r="AO541" s="162">
        <v>75.733702256223253</v>
      </c>
      <c r="AP541" s="162">
        <v>-32.798058394827343</v>
      </c>
      <c r="AQ541" s="162">
        <v>0</v>
      </c>
      <c r="AR541" s="710" t="str">
        <v>1313.par</v>
      </c>
      <c r="AV541" s="82" t="str">
        <v>121,188,255</v>
      </c>
      <c r="AW541" s="947">
        <v>75.733702256223253</v>
      </c>
      <c r="AX541" s="947">
        <v>75.733702256223253</v>
      </c>
      <c r="AY541" s="947">
        <v>0</v>
      </c>
    </row>
    <row r="542" spans="31:51" x14ac:dyDescent="0.25">
      <c r="AE542" s="75">
        <v>5.2309999999999999</v>
      </c>
      <c r="AF542" s="82">
        <v>5</v>
      </c>
      <c r="AG542" s="82">
        <v>2</v>
      </c>
      <c r="AH542" s="82">
        <v>1</v>
      </c>
      <c r="AI542" s="82">
        <v>3.0000000000291038</v>
      </c>
      <c r="AJ542" s="166">
        <v>5.2311300000000003</v>
      </c>
      <c r="AK542" s="82" t="str">
        <v>Base</v>
      </c>
      <c r="AL542" s="162">
        <v>-6.75</v>
      </c>
      <c r="AM542" s="162">
        <v>-4.7615552860265158</v>
      </c>
      <c r="AN542" s="162">
        <v>-1.2533826037797078</v>
      </c>
      <c r="AO542" s="162">
        <v>57.213428741154814</v>
      </c>
      <c r="AP542" s="162">
        <v>-28.811854872966187</v>
      </c>
      <c r="AQ542" s="162">
        <v>0</v>
      </c>
      <c r="AR542" s="710" t="str">
        <v>1313.par</v>
      </c>
      <c r="AV542" s="82" t="str">
        <v>121,188,255</v>
      </c>
      <c r="AW542" s="947">
        <v>57.213428741154814</v>
      </c>
      <c r="AX542" s="947">
        <v>57.213428741154814</v>
      </c>
      <c r="AY542" s="947">
        <v>0</v>
      </c>
    </row>
    <row r="543" spans="31:51" x14ac:dyDescent="0.25">
      <c r="AE543" s="75">
        <v>5.2249999999999996</v>
      </c>
      <c r="AF543" s="82">
        <v>5</v>
      </c>
      <c r="AG543" s="82">
        <v>2</v>
      </c>
      <c r="AH543" s="82">
        <v>1</v>
      </c>
      <c r="AI543" s="82">
        <v>3.0000000000291038</v>
      </c>
      <c r="AJ543" s="166">
        <v>5.2251300000000001</v>
      </c>
      <c r="AK543" s="82" t="str">
        <v>Base</v>
      </c>
      <c r="AL543" s="162">
        <v>-6.75</v>
      </c>
      <c r="AM543" s="162">
        <v>-4.258030881484971</v>
      </c>
      <c r="AN543" s="162">
        <v>-0.66747963542486777</v>
      </c>
      <c r="AO543" s="162">
        <v>38.623227592362632</v>
      </c>
      <c r="AP543" s="162">
        <v>-24.841583228699903</v>
      </c>
      <c r="AQ543" s="162">
        <v>0</v>
      </c>
      <c r="AR543" s="710" t="str">
        <v>1313.par</v>
      </c>
      <c r="AV543" s="82" t="str">
        <v>121,188,255</v>
      </c>
      <c r="AW543" s="947">
        <v>38.623227592362632</v>
      </c>
      <c r="AX543" s="947">
        <v>38.623227592362632</v>
      </c>
      <c r="AY543" s="947">
        <v>0</v>
      </c>
    </row>
    <row r="544" spans="31:51" x14ac:dyDescent="0.25">
      <c r="AE544" s="75">
        <v>5.2190000000000003</v>
      </c>
      <c r="AF544" s="82">
        <v>5</v>
      </c>
      <c r="AG544" s="82">
        <v>2</v>
      </c>
      <c r="AH544" s="82">
        <v>1</v>
      </c>
      <c r="AI544" s="82">
        <v>3.0000000001018634</v>
      </c>
      <c r="AJ544" s="166">
        <v>5.2191300000000007</v>
      </c>
      <c r="AK544" s="82" t="str">
        <v>Base</v>
      </c>
      <c r="AL544" s="162">
        <v>-6.75</v>
      </c>
      <c r="AM544" s="162">
        <v>-3.5682539723265454</v>
      </c>
      <c r="AN544" s="162">
        <v>-0.33183451923058893</v>
      </c>
      <c r="AO544" s="162">
        <v>12.999998123032507</v>
      </c>
      <c r="AP544" s="162">
        <v>0</v>
      </c>
      <c r="AQ544" s="162">
        <v>0</v>
      </c>
      <c r="AR544" s="710" t="str">
        <v>32193r1.par</v>
      </c>
      <c r="AV544" s="82" t="str">
        <v>121,188,255</v>
      </c>
      <c r="AW544" s="947">
        <v>12.999998123032507</v>
      </c>
      <c r="AX544" s="947">
        <v>12.999998123032507</v>
      </c>
      <c r="AY544" s="947">
        <v>0</v>
      </c>
    </row>
    <row r="545" spans="31:51" x14ac:dyDescent="0.25">
      <c r="AE545" s="75">
        <v>5.149</v>
      </c>
      <c r="AF545" s="82">
        <v>5</v>
      </c>
      <c r="AG545" s="82">
        <v>1</v>
      </c>
      <c r="AH545" s="82">
        <v>1</v>
      </c>
      <c r="AI545" s="82">
        <v>3.0000000000291038</v>
      </c>
      <c r="AJ545" s="166">
        <v>5.1491300000000004</v>
      </c>
      <c r="AK545" s="82" t="str">
        <v>Base</v>
      </c>
      <c r="AL545" s="162">
        <v>-6</v>
      </c>
      <c r="AM545" s="162">
        <v>-5.0550887932628417</v>
      </c>
      <c r="AN545" s="162">
        <v>-3.4846246516736836</v>
      </c>
      <c r="AO545" s="162">
        <v>84.97011741683842</v>
      </c>
      <c r="AP545" s="162">
        <v>-29.785208788526919</v>
      </c>
      <c r="AQ545" s="162">
        <v>0</v>
      </c>
      <c r="AR545" s="710" t="str">
        <v>1613.par</v>
      </c>
      <c r="AV545" s="82" t="str">
        <v>0,102,204</v>
      </c>
      <c r="AW545" s="947">
        <v>84.97011741683842</v>
      </c>
      <c r="AX545" s="947">
        <v>84.97011741683842</v>
      </c>
      <c r="AY545" s="947">
        <v>0</v>
      </c>
    </row>
    <row r="546" spans="31:51" x14ac:dyDescent="0.25">
      <c r="AE546" s="75">
        <v>5.1429999999999998</v>
      </c>
      <c r="AF546" s="82">
        <v>5</v>
      </c>
      <c r="AG546" s="82">
        <v>1</v>
      </c>
      <c r="AH546" s="82">
        <v>1</v>
      </c>
      <c r="AI546" s="82">
        <v>3.0000000000291038</v>
      </c>
      <c r="AJ546" s="166">
        <v>5.1431300000000002</v>
      </c>
      <c r="AK546" s="82" t="str">
        <v>Base</v>
      </c>
      <c r="AL546" s="162">
        <v>-6</v>
      </c>
      <c r="AM546" s="162">
        <v>-5.0270040657372679</v>
      </c>
      <c r="AN546" s="162">
        <v>-2.7331403694358487</v>
      </c>
      <c r="AO546" s="162">
        <v>84.969949372155952</v>
      </c>
      <c r="AP546" s="162">
        <v>-29.784116024848295</v>
      </c>
      <c r="AQ546" s="162">
        <v>0</v>
      </c>
      <c r="AR546" s="710" t="str">
        <v>1613.par</v>
      </c>
      <c r="AV546" s="82" t="str">
        <v>0,102,204</v>
      </c>
      <c r="AW546" s="947">
        <v>84.969949372155952</v>
      </c>
      <c r="AX546" s="947">
        <v>84.969949372155952</v>
      </c>
      <c r="AY546" s="947">
        <v>0</v>
      </c>
    </row>
    <row r="547" spans="31:51" x14ac:dyDescent="0.25">
      <c r="AE547" s="75">
        <v>5.1369999999999996</v>
      </c>
      <c r="AF547" s="82">
        <v>5</v>
      </c>
      <c r="AG547" s="82">
        <v>1</v>
      </c>
      <c r="AH547" s="82">
        <v>1</v>
      </c>
      <c r="AI547" s="82">
        <v>3.0000000000291038</v>
      </c>
      <c r="AJ547" s="166">
        <v>5.13713</v>
      </c>
      <c r="AK547" s="82" t="str">
        <v>Base</v>
      </c>
      <c r="AL547" s="162">
        <v>-6</v>
      </c>
      <c r="AM547" s="162">
        <v>-4.9996635239022913</v>
      </c>
      <c r="AN547" s="162">
        <v>-1.9731768779697587</v>
      </c>
      <c r="AO547" s="162">
        <v>75.712346529077777</v>
      </c>
      <c r="AP547" s="162">
        <v>-27.787369752383814</v>
      </c>
      <c r="AQ547" s="162">
        <v>0</v>
      </c>
      <c r="AR547" s="710" t="str">
        <v>1613.par</v>
      </c>
      <c r="AV547" s="82" t="str">
        <v>0,102,204</v>
      </c>
      <c r="AW547" s="947">
        <v>75.712346529077777</v>
      </c>
      <c r="AX547" s="947">
        <v>75.712346529077777</v>
      </c>
      <c r="AY547" s="947">
        <v>0</v>
      </c>
    </row>
    <row r="548" spans="31:51" x14ac:dyDescent="0.25">
      <c r="AE548" s="75">
        <v>5.1310000000000002</v>
      </c>
      <c r="AF548" s="82">
        <v>5</v>
      </c>
      <c r="AG548" s="82">
        <v>1</v>
      </c>
      <c r="AH548" s="82">
        <v>1</v>
      </c>
      <c r="AI548" s="82">
        <v>3.0000000000291038</v>
      </c>
      <c r="AJ548" s="166">
        <v>5.1311300000000006</v>
      </c>
      <c r="AK548" s="82" t="str">
        <v>Base</v>
      </c>
      <c r="AL548" s="162">
        <v>-6</v>
      </c>
      <c r="AM548" s="162">
        <v>-4.7412121930234123</v>
      </c>
      <c r="AN548" s="162">
        <v>-1.2523565966902122</v>
      </c>
      <c r="AO548" s="162">
        <v>57.149982620263913</v>
      </c>
      <c r="AP548" s="162">
        <v>-23.803245732477407</v>
      </c>
      <c r="AQ548" s="162">
        <v>0</v>
      </c>
      <c r="AR548" s="710" t="str">
        <v>1613.par</v>
      </c>
      <c r="AV548" s="82" t="str">
        <v>0,102,204</v>
      </c>
      <c r="AW548" s="947">
        <v>57.149982620263913</v>
      </c>
      <c r="AX548" s="947">
        <v>57.149982620263913</v>
      </c>
      <c r="AY548" s="947">
        <v>0</v>
      </c>
    </row>
    <row r="549" spans="31:51" x14ac:dyDescent="0.25">
      <c r="AE549" s="75">
        <v>5.125</v>
      </c>
      <c r="AF549" s="82">
        <v>5</v>
      </c>
      <c r="AG549" s="82">
        <v>1</v>
      </c>
      <c r="AH549" s="82">
        <v>1</v>
      </c>
      <c r="AI549" s="82">
        <v>3.0000000000291038</v>
      </c>
      <c r="AJ549" s="166">
        <v>5.1251300000000004</v>
      </c>
      <c r="AK549" s="82" t="str">
        <v>Base</v>
      </c>
      <c r="AL549" s="162">
        <v>-6</v>
      </c>
      <c r="AM549" s="162">
        <v>-4.242960581402202</v>
      </c>
      <c r="AN549" s="162">
        <v>-0.67036975142552224</v>
      </c>
      <c r="AO549" s="162">
        <v>38.485986851085471</v>
      </c>
      <c r="AP549" s="162">
        <v>-19.835624968950093</v>
      </c>
      <c r="AQ549" s="162">
        <v>0</v>
      </c>
      <c r="AR549" s="710" t="str">
        <v>1613.par</v>
      </c>
      <c r="AV549" s="82" t="str">
        <v>0,102,204</v>
      </c>
      <c r="AW549" s="947">
        <v>38.485986851085471</v>
      </c>
      <c r="AX549" s="947">
        <v>38.485986851085471</v>
      </c>
      <c r="AY549" s="947">
        <v>0</v>
      </c>
    </row>
    <row r="550" spans="31:51" x14ac:dyDescent="0.25">
      <c r="AE550" s="75">
        <v>5.1189999999999998</v>
      </c>
      <c r="AF550" s="82">
        <v>5</v>
      </c>
      <c r="AG550" s="82">
        <v>1</v>
      </c>
      <c r="AH550" s="82">
        <v>1</v>
      </c>
      <c r="AI550" s="82">
        <v>3.0000000000291038</v>
      </c>
      <c r="AJ550" s="166">
        <v>5.1191300000000002</v>
      </c>
      <c r="AK550" s="82" t="str">
        <v>Base</v>
      </c>
      <c r="AL550" s="162">
        <v>-6</v>
      </c>
      <c r="AM550" s="162">
        <v>-3.5699296323723511</v>
      </c>
      <c r="AN550" s="162">
        <v>-0.30369471976514423</v>
      </c>
      <c r="AO550" s="162">
        <v>19.63131247542724</v>
      </c>
      <c r="AP550" s="162">
        <v>-15.893761035069243</v>
      </c>
      <c r="AQ550" s="162">
        <v>0</v>
      </c>
      <c r="AR550" s="710" t="str">
        <v>1613 Ripper.par</v>
      </c>
      <c r="AV550" s="82" t="str">
        <v>0,102,204</v>
      </c>
      <c r="AW550" s="947">
        <v>19.63131247542724</v>
      </c>
      <c r="AX550" s="947">
        <v>19.63131247542724</v>
      </c>
      <c r="AY550" s="947">
        <v>0</v>
      </c>
    </row>
    <row r="551" spans="31:51" x14ac:dyDescent="0.25">
      <c r="AE551" s="75">
        <v>5.1130000000000004</v>
      </c>
      <c r="AF551" s="82">
        <v>5</v>
      </c>
      <c r="AG551" s="82">
        <v>1</v>
      </c>
      <c r="AH551" s="82">
        <v>1</v>
      </c>
      <c r="AI551" s="82">
        <v>3.0000000001018634</v>
      </c>
      <c r="AJ551" s="166">
        <v>5.1131300000000008</v>
      </c>
      <c r="AK551" s="82" t="str">
        <v>Base</v>
      </c>
      <c r="AL551" s="162">
        <v>-6</v>
      </c>
      <c r="AM551" s="162">
        <v>-2.8098738483217405</v>
      </c>
      <c r="AN551" s="162">
        <v>-0.20139664229605325</v>
      </c>
      <c r="AO551" s="162">
        <v>0.8306004126858153</v>
      </c>
      <c r="AP551" s="162">
        <v>-15.389399300523054</v>
      </c>
      <c r="AQ551" s="162">
        <v>0</v>
      </c>
      <c r="AR551" s="710" t="str">
        <v>1613 Ripper.par</v>
      </c>
      <c r="AV551" s="82" t="str">
        <v>0,102,204</v>
      </c>
      <c r="AW551" s="947">
        <v>0.8306004126858153</v>
      </c>
      <c r="AX551" s="947">
        <v>0.8306004126858153</v>
      </c>
      <c r="AY551" s="947">
        <v>0</v>
      </c>
    </row>
    <row r="552" spans="31:51" x14ac:dyDescent="0.25">
      <c r="AE552" s="75">
        <v>5.1079999999999997</v>
      </c>
      <c r="AF552" s="82">
        <v>5</v>
      </c>
      <c r="AG552" s="82">
        <v>1</v>
      </c>
      <c r="AH552" s="82">
        <v>1</v>
      </c>
      <c r="AI552" s="82">
        <v>3.0000000000291038</v>
      </c>
      <c r="AJ552" s="166">
        <v>5.1081300000000001</v>
      </c>
      <c r="AK552" s="82" t="str">
        <v>Base</v>
      </c>
      <c r="AL552" s="162">
        <v>-6</v>
      </c>
      <c r="AM552" s="162">
        <v>-2.0775012168433507</v>
      </c>
      <c r="AN552" s="162">
        <v>-0.34764948460945422</v>
      </c>
      <c r="AO552" s="162">
        <v>-11.945289726695552</v>
      </c>
      <c r="AP552" s="162">
        <v>-15.101423636341977</v>
      </c>
      <c r="AQ552" s="162">
        <v>0</v>
      </c>
      <c r="AR552" s="710" t="str">
        <v>1613 Ripper.par</v>
      </c>
      <c r="AV552" s="82" t="str">
        <v>0,102,204</v>
      </c>
      <c r="AW552" s="947">
        <v>-11.945289726695552</v>
      </c>
      <c r="AX552" s="947">
        <v>-11.945289726695552</v>
      </c>
      <c r="AY552" s="947">
        <v>0</v>
      </c>
    </row>
    <row r="553" spans="31:51" x14ac:dyDescent="0.25">
      <c r="AE553" s="75">
        <v>5.1050000000000004</v>
      </c>
      <c r="AF553" s="82">
        <v>5</v>
      </c>
      <c r="AG553" s="82">
        <v>1</v>
      </c>
      <c r="AH553" s="82">
        <v>1</v>
      </c>
      <c r="AI553" s="82">
        <v>3.0000000001018634</v>
      </c>
      <c r="AJ553" s="166">
        <v>5.1051300000000008</v>
      </c>
      <c r="AK553" s="82" t="str">
        <v>Base</v>
      </c>
      <c r="AL553" s="162">
        <v>-6</v>
      </c>
      <c r="AM553" s="162">
        <v>-1.3652437852151869</v>
      </c>
      <c r="AN553" s="162">
        <v>-0.53837341910319036</v>
      </c>
      <c r="AO553" s="162">
        <v>-12.949138827495569</v>
      </c>
      <c r="AP553" s="162">
        <v>-15.161341689710696</v>
      </c>
      <c r="AQ553" s="162">
        <v>0</v>
      </c>
      <c r="AR553" s="710" t="str">
        <v>1613 Ripper.par</v>
      </c>
      <c r="AV553" s="82" t="str">
        <v>0,102,204</v>
      </c>
      <c r="AW553" s="947">
        <v>-12.949138827495569</v>
      </c>
      <c r="AX553" s="947">
        <v>-12.949138827495569</v>
      </c>
      <c r="AY553" s="947">
        <v>0</v>
      </c>
    </row>
    <row r="554" spans="31:51" x14ac:dyDescent="0.25">
      <c r="AE554" s="75">
        <v>5.1020000000000003</v>
      </c>
      <c r="AF554" s="82">
        <v>5</v>
      </c>
      <c r="AG554" s="82">
        <v>1</v>
      </c>
      <c r="AH554" s="82">
        <v>1</v>
      </c>
      <c r="AI554" s="82">
        <v>3.0000000001018634</v>
      </c>
      <c r="AJ554" s="166">
        <v>5.1021300000000007</v>
      </c>
      <c r="AK554" s="82" t="str">
        <v>Base</v>
      </c>
      <c r="AL554" s="162">
        <v>-6</v>
      </c>
      <c r="AM554" s="162">
        <v>-0.60804725265242798</v>
      </c>
      <c r="AN554" s="162">
        <v>-0.74192551940721563</v>
      </c>
      <c r="AO554" s="162">
        <v>-15.496960293563548</v>
      </c>
      <c r="AP554" s="162">
        <v>-17.89717637438029</v>
      </c>
      <c r="AQ554" s="162">
        <v>0</v>
      </c>
      <c r="AR554" s="710" t="str">
        <v>1613.par</v>
      </c>
      <c r="AV554" s="82" t="str">
        <v>0,102,204</v>
      </c>
      <c r="AW554" s="947">
        <v>-15.496960293563548</v>
      </c>
      <c r="AX554" s="947">
        <v>-15.496960293563548</v>
      </c>
      <c r="AY554" s="947">
        <v>0</v>
      </c>
    </row>
    <row r="555" spans="31:51" x14ac:dyDescent="0.25">
      <c r="AE555" s="75">
        <v>4.25</v>
      </c>
      <c r="AF555" s="82">
        <v>4</v>
      </c>
      <c r="AG555" s="82">
        <v>2</v>
      </c>
      <c r="AH555" s="82">
        <v>1</v>
      </c>
      <c r="AI555" s="82">
        <v>3.0000000000291038</v>
      </c>
      <c r="AJ555" s="166">
        <v>4.2501300000000004</v>
      </c>
      <c r="AK555" s="82" t="str">
        <v>Base</v>
      </c>
      <c r="AL555" s="162">
        <v>-5.25</v>
      </c>
      <c r="AM555" s="162">
        <v>-5.1223779559634766</v>
      </c>
      <c r="AN555" s="162">
        <v>-9.6441693873403995</v>
      </c>
      <c r="AO555" s="162">
        <v>100.03561890671628</v>
      </c>
      <c r="AP555" s="162">
        <v>-39.831236627249659</v>
      </c>
      <c r="AQ555" s="162">
        <v>0</v>
      </c>
      <c r="AR555" s="710" t="str">
        <v>1313.par</v>
      </c>
      <c r="AV555" s="82" t="str">
        <v>91,255,255</v>
      </c>
      <c r="AW555" s="947">
        <v>100.03561890671628</v>
      </c>
      <c r="AX555" s="947">
        <v>100.03561890671628</v>
      </c>
      <c r="AY555" s="947">
        <v>0</v>
      </c>
    </row>
    <row r="556" spans="31:51" x14ac:dyDescent="0.25">
      <c r="AE556" s="75">
        <v>4.2439999999999998</v>
      </c>
      <c r="AF556" s="82">
        <v>4</v>
      </c>
      <c r="AG556" s="82">
        <v>2</v>
      </c>
      <c r="AH556" s="82">
        <v>1</v>
      </c>
      <c r="AI556" s="82">
        <v>3.0000000000291038</v>
      </c>
      <c r="AJ556" s="166">
        <v>4.2441300000000002</v>
      </c>
      <c r="AK556" s="82" t="str">
        <v>Base</v>
      </c>
      <c r="AL556" s="162">
        <v>-5.25</v>
      </c>
      <c r="AM556" s="162">
        <v>-5.02087479466259</v>
      </c>
      <c r="AN556" s="162">
        <v>-2.9276642532191222</v>
      </c>
      <c r="AO556" s="162">
        <v>89.999987005609597</v>
      </c>
      <c r="AP556" s="162">
        <v>0</v>
      </c>
      <c r="AQ556" s="162">
        <v>0</v>
      </c>
      <c r="AR556" s="710" t="str">
        <v>32193r1.par</v>
      </c>
      <c r="AV556" s="82" t="str">
        <v>91,255,255</v>
      </c>
      <c r="AW556" s="947">
        <v>89.999987005609597</v>
      </c>
      <c r="AX556" s="947">
        <v>89.999987005609597</v>
      </c>
      <c r="AY556" s="947">
        <v>0</v>
      </c>
    </row>
    <row r="557" spans="31:51" x14ac:dyDescent="0.25">
      <c r="AE557" s="75">
        <v>4.2380000000000004</v>
      </c>
      <c r="AF557" s="82">
        <v>4</v>
      </c>
      <c r="AG557" s="82">
        <v>2</v>
      </c>
      <c r="AH557" s="82">
        <v>1</v>
      </c>
      <c r="AI557" s="82">
        <v>3.0000000001018634</v>
      </c>
      <c r="AJ557" s="166">
        <v>4.2381300000000008</v>
      </c>
      <c r="AK557" s="82" t="str">
        <v>Base</v>
      </c>
      <c r="AL557" s="162">
        <v>-5.25</v>
      </c>
      <c r="AM557" s="162">
        <v>-4.9862408383831154</v>
      </c>
      <c r="AN557" s="162">
        <v>-2.1739478476159673</v>
      </c>
      <c r="AO557" s="162">
        <v>82.999988016284419</v>
      </c>
      <c r="AP557" s="162">
        <v>0</v>
      </c>
      <c r="AQ557" s="162">
        <v>0</v>
      </c>
      <c r="AR557" s="710" t="str">
        <v>32193r1.par</v>
      </c>
      <c r="AV557" s="82" t="str">
        <v>91,255,255</v>
      </c>
      <c r="AW557" s="947">
        <v>82.999988016284419</v>
      </c>
      <c r="AX557" s="947">
        <v>82.999988016284419</v>
      </c>
      <c r="AY557" s="947">
        <v>0</v>
      </c>
    </row>
    <row r="558" spans="31:51" x14ac:dyDescent="0.25">
      <c r="AE558" s="75">
        <v>4.2320000000000002</v>
      </c>
      <c r="AF558" s="82">
        <v>4</v>
      </c>
      <c r="AG558" s="82">
        <v>2</v>
      </c>
      <c r="AH558" s="82">
        <v>1</v>
      </c>
      <c r="AI558" s="82">
        <v>3.0000000000291038</v>
      </c>
      <c r="AJ558" s="166">
        <v>4.2321300000000006</v>
      </c>
      <c r="AK558" s="82" t="str">
        <v>Base</v>
      </c>
      <c r="AL558" s="162">
        <v>-5.25</v>
      </c>
      <c r="AM558" s="162">
        <v>-4.7840043854517713</v>
      </c>
      <c r="AN558" s="162">
        <v>-1.4439934667719934</v>
      </c>
      <c r="AO558" s="162">
        <v>61.99999104830885</v>
      </c>
      <c r="AP558" s="162">
        <v>0</v>
      </c>
      <c r="AQ558" s="162">
        <v>0</v>
      </c>
      <c r="AR558" s="710" t="str">
        <v>32193r1.par</v>
      </c>
      <c r="AV558" s="82" t="str">
        <v>91,255,255</v>
      </c>
      <c r="AW558" s="947">
        <v>61.99999104830885</v>
      </c>
      <c r="AX558" s="947">
        <v>61.99999104830885</v>
      </c>
      <c r="AY558" s="947">
        <v>0</v>
      </c>
    </row>
    <row r="559" spans="31:51" x14ac:dyDescent="0.25">
      <c r="AE559" s="75">
        <v>4.226</v>
      </c>
      <c r="AF559" s="82">
        <v>4</v>
      </c>
      <c r="AG559" s="82">
        <v>2</v>
      </c>
      <c r="AH559" s="82">
        <v>1</v>
      </c>
      <c r="AI559" s="82">
        <v>3.0000000000291038</v>
      </c>
      <c r="AJ559" s="166">
        <v>4.2261300000000004</v>
      </c>
      <c r="AK559" s="82" t="str">
        <v>Base</v>
      </c>
      <c r="AL559" s="162">
        <v>-5.25</v>
      </c>
      <c r="AM559" s="162">
        <v>-4.3146862511636366</v>
      </c>
      <c r="AN559" s="162">
        <v>-0.8191532031651706</v>
      </c>
      <c r="AO559" s="162">
        <v>40.999994080333266</v>
      </c>
      <c r="AP559" s="162">
        <v>0</v>
      </c>
      <c r="AQ559" s="162">
        <v>0</v>
      </c>
      <c r="AR559" s="710" t="str">
        <v>32193r1.par</v>
      </c>
      <c r="AV559" s="82" t="str">
        <v>91,255,255</v>
      </c>
      <c r="AW559" s="947">
        <v>40.999994080333266</v>
      </c>
      <c r="AX559" s="947">
        <v>40.999994080333266</v>
      </c>
      <c r="AY559" s="947">
        <v>0</v>
      </c>
    </row>
    <row r="560" spans="31:51" x14ac:dyDescent="0.25">
      <c r="AE560" s="75">
        <v>4.22</v>
      </c>
      <c r="AF560" s="82">
        <v>4</v>
      </c>
      <c r="AG560" s="82">
        <v>2</v>
      </c>
      <c r="AH560" s="82">
        <v>1</v>
      </c>
      <c r="AI560" s="82">
        <v>3.0000000000291038</v>
      </c>
      <c r="AJ560" s="166">
        <v>4.2201300000000002</v>
      </c>
      <c r="AK560" s="82" t="str">
        <v>Base</v>
      </c>
      <c r="AL560" s="162">
        <v>-5.25</v>
      </c>
      <c r="AM560" s="162">
        <v>-3.6883533304226974</v>
      </c>
      <c r="AN560" s="162">
        <v>-0.42595843977355163</v>
      </c>
      <c r="AO560" s="162">
        <v>19.99999711235769</v>
      </c>
      <c r="AP560" s="162">
        <v>0</v>
      </c>
      <c r="AQ560" s="162">
        <v>0</v>
      </c>
      <c r="AR560" s="710" t="str">
        <v>32193r1.par</v>
      </c>
      <c r="AV560" s="82" t="str">
        <v>91,255,255</v>
      </c>
      <c r="AW560" s="947">
        <v>19.99999711235769</v>
      </c>
      <c r="AX560" s="947">
        <v>19.99999711235769</v>
      </c>
      <c r="AY560" s="947">
        <v>0</v>
      </c>
    </row>
    <row r="561" spans="31:51" x14ac:dyDescent="0.25">
      <c r="AE561" s="75">
        <v>4.1440000000000001</v>
      </c>
      <c r="AF561" s="82">
        <v>4</v>
      </c>
      <c r="AG561" s="82">
        <v>1</v>
      </c>
      <c r="AH561" s="82">
        <v>1</v>
      </c>
      <c r="AI561" s="82">
        <v>3.0000000000291038</v>
      </c>
      <c r="AJ561" s="166">
        <v>4.1441300000000005</v>
      </c>
      <c r="AK561" s="82" t="str">
        <v>Base</v>
      </c>
      <c r="AL561" s="162">
        <v>-4.5</v>
      </c>
      <c r="AM561" s="162">
        <v>-5.0550887932628399</v>
      </c>
      <c r="AN561" s="162">
        <v>-2.9073988406759415</v>
      </c>
      <c r="AO561" s="162">
        <v>84.970117416838406</v>
      </c>
      <c r="AP561" s="162">
        <v>-29.785208788526909</v>
      </c>
      <c r="AQ561" s="162">
        <v>0</v>
      </c>
      <c r="AR561" s="710" t="str">
        <v>1613.par</v>
      </c>
      <c r="AV561" s="82" t="str">
        <v>0,204,204</v>
      </c>
      <c r="AW561" s="947">
        <v>84.970117416838406</v>
      </c>
      <c r="AX561" s="947">
        <v>84.970117416838406</v>
      </c>
      <c r="AY561" s="947">
        <v>0</v>
      </c>
    </row>
    <row r="562" spans="31:51" x14ac:dyDescent="0.25">
      <c r="AE562" s="75">
        <v>4.1379999999999999</v>
      </c>
      <c r="AF562" s="82">
        <v>4</v>
      </c>
      <c r="AG562" s="82">
        <v>1</v>
      </c>
      <c r="AH562" s="82">
        <v>1</v>
      </c>
      <c r="AI562" s="82">
        <v>3.0000000000291038</v>
      </c>
      <c r="AJ562" s="166">
        <v>4.1381300000000003</v>
      </c>
      <c r="AK562" s="82" t="str">
        <v>Base</v>
      </c>
      <c r="AL562" s="162">
        <v>-4.5</v>
      </c>
      <c r="AM562" s="162">
        <v>-5.0164523963688259</v>
      </c>
      <c r="AN562" s="162">
        <v>-2.1505984811113801</v>
      </c>
      <c r="AO562" s="162">
        <v>78.799617313561896</v>
      </c>
      <c r="AP562" s="162">
        <v>-28.452633559226971</v>
      </c>
      <c r="AQ562" s="162">
        <v>0</v>
      </c>
      <c r="AR562" s="710" t="str">
        <v>1613.par</v>
      </c>
      <c r="AV562" s="82" t="str">
        <v>0,204,204</v>
      </c>
      <c r="AW562" s="947">
        <v>78.799617313561896</v>
      </c>
      <c r="AX562" s="947">
        <v>78.799617313561896</v>
      </c>
      <c r="AY562" s="947">
        <v>0</v>
      </c>
    </row>
    <row r="563" spans="31:51" x14ac:dyDescent="0.25">
      <c r="AE563" s="75">
        <v>4.1319999999999997</v>
      </c>
      <c r="AF563" s="82">
        <v>4</v>
      </c>
      <c r="AG563" s="82">
        <v>1</v>
      </c>
      <c r="AH563" s="82">
        <v>1</v>
      </c>
      <c r="AI563" s="82">
        <v>3.0000000000291038</v>
      </c>
      <c r="AJ563" s="166">
        <v>4.1321300000000001</v>
      </c>
      <c r="AK563" s="82" t="str">
        <v>Base</v>
      </c>
      <c r="AL563" s="162">
        <v>-4.5</v>
      </c>
      <c r="AM563" s="162">
        <v>-4.8023031901750297</v>
      </c>
      <c r="AN563" s="162">
        <v>-1.4154422932614517</v>
      </c>
      <c r="AO563" s="162">
        <v>60.249226457616452</v>
      </c>
      <c r="AP563" s="162">
        <v>-24.466285540690528</v>
      </c>
      <c r="AQ563" s="162">
        <v>0</v>
      </c>
      <c r="AR563" s="710" t="str">
        <v>1613.par</v>
      </c>
      <c r="AV563" s="82" t="str">
        <v>0,204,204</v>
      </c>
      <c r="AW563" s="947">
        <v>60.249226457616452</v>
      </c>
      <c r="AX563" s="947">
        <v>60.249226457616452</v>
      </c>
      <c r="AY563" s="947">
        <v>0</v>
      </c>
    </row>
    <row r="564" spans="31:51" x14ac:dyDescent="0.25">
      <c r="AE564" s="75">
        <v>4.1260000000000003</v>
      </c>
      <c r="AF564" s="82">
        <v>4</v>
      </c>
      <c r="AG564" s="82">
        <v>1</v>
      </c>
      <c r="AH564" s="82">
        <v>1</v>
      </c>
      <c r="AI564" s="82">
        <v>3.0000000001018634</v>
      </c>
      <c r="AJ564" s="166">
        <v>4.1261300000000007</v>
      </c>
      <c r="AK564" s="82" t="str">
        <v>Base</v>
      </c>
      <c r="AL564" s="162">
        <v>-4.5</v>
      </c>
      <c r="AM564" s="162">
        <v>-4.340235968178817</v>
      </c>
      <c r="AN564" s="162">
        <v>-0.80443925096448021</v>
      </c>
      <c r="AO564" s="162">
        <v>41.606624611766414</v>
      </c>
      <c r="AP564" s="162">
        <v>-20.495439001035297</v>
      </c>
      <c r="AQ564" s="162">
        <v>0</v>
      </c>
      <c r="AR564" s="710" t="str">
        <v>1613.par</v>
      </c>
      <c r="AV564" s="82" t="str">
        <v>0,204,204</v>
      </c>
      <c r="AW564" s="947">
        <v>41.606624611766414</v>
      </c>
      <c r="AX564" s="947">
        <v>41.606624611766414</v>
      </c>
      <c r="AY564" s="947">
        <v>0</v>
      </c>
    </row>
    <row r="565" spans="31:51" x14ac:dyDescent="0.25">
      <c r="AE565" s="75">
        <v>4.12</v>
      </c>
      <c r="AF565" s="82">
        <v>4</v>
      </c>
      <c r="AG565" s="82">
        <v>1</v>
      </c>
      <c r="AH565" s="82">
        <v>1</v>
      </c>
      <c r="AI565" s="82">
        <v>3.0000000000291038</v>
      </c>
      <c r="AJ565" s="166">
        <v>4.1201300000000005</v>
      </c>
      <c r="AK565" s="82" t="str">
        <v>Base</v>
      </c>
      <c r="AL565" s="162">
        <v>-4.5</v>
      </c>
      <c r="AM565" s="162">
        <v>-3.690665647678546</v>
      </c>
      <c r="AN565" s="162">
        <v>-0.39764061089270641</v>
      </c>
      <c r="AO565" s="162">
        <v>22.793338283804125</v>
      </c>
      <c r="AP565" s="162">
        <v>-16.548323321314136</v>
      </c>
      <c r="AQ565" s="162">
        <v>0</v>
      </c>
      <c r="AR565" s="710" t="str">
        <v>1613 Ripper.par</v>
      </c>
      <c r="AV565" s="82" t="str">
        <v>0,204,204</v>
      </c>
      <c r="AW565" s="947">
        <v>22.793338283804125</v>
      </c>
      <c r="AX565" s="947">
        <v>22.793338283804125</v>
      </c>
      <c r="AY565" s="947">
        <v>0</v>
      </c>
    </row>
    <row r="566" spans="31:51" x14ac:dyDescent="0.25">
      <c r="AE566" s="75">
        <v>4.1139999999999999</v>
      </c>
      <c r="AF566" s="82">
        <v>4</v>
      </c>
      <c r="AG566" s="82">
        <v>1</v>
      </c>
      <c r="AH566" s="82">
        <v>1</v>
      </c>
      <c r="AI566" s="82">
        <v>3.0000000000291038</v>
      </c>
      <c r="AJ566" s="166">
        <v>4.1141300000000003</v>
      </c>
      <c r="AK566" s="82" t="str">
        <v>Base</v>
      </c>
      <c r="AL566" s="162">
        <v>-4.5</v>
      </c>
      <c r="AM566" s="162">
        <v>-2.9383851347705265</v>
      </c>
      <c r="AN566" s="162">
        <v>-0.24939415341384952</v>
      </c>
      <c r="AO566" s="162">
        <v>3.9705087662236287</v>
      </c>
      <c r="AP566" s="162">
        <v>-15.469551353298518</v>
      </c>
      <c r="AQ566" s="162">
        <v>0</v>
      </c>
      <c r="AR566" s="710" t="str">
        <v>1613 Ripper.par</v>
      </c>
      <c r="AV566" s="82" t="str">
        <v>0,204,204</v>
      </c>
      <c r="AW566" s="947">
        <v>3.9705087662236287</v>
      </c>
      <c r="AX566" s="947">
        <v>3.9705087662236287</v>
      </c>
      <c r="AY566" s="947">
        <v>0</v>
      </c>
    </row>
    <row r="567" spans="31:51" x14ac:dyDescent="0.25">
      <c r="AE567" s="75">
        <v>3.2509999999999999</v>
      </c>
      <c r="AF567" s="82">
        <v>3</v>
      </c>
      <c r="AG567" s="82">
        <v>2</v>
      </c>
      <c r="AH567" s="82">
        <v>1</v>
      </c>
      <c r="AI567" s="82">
        <v>2.999999999992724</v>
      </c>
      <c r="AJ567" s="166">
        <v>3.2511299999999999</v>
      </c>
      <c r="AK567" s="82" t="str">
        <v>Base</v>
      </c>
      <c r="AL567" s="162">
        <v>-3.75</v>
      </c>
      <c r="AM567" s="162">
        <v>-5.1223779559634783</v>
      </c>
      <c r="AN567" s="162">
        <v>-9.6288916117648231</v>
      </c>
      <c r="AO567" s="162">
        <v>100.03561890671625</v>
      </c>
      <c r="AP567" s="162">
        <v>-39.831236627249623</v>
      </c>
      <c r="AQ567" s="162">
        <v>0</v>
      </c>
      <c r="AR567" s="710" t="str">
        <v>1313.par</v>
      </c>
      <c r="AV567" s="82" t="str">
        <v>97,255,97</v>
      </c>
      <c r="AW567" s="947">
        <v>100.03561890671625</v>
      </c>
      <c r="AX567" s="947">
        <v>100.03561890671625</v>
      </c>
      <c r="AY567" s="947">
        <v>0</v>
      </c>
    </row>
    <row r="568" spans="31:51" x14ac:dyDescent="0.25">
      <c r="AE568" s="75">
        <v>3.2450000000000001</v>
      </c>
      <c r="AF568" s="82">
        <v>3</v>
      </c>
      <c r="AG568" s="82">
        <v>2</v>
      </c>
      <c r="AH568" s="82">
        <v>1</v>
      </c>
      <c r="AI568" s="82">
        <v>2.999999999992724</v>
      </c>
      <c r="AJ568" s="166">
        <v>3.2451300000000001</v>
      </c>
      <c r="AK568" s="82" t="str">
        <v>Base</v>
      </c>
      <c r="AL568" s="162">
        <v>-3.75</v>
      </c>
      <c r="AM568" s="162">
        <v>-5.0208747946625891</v>
      </c>
      <c r="AN568" s="162">
        <v>-3.0348314711550262</v>
      </c>
      <c r="AO568" s="162">
        <v>89.999987005609611</v>
      </c>
      <c r="AP568" s="162">
        <v>0</v>
      </c>
      <c r="AQ568" s="162">
        <v>0</v>
      </c>
      <c r="AR568" s="710" t="str">
        <v>32193r1.par</v>
      </c>
      <c r="AV568" s="82" t="str">
        <v>97,255,97</v>
      </c>
      <c r="AW568" s="947">
        <v>89.999987005609611</v>
      </c>
      <c r="AX568" s="947">
        <v>89.999987005609611</v>
      </c>
      <c r="AY568" s="947">
        <v>0</v>
      </c>
    </row>
    <row r="569" spans="31:51" x14ac:dyDescent="0.25">
      <c r="AE569" s="75">
        <v>3.2389999999999999</v>
      </c>
      <c r="AF569" s="82">
        <v>3</v>
      </c>
      <c r="AG569" s="82">
        <v>2</v>
      </c>
      <c r="AH569" s="82">
        <v>1</v>
      </c>
      <c r="AI569" s="82">
        <v>2.999999999992724</v>
      </c>
      <c r="AJ569" s="166">
        <v>3.2391299999999998</v>
      </c>
      <c r="AK569" s="82" t="str">
        <v>Base</v>
      </c>
      <c r="AL569" s="162">
        <v>-3.75</v>
      </c>
      <c r="AM569" s="162">
        <v>-4.9934378719711736</v>
      </c>
      <c r="AN569" s="162">
        <v>-2.2822253805557509</v>
      </c>
      <c r="AO569" s="162">
        <v>82.999988016284419</v>
      </c>
      <c r="AP569" s="162">
        <v>0</v>
      </c>
      <c r="AQ569" s="162">
        <v>0</v>
      </c>
      <c r="AR569" s="710" t="str">
        <v>32193r1.par</v>
      </c>
      <c r="AV569" s="82" t="str">
        <v>97,255,97</v>
      </c>
      <c r="AW569" s="947">
        <v>82.999988016284419</v>
      </c>
      <c r="AX569" s="947">
        <v>82.999988016284419</v>
      </c>
      <c r="AY569" s="947">
        <v>0</v>
      </c>
    </row>
    <row r="570" spans="31:51" x14ac:dyDescent="0.25">
      <c r="AE570" s="75">
        <v>3.2330000000000001</v>
      </c>
      <c r="AF570" s="82">
        <v>3</v>
      </c>
      <c r="AG570" s="82">
        <v>2</v>
      </c>
      <c r="AH570" s="82">
        <v>1</v>
      </c>
      <c r="AI570" s="82">
        <v>2.999999999992724</v>
      </c>
      <c r="AJ570" s="166">
        <v>3.2331300000000001</v>
      </c>
      <c r="AK570" s="82" t="str">
        <v>Base</v>
      </c>
      <c r="AL570" s="162">
        <v>-3.75</v>
      </c>
      <c r="AM570" s="162">
        <v>-4.8780303852724725</v>
      </c>
      <c r="AN570" s="162">
        <v>-1.5164167852800272</v>
      </c>
      <c r="AO570" s="162">
        <v>63.392943063786667</v>
      </c>
      <c r="AP570" s="162">
        <v>-30.139109350595657</v>
      </c>
      <c r="AQ570" s="162">
        <v>0</v>
      </c>
      <c r="AR570" s="710" t="str">
        <v>1313.par</v>
      </c>
      <c r="AV570" s="82" t="str">
        <v>97,255,97</v>
      </c>
      <c r="AW570" s="947">
        <v>63.392943063786667</v>
      </c>
      <c r="AX570" s="947">
        <v>63.392943063786667</v>
      </c>
      <c r="AY570" s="947">
        <v>0</v>
      </c>
    </row>
    <row r="571" spans="31:51" x14ac:dyDescent="0.25">
      <c r="AE571" s="75">
        <v>3.2269999999999999</v>
      </c>
      <c r="AF571" s="82">
        <v>3</v>
      </c>
      <c r="AG571" s="82">
        <v>2</v>
      </c>
      <c r="AH571" s="82">
        <v>1</v>
      </c>
      <c r="AI571" s="82">
        <v>2.999999999992724</v>
      </c>
      <c r="AJ571" s="166">
        <v>3.2271299999999998</v>
      </c>
      <c r="AK571" s="82" t="str">
        <v>Base</v>
      </c>
      <c r="AL571" s="162">
        <v>-3.75</v>
      </c>
      <c r="AM571" s="162">
        <v>-4.4493480813053772</v>
      </c>
      <c r="AN571" s="162">
        <v>-0.87374031914049011</v>
      </c>
      <c r="AO571" s="162">
        <v>44.830187859593472</v>
      </c>
      <c r="AP571" s="162">
        <v>-26.16280668690904</v>
      </c>
      <c r="AQ571" s="162">
        <v>0</v>
      </c>
      <c r="AR571" s="710" t="str">
        <v>1313.par</v>
      </c>
      <c r="AV571" s="82" t="str">
        <v>97,255,97</v>
      </c>
      <c r="AW571" s="947">
        <v>44.830187859593472</v>
      </c>
      <c r="AX571" s="947">
        <v>44.830187859593472</v>
      </c>
      <c r="AY571" s="947">
        <v>0</v>
      </c>
    </row>
    <row r="572" spans="31:51" x14ac:dyDescent="0.25">
      <c r="AE572" s="75">
        <v>3.2210000000000001</v>
      </c>
      <c r="AF572" s="82">
        <v>3</v>
      </c>
      <c r="AG572" s="82">
        <v>2</v>
      </c>
      <c r="AH572" s="82">
        <v>1</v>
      </c>
      <c r="AI572" s="82">
        <v>2.999999999992724</v>
      </c>
      <c r="AJ572" s="166">
        <v>3.22113</v>
      </c>
      <c r="AK572" s="82" t="str">
        <v>Base</v>
      </c>
      <c r="AL572" s="162">
        <v>-3.75</v>
      </c>
      <c r="AM572" s="162">
        <v>-3.8192371295293186</v>
      </c>
      <c r="AN572" s="162">
        <v>-0.42676026323016381</v>
      </c>
      <c r="AO572" s="162">
        <v>26.167511622001179</v>
      </c>
      <c r="AP572" s="162">
        <v>-22.20779132657719</v>
      </c>
      <c r="AQ572" s="162">
        <v>0</v>
      </c>
      <c r="AR572" s="710" t="str">
        <v>1313.par</v>
      </c>
      <c r="AV572" s="82" t="str">
        <v>97,255,97</v>
      </c>
      <c r="AW572" s="947">
        <v>26.167511622001179</v>
      </c>
      <c r="AX572" s="947">
        <v>26.167511622001179</v>
      </c>
      <c r="AY572" s="947">
        <v>0</v>
      </c>
    </row>
    <row r="573" spans="31:51" x14ac:dyDescent="0.25">
      <c r="AE573" s="75">
        <v>3.2149999999999999</v>
      </c>
      <c r="AF573" s="82">
        <v>3</v>
      </c>
      <c r="AG573" s="82">
        <v>2</v>
      </c>
      <c r="AH573" s="82">
        <v>1</v>
      </c>
      <c r="AI573" s="82">
        <v>2.999999999992724</v>
      </c>
      <c r="AJ573" s="166">
        <v>3.2151299999999998</v>
      </c>
      <c r="AK573" s="82" t="str">
        <v>Base</v>
      </c>
      <c r="AL573" s="162">
        <v>-3.75</v>
      </c>
      <c r="AM573" s="162">
        <v>-3.0661488581587393</v>
      </c>
      <c r="AN573" s="162">
        <v>-0.26774074265234582</v>
      </c>
      <c r="AO573" s="162">
        <v>-0.99999985561788196</v>
      </c>
      <c r="AP573" s="162">
        <v>0</v>
      </c>
      <c r="AQ573" s="162">
        <v>0</v>
      </c>
      <c r="AR573" s="710" t="str">
        <v>32193r1.par</v>
      </c>
      <c r="AV573" s="82" t="str">
        <v>97,255,97</v>
      </c>
      <c r="AW573" s="947">
        <v>-0.99999985561788196</v>
      </c>
      <c r="AX573" s="947">
        <v>-0.99999985561788196</v>
      </c>
      <c r="AY573" s="947">
        <v>0</v>
      </c>
    </row>
    <row r="574" spans="31:51" x14ac:dyDescent="0.25">
      <c r="AE574" s="75">
        <v>3.145</v>
      </c>
      <c r="AF574" s="82">
        <v>3</v>
      </c>
      <c r="AG574" s="82">
        <v>1</v>
      </c>
      <c r="AH574" s="82">
        <v>1</v>
      </c>
      <c r="AI574" s="82">
        <v>2.999999999992724</v>
      </c>
      <c r="AJ574" s="166">
        <v>3.14513</v>
      </c>
      <c r="AK574" s="82" t="str">
        <v>Base</v>
      </c>
      <c r="AL574" s="162">
        <v>-3</v>
      </c>
      <c r="AM574" s="162">
        <v>-5.0550887932628417</v>
      </c>
      <c r="AN574" s="162">
        <v>-3.0145660586118477</v>
      </c>
      <c r="AO574" s="162">
        <v>84.97011741683842</v>
      </c>
      <c r="AP574" s="162">
        <v>-29.785208788526909</v>
      </c>
      <c r="AQ574" s="162">
        <v>0</v>
      </c>
      <c r="AR574" s="710" t="str">
        <v>1613.par</v>
      </c>
      <c r="AV574" s="82" t="str">
        <v>0,204,0</v>
      </c>
      <c r="AW574" s="947">
        <v>84.97011741683842</v>
      </c>
      <c r="AX574" s="947">
        <v>84.97011741683842</v>
      </c>
      <c r="AY574" s="947">
        <v>0</v>
      </c>
    </row>
    <row r="575" spans="31:51" x14ac:dyDescent="0.25">
      <c r="AE575" s="75">
        <v>3.1389999999999998</v>
      </c>
      <c r="AF575" s="82">
        <v>3</v>
      </c>
      <c r="AG575" s="82">
        <v>1</v>
      </c>
      <c r="AH575" s="82">
        <v>1</v>
      </c>
      <c r="AI575" s="82">
        <v>2.999999999992724</v>
      </c>
      <c r="AJ575" s="166">
        <v>3.1391299999999998</v>
      </c>
      <c r="AK575" s="82" t="str">
        <v>Base</v>
      </c>
      <c r="AL575" s="162">
        <v>-3</v>
      </c>
      <c r="AM575" s="162">
        <v>-5.0256652349223865</v>
      </c>
      <c r="AN575" s="162">
        <v>-2.2602848926316006</v>
      </c>
      <c r="AO575" s="162">
        <v>81.885446807640747</v>
      </c>
      <c r="AP575" s="162">
        <v>-29.118222259814257</v>
      </c>
      <c r="AQ575" s="162">
        <v>0</v>
      </c>
      <c r="AR575" s="710" t="str">
        <v>1613.par</v>
      </c>
      <c r="AV575" s="82" t="str">
        <v>0,204,0</v>
      </c>
      <c r="AW575" s="947">
        <v>81.885446807640747</v>
      </c>
      <c r="AX575" s="947">
        <v>81.885446807640747</v>
      </c>
      <c r="AY575" s="947">
        <v>0</v>
      </c>
    </row>
    <row r="576" spans="31:51" x14ac:dyDescent="0.25">
      <c r="AE576" s="75">
        <v>3.133</v>
      </c>
      <c r="AF576" s="82">
        <v>3</v>
      </c>
      <c r="AG576" s="82">
        <v>1</v>
      </c>
      <c r="AH576" s="82">
        <v>1</v>
      </c>
      <c r="AI576" s="82">
        <v>2.999999999992724</v>
      </c>
      <c r="AJ576" s="166">
        <v>3.13313</v>
      </c>
      <c r="AK576" s="82" t="str">
        <v>Base</v>
      </c>
      <c r="AL576" s="162">
        <v>-3</v>
      </c>
      <c r="AM576" s="162">
        <v>-4.8564048247187852</v>
      </c>
      <c r="AN576" s="162">
        <v>-1.5134872104065495</v>
      </c>
      <c r="AO576" s="162">
        <v>63.345987496311885</v>
      </c>
      <c r="AP576" s="162">
        <v>-25.129745570941751</v>
      </c>
      <c r="AQ576" s="162">
        <v>0</v>
      </c>
      <c r="AR576" s="710" t="str">
        <v>1613.par</v>
      </c>
      <c r="AV576" s="82" t="str">
        <v>0,204,0</v>
      </c>
      <c r="AW576" s="947">
        <v>63.345987496311885</v>
      </c>
      <c r="AX576" s="947">
        <v>63.345987496311885</v>
      </c>
      <c r="AY576" s="947">
        <v>0</v>
      </c>
    </row>
    <row r="577" spans="31:51" x14ac:dyDescent="0.25">
      <c r="AE577" s="75">
        <v>3.1269999999999998</v>
      </c>
      <c r="AF577" s="82">
        <v>3</v>
      </c>
      <c r="AG577" s="82">
        <v>1</v>
      </c>
      <c r="AH577" s="82">
        <v>1</v>
      </c>
      <c r="AI577" s="82">
        <v>2.9999999999563443</v>
      </c>
      <c r="AJ577" s="166">
        <v>3.1271299999999997</v>
      </c>
      <c r="AK577" s="82" t="str">
        <v>Base</v>
      </c>
      <c r="AL577" s="162">
        <v>-3</v>
      </c>
      <c r="AM577" s="162">
        <v>-4.4323083330046469</v>
      </c>
      <c r="AN577" s="162">
        <v>-0.87566613136719285</v>
      </c>
      <c r="AO577" s="162">
        <v>44.722719194276351</v>
      </c>
      <c r="AP577" s="162">
        <v>-21.155897053638178</v>
      </c>
      <c r="AQ577" s="162">
        <v>0</v>
      </c>
      <c r="AR577" s="710" t="str">
        <v>1613.par</v>
      </c>
      <c r="AV577" s="82" t="str">
        <v>0,204,0</v>
      </c>
      <c r="AW577" s="947">
        <v>44.722719194276351</v>
      </c>
      <c r="AX577" s="947">
        <v>44.722719194276351</v>
      </c>
      <c r="AY577" s="947">
        <v>0</v>
      </c>
    </row>
    <row r="578" spans="31:51" x14ac:dyDescent="0.25">
      <c r="AE578" s="75">
        <v>3.121</v>
      </c>
      <c r="AF578" s="82">
        <v>3</v>
      </c>
      <c r="AG578" s="82">
        <v>1</v>
      </c>
      <c r="AH578" s="82">
        <v>1</v>
      </c>
      <c r="AI578" s="82">
        <v>2.999999999992724</v>
      </c>
      <c r="AJ578" s="166">
        <v>3.12113</v>
      </c>
      <c r="AK578" s="82" t="str">
        <v>Base</v>
      </c>
      <c r="AL578" s="162">
        <v>-3</v>
      </c>
      <c r="AM578" s="162">
        <v>-3.8085869115984403</v>
      </c>
      <c r="AN578" s="162">
        <v>-0.43034726830710968</v>
      </c>
      <c r="AO578" s="162">
        <v>25.946275176386688</v>
      </c>
      <c r="AP578" s="162">
        <v>-17.203971811334654</v>
      </c>
      <c r="AQ578" s="162">
        <v>0</v>
      </c>
      <c r="AR578" s="710" t="str">
        <v>1613 Ripper.par</v>
      </c>
      <c r="AV578" s="82" t="str">
        <v>0,204,0</v>
      </c>
      <c r="AW578" s="947">
        <v>25.946275176386688</v>
      </c>
      <c r="AX578" s="947">
        <v>25.946275176386688</v>
      </c>
      <c r="AY578" s="947">
        <v>0</v>
      </c>
    </row>
    <row r="579" spans="31:51" x14ac:dyDescent="0.25">
      <c r="AE579" s="75">
        <v>3.1150000000000002</v>
      </c>
      <c r="AF579" s="82">
        <v>3</v>
      </c>
      <c r="AG579" s="82">
        <v>1</v>
      </c>
      <c r="AH579" s="82">
        <v>1</v>
      </c>
      <c r="AI579" s="82">
        <v>3.0000000000291038</v>
      </c>
      <c r="AJ579" s="166">
        <v>3.1151300000000002</v>
      </c>
      <c r="AK579" s="82" t="str">
        <v>Base</v>
      </c>
      <c r="AL579" s="162">
        <v>-3</v>
      </c>
      <c r="AM579" s="162">
        <v>-3.0667945084187682</v>
      </c>
      <c r="AN579" s="162">
        <v>-0.23655977616524876</v>
      </c>
      <c r="AO579" s="162">
        <v>7.1077563806310833</v>
      </c>
      <c r="AP579" s="162">
        <v>-15.551478149906009</v>
      </c>
      <c r="AQ579" s="162">
        <v>0</v>
      </c>
      <c r="AR579" s="710" t="str">
        <v>1613 Ripper.par</v>
      </c>
      <c r="AV579" s="82" t="str">
        <v>0,204,0</v>
      </c>
      <c r="AW579" s="947">
        <v>7.1077563806310833</v>
      </c>
      <c r="AX579" s="947">
        <v>7.1077563806310833</v>
      </c>
      <c r="AY579" s="947">
        <v>0</v>
      </c>
    </row>
    <row r="580" spans="31:51" x14ac:dyDescent="0.25">
      <c r="AE580" s="75">
        <v>3.109</v>
      </c>
      <c r="AF580" s="82">
        <v>3</v>
      </c>
      <c r="AG580" s="82">
        <v>1</v>
      </c>
      <c r="AH580" s="82">
        <v>1</v>
      </c>
      <c r="AI580" s="82">
        <v>2.999999999992724</v>
      </c>
      <c r="AJ580" s="166">
        <v>3.1091299999999999</v>
      </c>
      <c r="AK580" s="82" t="str">
        <v>Base</v>
      </c>
      <c r="AL580" s="162">
        <v>-3</v>
      </c>
      <c r="AM580" s="162">
        <v>-2.3048937266229794</v>
      </c>
      <c r="AN580" s="162">
        <v>-0.31870815368709327</v>
      </c>
      <c r="AO580" s="162">
        <v>-11.754573914654843</v>
      </c>
      <c r="AP580" s="162">
        <v>-15.090629431527974</v>
      </c>
      <c r="AQ580" s="162">
        <v>0</v>
      </c>
      <c r="AR580" s="710" t="str">
        <v>1613 Ripper.par</v>
      </c>
      <c r="AV580" s="82" t="str">
        <v>0,204,0</v>
      </c>
      <c r="AW580" s="947">
        <v>-11.754573914654843</v>
      </c>
      <c r="AX580" s="947">
        <v>-11.754573914654843</v>
      </c>
      <c r="AY580" s="947">
        <v>0</v>
      </c>
    </row>
    <row r="581" spans="31:51" x14ac:dyDescent="0.25">
      <c r="AE581" s="75">
        <v>3.1059999999999999</v>
      </c>
      <c r="AF581" s="82">
        <v>3</v>
      </c>
      <c r="AG581" s="82">
        <v>1</v>
      </c>
      <c r="AH581" s="82">
        <v>1</v>
      </c>
      <c r="AI581" s="82">
        <v>2.999999999992724</v>
      </c>
      <c r="AJ581" s="166">
        <v>3.1061299999999998</v>
      </c>
      <c r="AK581" s="82" t="str">
        <v>Base</v>
      </c>
      <c r="AL581" s="162">
        <v>-3</v>
      </c>
      <c r="AM581" s="162">
        <v>-1.6077246308135538</v>
      </c>
      <c r="AN581" s="162">
        <v>-0.50545143194380138</v>
      </c>
      <c r="AO581" s="162">
        <v>-12.508515021959289</v>
      </c>
      <c r="AP581" s="162">
        <v>-15.134396576192788</v>
      </c>
      <c r="AQ581" s="162">
        <v>0</v>
      </c>
      <c r="AR581" s="710" t="str">
        <v>1613 Ripper.par</v>
      </c>
      <c r="AV581" s="82" t="str">
        <v>0,204,0</v>
      </c>
      <c r="AW581" s="947">
        <v>-12.508515021959289</v>
      </c>
      <c r="AX581" s="947">
        <v>-12.508515021959289</v>
      </c>
      <c r="AY581" s="947">
        <v>0</v>
      </c>
    </row>
    <row r="582" spans="31:51" x14ac:dyDescent="0.25">
      <c r="AE582" s="75">
        <v>3.1030000000000002</v>
      </c>
      <c r="AF582" s="82">
        <v>3</v>
      </c>
      <c r="AG582" s="82">
        <v>1</v>
      </c>
      <c r="AH582" s="82">
        <v>1</v>
      </c>
      <c r="AI582" s="82">
        <v>3.0000000000291038</v>
      </c>
      <c r="AJ582" s="166">
        <v>3.1031300000000002</v>
      </c>
      <c r="AK582" s="82" t="str">
        <v>Base</v>
      </c>
      <c r="AL582" s="162">
        <v>-3</v>
      </c>
      <c r="AM582" s="162">
        <v>-0.86547604771679154</v>
      </c>
      <c r="AN582" s="162">
        <v>-0.70452156701703272</v>
      </c>
      <c r="AO582" s="162">
        <v>-14.302653650703496</v>
      </c>
      <c r="AP582" s="162">
        <v>-16.268123573021061</v>
      </c>
      <c r="AQ582" s="162">
        <v>0</v>
      </c>
      <c r="AR582" s="710" t="str">
        <v>1613.par</v>
      </c>
      <c r="AV582" s="82" t="str">
        <v>0,204,0</v>
      </c>
      <c r="AW582" s="947">
        <v>-14.302653650703496</v>
      </c>
      <c r="AX582" s="947">
        <v>-14.302653650703496</v>
      </c>
      <c r="AY582" s="947">
        <v>0</v>
      </c>
    </row>
    <row r="583" spans="31:51" x14ac:dyDescent="0.25">
      <c r="AE583" s="75">
        <v>2.2519999999999998</v>
      </c>
      <c r="AF583" s="82">
        <v>2</v>
      </c>
      <c r="AG583" s="82">
        <v>2</v>
      </c>
      <c r="AH583" s="82">
        <v>1</v>
      </c>
      <c r="AI583" s="82">
        <v>2.9999999999563443</v>
      </c>
      <c r="AJ583" s="166">
        <v>2.2521299999999997</v>
      </c>
      <c r="AK583" s="82" t="str">
        <v>Base</v>
      </c>
      <c r="AL583" s="162">
        <v>-2.25</v>
      </c>
      <c r="AM583" s="162">
        <v>-5.1223779559634774</v>
      </c>
      <c r="AN583" s="162">
        <v>-9.7113916142878729</v>
      </c>
      <c r="AO583" s="162">
        <v>100.03561890671624</v>
      </c>
      <c r="AP583" s="162">
        <v>-39.831236627249659</v>
      </c>
      <c r="AQ583" s="162">
        <v>0</v>
      </c>
      <c r="AR583" s="710" t="str">
        <v>1313.par</v>
      </c>
      <c r="AV583" s="82" t="str">
        <v>255,255,91</v>
      </c>
      <c r="AW583" s="947">
        <v>100.03561890671624</v>
      </c>
      <c r="AX583" s="947">
        <v>100.03561890671624</v>
      </c>
      <c r="AY583" s="947">
        <v>0</v>
      </c>
    </row>
    <row r="584" spans="31:51" x14ac:dyDescent="0.25">
      <c r="AE584" s="75">
        <v>2.246</v>
      </c>
      <c r="AF584" s="82">
        <v>2</v>
      </c>
      <c r="AG584" s="82">
        <v>2</v>
      </c>
      <c r="AH584" s="82">
        <v>1</v>
      </c>
      <c r="AI584" s="82">
        <v>2.999999999992724</v>
      </c>
      <c r="AJ584" s="166">
        <v>2.24613</v>
      </c>
      <c r="AK584" s="82" t="str">
        <v>Base</v>
      </c>
      <c r="AL584" s="162">
        <v>-2.25</v>
      </c>
      <c r="AM584" s="162">
        <v>-5.0208747946625891</v>
      </c>
      <c r="AN584" s="162">
        <v>-3.2119990909621934</v>
      </c>
      <c r="AO584" s="162">
        <v>89.999987005609626</v>
      </c>
      <c r="AP584" s="162">
        <v>0</v>
      </c>
      <c r="AQ584" s="162">
        <v>0</v>
      </c>
      <c r="AR584" s="710" t="str">
        <v>32193r1.par</v>
      </c>
      <c r="AV584" s="82" t="str">
        <v>255,255,91</v>
      </c>
      <c r="AW584" s="947">
        <v>89.999987005609626</v>
      </c>
      <c r="AX584" s="947">
        <v>89.999987005609626</v>
      </c>
      <c r="AY584" s="947">
        <v>0</v>
      </c>
    </row>
    <row r="585" spans="31:51" x14ac:dyDescent="0.25">
      <c r="AE585" s="75">
        <v>2.2400000000000002</v>
      </c>
      <c r="AF585" s="82">
        <v>2</v>
      </c>
      <c r="AG585" s="82">
        <v>2</v>
      </c>
      <c r="AH585" s="82">
        <v>1</v>
      </c>
      <c r="AI585" s="82">
        <v>3.0000000000291038</v>
      </c>
      <c r="AJ585" s="166">
        <v>2.2401300000000002</v>
      </c>
      <c r="AK585" s="82" t="str">
        <v>Base</v>
      </c>
      <c r="AL585" s="162">
        <v>-2.25</v>
      </c>
      <c r="AM585" s="162">
        <v>-4.9927899012947679</v>
      </c>
      <c r="AN585" s="162">
        <v>-2.4606126697975679</v>
      </c>
      <c r="AO585" s="162">
        <v>89.999987005609611</v>
      </c>
      <c r="AP585" s="162">
        <v>0</v>
      </c>
      <c r="AQ585" s="162">
        <v>0</v>
      </c>
      <c r="AR585" s="710" t="str">
        <v>32193r1.par</v>
      </c>
      <c r="AV585" s="82" t="str">
        <v>255,255,91</v>
      </c>
      <c r="AW585" s="947">
        <v>89.999987005609611</v>
      </c>
      <c r="AX585" s="947">
        <v>89.999987005609611</v>
      </c>
      <c r="AY585" s="947">
        <v>0</v>
      </c>
    </row>
    <row r="586" spans="31:51" x14ac:dyDescent="0.25">
      <c r="AE586" s="75">
        <v>2.234</v>
      </c>
      <c r="AF586" s="82">
        <v>2</v>
      </c>
      <c r="AG586" s="82">
        <v>2</v>
      </c>
      <c r="AH586" s="82">
        <v>1</v>
      </c>
      <c r="AI586" s="82">
        <v>2.999999999992724</v>
      </c>
      <c r="AJ586" s="166">
        <v>2.2341299999999999</v>
      </c>
      <c r="AK586" s="82" t="str">
        <v>Base</v>
      </c>
      <c r="AL586" s="162">
        <v>-2.25</v>
      </c>
      <c r="AM586" s="162">
        <v>-4.8811717254525888</v>
      </c>
      <c r="AN586" s="162">
        <v>-1.7119940134256586</v>
      </c>
      <c r="AO586" s="162">
        <v>68.999990037634035</v>
      </c>
      <c r="AP586" s="162">
        <v>0</v>
      </c>
      <c r="AQ586" s="162">
        <v>0</v>
      </c>
      <c r="AR586" s="710" t="str">
        <v>32193r1.par</v>
      </c>
      <c r="AV586" s="82" t="str">
        <v>255,255,91</v>
      </c>
      <c r="AW586" s="947">
        <v>68.999990037634035</v>
      </c>
      <c r="AX586" s="947">
        <v>68.999990037634035</v>
      </c>
      <c r="AY586" s="947">
        <v>0</v>
      </c>
    </row>
    <row r="587" spans="31:51" x14ac:dyDescent="0.25">
      <c r="AE587" s="75">
        <v>2.2280000000000002</v>
      </c>
      <c r="AF587" s="82">
        <v>2</v>
      </c>
      <c r="AG587" s="82">
        <v>2</v>
      </c>
      <c r="AH587" s="82">
        <v>1</v>
      </c>
      <c r="AI587" s="82">
        <v>3.0000000000291038</v>
      </c>
      <c r="AJ587" s="166">
        <v>2.2281300000000002</v>
      </c>
      <c r="AK587" s="82" t="str">
        <v>Base</v>
      </c>
      <c r="AL587" s="162">
        <v>-2.25</v>
      </c>
      <c r="AM587" s="162">
        <v>-4.5041623974577867</v>
      </c>
      <c r="AN587" s="162">
        <v>-1.0483375939229442</v>
      </c>
      <c r="AO587" s="162">
        <v>47.999993069658451</v>
      </c>
      <c r="AP587" s="162">
        <v>0</v>
      </c>
      <c r="AQ587" s="162">
        <v>0</v>
      </c>
      <c r="AR587" s="710" t="str">
        <v>32193r1.par</v>
      </c>
      <c r="AV587" s="82" t="str">
        <v>255,255,91</v>
      </c>
      <c r="AW587" s="947">
        <v>47.999993069658451</v>
      </c>
      <c r="AX587" s="947">
        <v>47.999993069658451</v>
      </c>
      <c r="AY587" s="947">
        <v>0</v>
      </c>
    </row>
    <row r="588" spans="31:51" x14ac:dyDescent="0.25">
      <c r="AE588" s="75">
        <v>2.222</v>
      </c>
      <c r="AF588" s="82">
        <v>2</v>
      </c>
      <c r="AG588" s="82">
        <v>2</v>
      </c>
      <c r="AH588" s="82">
        <v>1</v>
      </c>
      <c r="AI588" s="82">
        <v>2.999999999992724</v>
      </c>
      <c r="AJ588" s="166">
        <v>2.2221299999999999</v>
      </c>
      <c r="AK588" s="82" t="str">
        <v>Base</v>
      </c>
      <c r="AL588" s="162">
        <v>-2.25</v>
      </c>
      <c r="AM588" s="162">
        <v>-3.9192729222602507</v>
      </c>
      <c r="AN588" s="162">
        <v>-0.56919382923049433</v>
      </c>
      <c r="AO588" s="162">
        <v>26.999996101682878</v>
      </c>
      <c r="AP588" s="162">
        <v>0</v>
      </c>
      <c r="AQ588" s="162">
        <v>0</v>
      </c>
      <c r="AR588" s="710" t="str">
        <v>32193r1.par</v>
      </c>
      <c r="AV588" s="82" t="str">
        <v>255,255,91</v>
      </c>
      <c r="AW588" s="947">
        <v>26.999996101682878</v>
      </c>
      <c r="AX588" s="947">
        <v>26.999996101682878</v>
      </c>
      <c r="AY588" s="947">
        <v>0</v>
      </c>
    </row>
    <row r="589" spans="31:51" x14ac:dyDescent="0.25">
      <c r="AE589" s="75">
        <v>2.2160000000000002</v>
      </c>
      <c r="AF589" s="82">
        <v>2</v>
      </c>
      <c r="AG589" s="82">
        <v>2</v>
      </c>
      <c r="AH589" s="82">
        <v>1</v>
      </c>
      <c r="AI589" s="82">
        <v>3.0000000000291038</v>
      </c>
      <c r="AJ589" s="166">
        <v>2.2161300000000002</v>
      </c>
      <c r="AK589" s="82" t="str">
        <v>Base</v>
      </c>
      <c r="AL589" s="162">
        <v>-2.25</v>
      </c>
      <c r="AM589" s="162">
        <v>-3.1937190736100054</v>
      </c>
      <c r="AN589" s="162">
        <v>-0.3318237392245687</v>
      </c>
      <c r="AO589" s="162">
        <v>5.9999991337073082</v>
      </c>
      <c r="AP589" s="162">
        <v>0</v>
      </c>
      <c r="AQ589" s="162">
        <v>0</v>
      </c>
      <c r="AR589" s="710" t="str">
        <v>32193r1.par</v>
      </c>
      <c r="AV589" s="82" t="str">
        <v>255,255,91</v>
      </c>
      <c r="AW589" s="947">
        <v>5.9999991337073082</v>
      </c>
      <c r="AX589" s="947">
        <v>5.9999991337073082</v>
      </c>
      <c r="AY589" s="947">
        <v>0</v>
      </c>
    </row>
    <row r="590" spans="31:51" x14ac:dyDescent="0.25">
      <c r="AE590" s="75">
        <v>2.1459999999999999</v>
      </c>
      <c r="AF590" s="82">
        <v>2</v>
      </c>
      <c r="AG590" s="82">
        <v>1</v>
      </c>
      <c r="AH590" s="82">
        <v>1</v>
      </c>
      <c r="AI590" s="82">
        <v>2.999999999992724</v>
      </c>
      <c r="AJ590" s="166">
        <v>2.1461299999999999</v>
      </c>
      <c r="AK590" s="82" t="str">
        <v>Base</v>
      </c>
      <c r="AL590" s="162">
        <v>-1.5</v>
      </c>
      <c r="AM590" s="162">
        <v>-5.0550887932628417</v>
      </c>
      <c r="AN590" s="162">
        <v>-3.1917336784190149</v>
      </c>
      <c r="AO590" s="162">
        <v>84.97011741683842</v>
      </c>
      <c r="AP590" s="162">
        <v>-29.785208788526894</v>
      </c>
      <c r="AQ590" s="162">
        <v>0</v>
      </c>
      <c r="AR590" s="710" t="str">
        <v>1613.par</v>
      </c>
      <c r="AV590" s="82" t="str">
        <v>204,204,0</v>
      </c>
      <c r="AW590" s="947">
        <v>84.97011741683842</v>
      </c>
      <c r="AX590" s="947">
        <v>84.97011741683842</v>
      </c>
      <c r="AY590" s="947">
        <v>0</v>
      </c>
    </row>
    <row r="591" spans="31:51" x14ac:dyDescent="0.25">
      <c r="AE591" s="75">
        <v>2.14</v>
      </c>
      <c r="AF591" s="82">
        <v>2</v>
      </c>
      <c r="AG591" s="82">
        <v>1</v>
      </c>
      <c r="AH591" s="82">
        <v>1</v>
      </c>
      <c r="AI591" s="82">
        <v>2.999999999992724</v>
      </c>
      <c r="AJ591" s="166">
        <v>2.1401300000000001</v>
      </c>
      <c r="AK591" s="82" t="str">
        <v>Base</v>
      </c>
      <c r="AL591" s="162">
        <v>-1.5</v>
      </c>
      <c r="AM591" s="162">
        <v>-5.0270040657372688</v>
      </c>
      <c r="AN591" s="162">
        <v>-2.4402493961811809</v>
      </c>
      <c r="AO591" s="162">
        <v>84.969949372155938</v>
      </c>
      <c r="AP591" s="162">
        <v>-29.784116024848295</v>
      </c>
      <c r="AQ591" s="162">
        <v>0</v>
      </c>
      <c r="AR591" s="710" t="str">
        <v>1613.par</v>
      </c>
      <c r="AV591" s="82" t="str">
        <v>204,204,0</v>
      </c>
      <c r="AW591" s="947">
        <v>84.969949372155938</v>
      </c>
      <c r="AX591" s="947">
        <v>84.969949372155938</v>
      </c>
      <c r="AY591" s="947">
        <v>0</v>
      </c>
    </row>
    <row r="592" spans="31:51" x14ac:dyDescent="0.25">
      <c r="AE592" s="75">
        <v>2.1339999999999999</v>
      </c>
      <c r="AF592" s="82">
        <v>2</v>
      </c>
      <c r="AG592" s="82">
        <v>1</v>
      </c>
      <c r="AH592" s="82">
        <v>1</v>
      </c>
      <c r="AI592" s="82">
        <v>2.999999999992724</v>
      </c>
      <c r="AJ592" s="166">
        <v>2.1341299999999999</v>
      </c>
      <c r="AK592" s="82" t="str">
        <v>Base</v>
      </c>
      <c r="AL592" s="162">
        <v>-1.5</v>
      </c>
      <c r="AM592" s="162">
        <v>-4.9033194043169575</v>
      </c>
      <c r="AN592" s="162">
        <v>-1.6846037070215201</v>
      </c>
      <c r="AO592" s="162">
        <v>66.440489504246187</v>
      </c>
      <c r="AP592" s="162">
        <v>-25.793602252313281</v>
      </c>
      <c r="AQ592" s="162">
        <v>0</v>
      </c>
      <c r="AR592" s="710" t="str">
        <v>1613.par</v>
      </c>
      <c r="AV592" s="82" t="str">
        <v>204,204,0</v>
      </c>
      <c r="AW592" s="947">
        <v>66.440489504246187</v>
      </c>
      <c r="AX592" s="947">
        <v>66.440489504246187</v>
      </c>
      <c r="AY592" s="947">
        <v>0</v>
      </c>
    </row>
    <row r="593" spans="31:51" x14ac:dyDescent="0.25">
      <c r="AE593" s="75">
        <v>2.1280000000000001</v>
      </c>
      <c r="AF593" s="82">
        <v>2</v>
      </c>
      <c r="AG593" s="82">
        <v>1</v>
      </c>
      <c r="AH593" s="82">
        <v>1</v>
      </c>
      <c r="AI593" s="82">
        <v>2.999999999992724</v>
      </c>
      <c r="AJ593" s="166">
        <v>2.1281300000000001</v>
      </c>
      <c r="AK593" s="82" t="str">
        <v>Base</v>
      </c>
      <c r="AL593" s="162">
        <v>-1.5</v>
      </c>
      <c r="AM593" s="162">
        <v>-4.5186798771013077</v>
      </c>
      <c r="AN593" s="162">
        <v>-1.0222626416671212</v>
      </c>
      <c r="AO593" s="162">
        <v>47.834713669325687</v>
      </c>
      <c r="AP593" s="162">
        <v>-21.816944784593154</v>
      </c>
      <c r="AQ593" s="162">
        <v>0</v>
      </c>
      <c r="AR593" s="710" t="str">
        <v>1613.par</v>
      </c>
      <c r="AV593" s="82" t="str">
        <v>204,204,0</v>
      </c>
      <c r="AW593" s="947">
        <v>47.834713669325687</v>
      </c>
      <c r="AX593" s="947">
        <v>47.834713669325687</v>
      </c>
      <c r="AY593" s="947">
        <v>0</v>
      </c>
    </row>
    <row r="594" spans="31:51" x14ac:dyDescent="0.25">
      <c r="AE594" s="75">
        <v>2.1219999999999999</v>
      </c>
      <c r="AF594" s="82">
        <v>2</v>
      </c>
      <c r="AG594" s="82">
        <v>1</v>
      </c>
      <c r="AH594" s="82">
        <v>1</v>
      </c>
      <c r="AI594" s="82">
        <v>2.999999999992724</v>
      </c>
      <c r="AJ594" s="166">
        <v>2.1221299999999998</v>
      </c>
      <c r="AK594" s="82" t="str">
        <v>Base</v>
      </c>
      <c r="AL594" s="162">
        <v>-1.5</v>
      </c>
      <c r="AM594" s="162">
        <v>-3.923195158347927</v>
      </c>
      <c r="AN594" s="162">
        <v>-0.54002530702286622</v>
      </c>
      <c r="AO594" s="162">
        <v>29.091158349317926</v>
      </c>
      <c r="AP594" s="162">
        <v>-17.860607850540081</v>
      </c>
      <c r="AQ594" s="162">
        <v>0</v>
      </c>
      <c r="AR594" s="710" t="str">
        <v>1613.par</v>
      </c>
      <c r="AV594" s="82" t="str">
        <v>204,204,0</v>
      </c>
      <c r="AW594" s="947">
        <v>29.091158349317926</v>
      </c>
      <c r="AX594" s="947">
        <v>29.091158349317926</v>
      </c>
      <c r="AY594" s="947">
        <v>0</v>
      </c>
    </row>
    <row r="595" spans="31:51" x14ac:dyDescent="0.25">
      <c r="AE595" s="75">
        <v>2.1160000000000001</v>
      </c>
      <c r="AF595" s="82">
        <v>2</v>
      </c>
      <c r="AG595" s="82">
        <v>1</v>
      </c>
      <c r="AH595" s="82">
        <v>1</v>
      </c>
      <c r="AI595" s="82">
        <v>2.999999999992724</v>
      </c>
      <c r="AJ595" s="166">
        <v>2.1161300000000001</v>
      </c>
      <c r="AK595" s="82" t="str">
        <v>Base</v>
      </c>
      <c r="AL595" s="162">
        <v>-1.5</v>
      </c>
      <c r="AM595" s="162">
        <v>-3.1946027962538608</v>
      </c>
      <c r="AN595" s="162">
        <v>-0.30150332743225933</v>
      </c>
      <c r="AO595" s="162">
        <v>10.242376499105918</v>
      </c>
      <c r="AP595" s="162">
        <v>-15.635007982189849</v>
      </c>
      <c r="AQ595" s="162">
        <v>0</v>
      </c>
      <c r="AR595" s="710" t="str">
        <v>1613 Ripper.par</v>
      </c>
      <c r="AV595" s="82" t="str">
        <v>204,204,0</v>
      </c>
      <c r="AW595" s="947">
        <v>10.242376499105918</v>
      </c>
      <c r="AX595" s="947">
        <v>10.242376499105918</v>
      </c>
      <c r="AY595" s="947">
        <v>0</v>
      </c>
    </row>
    <row r="596" spans="31:51" x14ac:dyDescent="0.25">
      <c r="AE596" s="75">
        <v>2.11</v>
      </c>
      <c r="AF596" s="82">
        <v>2</v>
      </c>
      <c r="AG596" s="82">
        <v>1</v>
      </c>
      <c r="AH596" s="82">
        <v>1</v>
      </c>
      <c r="AI596" s="82">
        <v>2.999999999992724</v>
      </c>
      <c r="AJ596" s="166">
        <v>2.1101299999999998</v>
      </c>
      <c r="AK596" s="82" t="str">
        <v>Base</v>
      </c>
      <c r="AL596" s="162">
        <v>-1.5</v>
      </c>
      <c r="AM596" s="162">
        <v>-2.4286205357576263</v>
      </c>
      <c r="AN596" s="162">
        <v>-0.33835590501536655</v>
      </c>
      <c r="AO596" s="162">
        <v>-8.604830320611164</v>
      </c>
      <c r="AP596" s="162">
        <v>-15.161593068640046</v>
      </c>
      <c r="AQ596" s="162">
        <v>0</v>
      </c>
      <c r="AR596" s="710" t="str">
        <v>1613 Ripper.par</v>
      </c>
      <c r="AV596" s="82" t="str">
        <v>204,204,0</v>
      </c>
      <c r="AW596" s="947">
        <v>-8.604830320611164</v>
      </c>
      <c r="AX596" s="947">
        <v>-8.604830320611164</v>
      </c>
      <c r="AY596" s="947">
        <v>0</v>
      </c>
    </row>
    <row r="597" spans="31:51" x14ac:dyDescent="0.25">
      <c r="AE597" s="75">
        <v>1.2529999999999999</v>
      </c>
      <c r="AF597" s="82">
        <v>1</v>
      </c>
      <c r="AG597" s="82">
        <v>2</v>
      </c>
      <c r="AH597" s="82">
        <v>1</v>
      </c>
      <c r="AI597" s="82">
        <v>2.999999999992724</v>
      </c>
      <c r="AJ597" s="166">
        <v>1.2531299999999999</v>
      </c>
      <c r="AK597" s="82" t="str">
        <v>Base</v>
      </c>
      <c r="AL597" s="162">
        <v>-0.75</v>
      </c>
      <c r="AM597" s="162">
        <v>-5.1223779559634792</v>
      </c>
      <c r="AN597" s="162">
        <v>-9.6955582832442282</v>
      </c>
      <c r="AO597" s="162">
        <v>100.03561890671624</v>
      </c>
      <c r="AP597" s="162">
        <v>-39.831236627249616</v>
      </c>
      <c r="AQ597" s="162">
        <v>0</v>
      </c>
      <c r="AR597" s="710" t="str">
        <v>1313.par</v>
      </c>
      <c r="AV597" s="82" t="str">
        <v>255,188,121</v>
      </c>
      <c r="AW597" s="947">
        <v>100.03561890671624</v>
      </c>
      <c r="AX597" s="947">
        <v>100.03561890671624</v>
      </c>
      <c r="AY597" s="947">
        <v>0</v>
      </c>
    </row>
    <row r="598" spans="31:51" x14ac:dyDescent="0.25">
      <c r="AE598" s="75">
        <v>1.2470000000000001</v>
      </c>
      <c r="AF598" s="82">
        <v>1</v>
      </c>
      <c r="AG598" s="82">
        <v>2</v>
      </c>
      <c r="AH598" s="82">
        <v>1</v>
      </c>
      <c r="AI598" s="82">
        <v>3.0000000000109139</v>
      </c>
      <c r="AJ598" s="166">
        <v>1.2471300000000001</v>
      </c>
      <c r="AK598" s="82" t="str">
        <v>Base</v>
      </c>
      <c r="AL598" s="162">
        <v>-0.75</v>
      </c>
      <c r="AM598" s="162">
        <v>-5.0208747946625891</v>
      </c>
      <c r="AN598" s="162">
        <v>-3.3205552264683353</v>
      </c>
      <c r="AO598" s="162">
        <v>89.999987005609597</v>
      </c>
      <c r="AP598" s="162">
        <v>0</v>
      </c>
      <c r="AQ598" s="162">
        <v>0</v>
      </c>
      <c r="AR598" s="710" t="str">
        <v>32193r1.par</v>
      </c>
      <c r="AV598" s="82" t="str">
        <v>255,188,121</v>
      </c>
      <c r="AW598" s="947">
        <v>89.999987005609597</v>
      </c>
      <c r="AX598" s="947">
        <v>89.999987005609597</v>
      </c>
      <c r="AY598" s="947">
        <v>0</v>
      </c>
    </row>
    <row r="599" spans="31:51" x14ac:dyDescent="0.25">
      <c r="AE599" s="75">
        <v>1.2410000000000001</v>
      </c>
      <c r="AF599" s="82">
        <v>1</v>
      </c>
      <c r="AG599" s="82">
        <v>2</v>
      </c>
      <c r="AH599" s="82">
        <v>1</v>
      </c>
      <c r="AI599" s="82">
        <v>3.0000000000109139</v>
      </c>
      <c r="AJ599" s="166">
        <v>1.2411300000000001</v>
      </c>
      <c r="AK599" s="82" t="str">
        <v>Base</v>
      </c>
      <c r="AL599" s="162">
        <v>-0.75</v>
      </c>
      <c r="AM599" s="162">
        <v>-4.9927899012947687</v>
      </c>
      <c r="AN599" s="162">
        <v>-2.5691688053000701</v>
      </c>
      <c r="AO599" s="162">
        <v>89.999987005609611</v>
      </c>
      <c r="AP599" s="162">
        <v>0</v>
      </c>
      <c r="AQ599" s="162">
        <v>0</v>
      </c>
      <c r="AR599" s="710" t="str">
        <v>32193r1.par</v>
      </c>
      <c r="AV599" s="82" t="str">
        <v>255,188,121</v>
      </c>
      <c r="AW599" s="947">
        <v>89.999987005609611</v>
      </c>
      <c r="AX599" s="947">
        <v>89.999987005609611</v>
      </c>
      <c r="AY599" s="947">
        <v>0</v>
      </c>
    </row>
    <row r="600" spans="31:51" x14ac:dyDescent="0.25">
      <c r="AE600" s="75">
        <v>1.2350000000000001</v>
      </c>
      <c r="AF600" s="82">
        <v>1</v>
      </c>
      <c r="AG600" s="82">
        <v>2</v>
      </c>
      <c r="AH600" s="82">
        <v>1</v>
      </c>
      <c r="AI600" s="82">
        <v>3.0000000000109139</v>
      </c>
      <c r="AJ600" s="166">
        <v>1.2351300000000001</v>
      </c>
      <c r="AK600" s="82" t="str">
        <v>Base</v>
      </c>
      <c r="AL600" s="162">
        <v>-0.75</v>
      </c>
      <c r="AM600" s="162">
        <v>-4.9655836720076438</v>
      </c>
      <c r="AN600" s="162">
        <v>-1.7947435550927082</v>
      </c>
      <c r="AO600" s="162">
        <v>69.566043588691343</v>
      </c>
      <c r="AP600" s="162">
        <v>-31.467894876304182</v>
      </c>
      <c r="AQ600" s="162">
        <v>0</v>
      </c>
      <c r="AR600" s="710" t="str">
        <v>1313.par</v>
      </c>
      <c r="AV600" s="82" t="str">
        <v>255,188,121</v>
      </c>
      <c r="AW600" s="947">
        <v>69.566043588691343</v>
      </c>
      <c r="AX600" s="947">
        <v>69.566043588691343</v>
      </c>
      <c r="AY600" s="947">
        <v>0</v>
      </c>
    </row>
    <row r="601" spans="31:51" x14ac:dyDescent="0.25">
      <c r="AE601" s="75">
        <v>1.2290000000000001</v>
      </c>
      <c r="AF601" s="82">
        <v>1</v>
      </c>
      <c r="AG601" s="82">
        <v>2</v>
      </c>
      <c r="AH601" s="82">
        <v>1</v>
      </c>
      <c r="AI601" s="82">
        <v>3.0000000000109139</v>
      </c>
      <c r="AJ601" s="166">
        <v>1.2291300000000001</v>
      </c>
      <c r="AK601" s="82" t="str">
        <v>Base</v>
      </c>
      <c r="AL601" s="162">
        <v>-0.75</v>
      </c>
      <c r="AM601" s="162">
        <v>-4.6179594043500742</v>
      </c>
      <c r="AN601" s="162">
        <v>-1.1047107435705128</v>
      </c>
      <c r="AO601" s="162">
        <v>51.026324417745535</v>
      </c>
      <c r="AP601" s="162">
        <v>-27.48633572036287</v>
      </c>
      <c r="AQ601" s="162">
        <v>0</v>
      </c>
      <c r="AR601" s="710" t="str">
        <v>1313.par</v>
      </c>
      <c r="AV601" s="82" t="str">
        <v>255,188,121</v>
      </c>
      <c r="AW601" s="947">
        <v>51.026324417745535</v>
      </c>
      <c r="AX601" s="947">
        <v>51.026324417745535</v>
      </c>
      <c r="AY601" s="947">
        <v>0</v>
      </c>
    </row>
    <row r="602" spans="31:51" x14ac:dyDescent="0.25">
      <c r="AE602" s="75">
        <v>1.2230000000000001</v>
      </c>
      <c r="AF602" s="82">
        <v>1</v>
      </c>
      <c r="AG602" s="82">
        <v>2</v>
      </c>
      <c r="AH602" s="82">
        <v>1</v>
      </c>
      <c r="AI602" s="82">
        <v>3.0000000000109139</v>
      </c>
      <c r="AJ602" s="166">
        <v>1.2231300000000001</v>
      </c>
      <c r="AK602" s="82" t="str">
        <v>Base</v>
      </c>
      <c r="AL602" s="162">
        <v>-0.75</v>
      </c>
      <c r="AM602" s="162">
        <v>-4.0470214224005918</v>
      </c>
      <c r="AN602" s="162">
        <v>-0.58440426305103366</v>
      </c>
      <c r="AO602" s="162">
        <v>32.403257224374144</v>
      </c>
      <c r="AP602" s="162">
        <v>-23.52307731097898</v>
      </c>
      <c r="AQ602" s="162">
        <v>0</v>
      </c>
      <c r="AR602" s="710" t="str">
        <v>1313.par</v>
      </c>
      <c r="AV602" s="82" t="str">
        <v>255,188,121</v>
      </c>
      <c r="AW602" s="947">
        <v>32.403257224374144</v>
      </c>
      <c r="AX602" s="947">
        <v>32.403257224374144</v>
      </c>
      <c r="AY602" s="947">
        <v>0</v>
      </c>
    </row>
    <row r="603" spans="31:51" x14ac:dyDescent="0.25">
      <c r="AE603" s="75">
        <v>1.2170000000000001</v>
      </c>
      <c r="AF603" s="82">
        <v>1</v>
      </c>
      <c r="AG603" s="82">
        <v>2</v>
      </c>
      <c r="AH603" s="82">
        <v>1</v>
      </c>
      <c r="AI603" s="82">
        <v>3.0000000000109139</v>
      </c>
      <c r="AJ603" s="166">
        <v>1.21713</v>
      </c>
      <c r="AK603" s="82" t="str">
        <v>Base</v>
      </c>
      <c r="AL603" s="162">
        <v>-0.75</v>
      </c>
      <c r="AM603" s="162">
        <v>-3.3201755508845281</v>
      </c>
      <c r="AN603" s="162">
        <v>-0.33504641489002251</v>
      </c>
      <c r="AO603" s="162">
        <v>5.9999991337073153</v>
      </c>
      <c r="AP603" s="162">
        <v>0</v>
      </c>
      <c r="AQ603" s="162">
        <v>0</v>
      </c>
      <c r="AR603" s="710" t="str">
        <v>32193r1.par</v>
      </c>
      <c r="AV603" s="82" t="str">
        <v>255,188,121</v>
      </c>
      <c r="AW603" s="947">
        <v>5.9999991337073153</v>
      </c>
      <c r="AX603" s="947">
        <v>5.9999991337073153</v>
      </c>
      <c r="AY603" s="947">
        <v>0</v>
      </c>
    </row>
    <row r="604" spans="31:51" x14ac:dyDescent="0.25">
      <c r="AE604" s="75">
        <v>1.147</v>
      </c>
      <c r="AF604" s="82">
        <v>1</v>
      </c>
      <c r="AG604" s="82">
        <v>1</v>
      </c>
      <c r="AH604" s="82">
        <v>1</v>
      </c>
      <c r="AI604" s="82">
        <v>2.999999999992724</v>
      </c>
      <c r="AJ604" s="166">
        <v>1.14713</v>
      </c>
      <c r="AK604" s="82" t="str">
        <v>Base</v>
      </c>
      <c r="AL604" s="162">
        <v>0</v>
      </c>
      <c r="AM604" s="162">
        <v>-5.0550887932628417</v>
      </c>
      <c r="AN604" s="162">
        <v>-3.300289813923337</v>
      </c>
      <c r="AO604" s="162">
        <v>84.970117416838434</v>
      </c>
      <c r="AP604" s="162">
        <v>-29.785208788526894</v>
      </c>
      <c r="AQ604" s="162">
        <v>0</v>
      </c>
      <c r="AR604" s="710" t="str">
        <v>1613.par</v>
      </c>
      <c r="AV604" s="82" t="str">
        <v>255,127,0</v>
      </c>
      <c r="AW604" s="947">
        <v>84.970117416838434</v>
      </c>
      <c r="AX604" s="947">
        <v>84.970117416838434</v>
      </c>
      <c r="AY604" s="947">
        <v>0</v>
      </c>
    </row>
    <row r="605" spans="31:51" x14ac:dyDescent="0.25">
      <c r="AE605" s="75">
        <v>1.141</v>
      </c>
      <c r="AF605" s="82">
        <v>1</v>
      </c>
      <c r="AG605" s="82">
        <v>1</v>
      </c>
      <c r="AH605" s="82">
        <v>1</v>
      </c>
      <c r="AI605" s="82">
        <v>2.999999999992724</v>
      </c>
      <c r="AJ605" s="166">
        <v>1.14113</v>
      </c>
      <c r="AK605" s="82" t="str">
        <v>Base</v>
      </c>
      <c r="AL605" s="162">
        <v>0</v>
      </c>
      <c r="AM605" s="162">
        <v>-5.0270040657372705</v>
      </c>
      <c r="AN605" s="162">
        <v>-2.5488055316855025</v>
      </c>
      <c r="AO605" s="162">
        <v>84.96994937215598</v>
      </c>
      <c r="AP605" s="162">
        <v>-29.784116024848295</v>
      </c>
      <c r="AQ605" s="162">
        <v>0</v>
      </c>
      <c r="AR605" s="710" t="str">
        <v>1613.par</v>
      </c>
      <c r="AV605" s="82" t="str">
        <v>255,127,0</v>
      </c>
      <c r="AW605" s="947">
        <v>84.96994937215598</v>
      </c>
      <c r="AX605" s="947">
        <v>84.96994937215598</v>
      </c>
      <c r="AY605" s="947">
        <v>0</v>
      </c>
    </row>
    <row r="606" spans="31:51" x14ac:dyDescent="0.25">
      <c r="AE606" s="75">
        <v>1.135</v>
      </c>
      <c r="AF606" s="82">
        <v>1</v>
      </c>
      <c r="AG606" s="82">
        <v>1</v>
      </c>
      <c r="AH606" s="82">
        <v>1</v>
      </c>
      <c r="AI606" s="82">
        <v>2.999999999992724</v>
      </c>
      <c r="AJ606" s="166">
        <v>1.13513</v>
      </c>
      <c r="AK606" s="82" t="str">
        <v>Base</v>
      </c>
      <c r="AL606" s="162">
        <v>0</v>
      </c>
      <c r="AM606" s="162">
        <v>-4.9429492165422184</v>
      </c>
      <c r="AN606" s="162">
        <v>-1.7896807792824903</v>
      </c>
      <c r="AO606" s="162">
        <v>69.53293472939626</v>
      </c>
      <c r="AP606" s="162">
        <v>-26.457837763909776</v>
      </c>
      <c r="AQ606" s="162">
        <v>0</v>
      </c>
      <c r="AR606" s="710" t="str">
        <v>1613.par</v>
      </c>
      <c r="AV606" s="82" t="str">
        <v>255,127,0</v>
      </c>
      <c r="AW606" s="947">
        <v>69.53293472939626</v>
      </c>
      <c r="AX606" s="947">
        <v>69.53293472939626</v>
      </c>
      <c r="AY606" s="947">
        <v>0</v>
      </c>
    </row>
    <row r="607" spans="31:51" x14ac:dyDescent="0.25">
      <c r="AE607" s="75">
        <v>1.129</v>
      </c>
      <c r="AF607" s="82">
        <v>1</v>
      </c>
      <c r="AG607" s="82">
        <v>1</v>
      </c>
      <c r="AH607" s="82">
        <v>1</v>
      </c>
      <c r="AI607" s="82">
        <v>2.999999999992724</v>
      </c>
      <c r="AJ607" s="166">
        <v>1.12913</v>
      </c>
      <c r="AK607" s="82" t="str">
        <v>Base</v>
      </c>
      <c r="AL607" s="162">
        <v>0</v>
      </c>
      <c r="AM607" s="162">
        <v>-4.599152845196758</v>
      </c>
      <c r="AN607" s="162">
        <v>-1.1053171078609472</v>
      </c>
      <c r="AO607" s="162">
        <v>50.943025181030578</v>
      </c>
      <c r="AP607" s="162">
        <v>-22.478543785706282</v>
      </c>
      <c r="AQ607" s="162">
        <v>0</v>
      </c>
      <c r="AR607" s="710" t="str">
        <v>1613.par</v>
      </c>
      <c r="AV607" s="82" t="str">
        <v>255,127,0</v>
      </c>
      <c r="AW607" s="947">
        <v>50.943025181030578</v>
      </c>
      <c r="AX607" s="947">
        <v>50.943025181030578</v>
      </c>
      <c r="AY607" s="947">
        <v>0</v>
      </c>
    </row>
    <row r="608" spans="31:51" x14ac:dyDescent="0.25">
      <c r="AE608" s="75">
        <v>1.123</v>
      </c>
      <c r="AF608" s="82">
        <v>1</v>
      </c>
      <c r="AG608" s="82">
        <v>1</v>
      </c>
      <c r="AH608" s="82">
        <v>1</v>
      </c>
      <c r="AI608" s="82">
        <v>2.999999999992724</v>
      </c>
      <c r="AJ608" s="166">
        <v>1.12313</v>
      </c>
      <c r="AK608" s="82" t="str">
        <v>Base</v>
      </c>
      <c r="AL608" s="162">
        <v>0</v>
      </c>
      <c r="AM608" s="162">
        <v>-4.0340922214204733</v>
      </c>
      <c r="AN608" s="162">
        <v>-0.58786249527693768</v>
      </c>
      <c r="AO608" s="162">
        <v>32.228901208944677</v>
      </c>
      <c r="AP608" s="162">
        <v>-18.518146153032774</v>
      </c>
      <c r="AQ608" s="162">
        <v>0</v>
      </c>
      <c r="AR608" s="710" t="str">
        <v>1613.par</v>
      </c>
      <c r="AV608" s="82" t="str">
        <v>255,127,0</v>
      </c>
      <c r="AW608" s="947">
        <v>32.228901208944677</v>
      </c>
      <c r="AX608" s="947">
        <v>32.228901208944677</v>
      </c>
      <c r="AY608" s="947">
        <v>0</v>
      </c>
    </row>
    <row r="609" spans="31:51" x14ac:dyDescent="0.25">
      <c r="AE609" s="75">
        <v>1.117</v>
      </c>
      <c r="AF609" s="82">
        <v>1</v>
      </c>
      <c r="AG609" s="82">
        <v>1</v>
      </c>
      <c r="AH609" s="82">
        <v>1</v>
      </c>
      <c r="AI609" s="82">
        <v>2.999999999992724</v>
      </c>
      <c r="AJ609" s="166">
        <v>1.11713</v>
      </c>
      <c r="AK609" s="82" t="str">
        <v>Base</v>
      </c>
      <c r="AL609" s="162">
        <v>0</v>
      </c>
      <c r="AM609" s="162">
        <v>-3.3213108411312309</v>
      </c>
      <c r="AN609" s="162">
        <v>-0.30551364369199691</v>
      </c>
      <c r="AO609" s="162">
        <v>13.374429842880255</v>
      </c>
      <c r="AP609" s="162">
        <v>-15.719986249129448</v>
      </c>
      <c r="AQ609" s="162">
        <v>0</v>
      </c>
      <c r="AR609" s="710" t="str">
        <v>1613 Ripper.par</v>
      </c>
      <c r="AV609" s="82" t="str">
        <v>255,127,0</v>
      </c>
      <c r="AW609" s="947">
        <v>13.374429842880255</v>
      </c>
      <c r="AX609" s="947">
        <v>13.374429842880255</v>
      </c>
      <c r="AY609" s="947">
        <v>0</v>
      </c>
    </row>
    <row r="610" spans="31:51" x14ac:dyDescent="0.25">
      <c r="AE610" s="75">
        <v>1.111</v>
      </c>
      <c r="AF610" s="82">
        <v>1</v>
      </c>
      <c r="AG610" s="82">
        <v>1</v>
      </c>
      <c r="AH610" s="82">
        <v>1</v>
      </c>
      <c r="AI610" s="82">
        <v>2.999999999992724</v>
      </c>
      <c r="AJ610" s="166">
        <v>1.11113</v>
      </c>
      <c r="AK610" s="82" t="str">
        <v>Base</v>
      </c>
      <c r="AL610" s="162">
        <v>0</v>
      </c>
      <c r="AM610" s="162">
        <v>-2.5545423236824747</v>
      </c>
      <c r="AN610" s="162">
        <v>-0.29587727761454646</v>
      </c>
      <c r="AO610" s="162">
        <v>-5.4571267998021593</v>
      </c>
      <c r="AP610" s="162">
        <v>-15.23519930996278</v>
      </c>
      <c r="AQ610" s="162">
        <v>0</v>
      </c>
      <c r="AR610" s="710" t="str">
        <v>1613 Ripper.par</v>
      </c>
      <c r="AV610" s="82" t="str">
        <v>255,127,0</v>
      </c>
      <c r="AW610" s="947">
        <v>-5.4571267998021593</v>
      </c>
      <c r="AX610" s="947">
        <v>-5.4571267998021593</v>
      </c>
      <c r="AY610" s="947">
        <v>0</v>
      </c>
    </row>
    <row r="611" spans="31:51" x14ac:dyDescent="0.25">
      <c r="AE611" s="75">
        <v>1.107</v>
      </c>
      <c r="AF611" s="82">
        <v>1</v>
      </c>
      <c r="AG611" s="82">
        <v>1</v>
      </c>
      <c r="AH611" s="82">
        <v>1</v>
      </c>
      <c r="AI611" s="82">
        <v>2.999999999992724</v>
      </c>
      <c r="AJ611" s="166">
        <v>1.1071299999999999</v>
      </c>
      <c r="AK611" s="82" t="str">
        <v>Base</v>
      </c>
      <c r="AL611" s="162">
        <v>0</v>
      </c>
      <c r="AM611" s="162">
        <v>-1.8451111286626787</v>
      </c>
      <c r="AN611" s="162">
        <v>-0.47659789570461736</v>
      </c>
      <c r="AO611" s="162">
        <v>-12.188363844259069</v>
      </c>
      <c r="AP611" s="162">
        <v>-15.1154526663362</v>
      </c>
      <c r="AQ611" s="162">
        <v>0</v>
      </c>
      <c r="AR611" s="710" t="str">
        <v>1613 Ripper.par</v>
      </c>
      <c r="AV611" s="82" t="str">
        <v>255,127,0</v>
      </c>
      <c r="AW611" s="947">
        <v>-12.188363844259069</v>
      </c>
      <c r="AX611" s="947">
        <v>-12.188363844259069</v>
      </c>
      <c r="AY611" s="947">
        <v>0</v>
      </c>
    </row>
    <row r="612" spans="31:51" x14ac:dyDescent="0.25">
      <c r="AE612" s="75">
        <v>1.1040000000000001</v>
      </c>
      <c r="AF612" s="82">
        <v>1</v>
      </c>
      <c r="AG612" s="82">
        <v>1</v>
      </c>
      <c r="AH612" s="82">
        <v>1</v>
      </c>
      <c r="AI612" s="82">
        <v>3.0000000000109139</v>
      </c>
      <c r="AJ612" s="166">
        <v>1.1041300000000001</v>
      </c>
      <c r="AK612" s="82" t="str">
        <v>Base</v>
      </c>
      <c r="AL612" s="162">
        <v>0</v>
      </c>
      <c r="AM612" s="162">
        <v>-1.117872544258617</v>
      </c>
      <c r="AN612" s="162">
        <v>-0.67139065402987996</v>
      </c>
      <c r="AO612" s="162">
        <v>-13.592723484172373</v>
      </c>
      <c r="AP612" s="162">
        <v>-15.202531777354526</v>
      </c>
      <c r="AQ612" s="162">
        <v>0</v>
      </c>
      <c r="AR612" s="710" t="str">
        <v>1613 Ripper.par</v>
      </c>
      <c r="AV612" s="82" t="str">
        <v>255,127,0</v>
      </c>
      <c r="AW612" s="947">
        <v>-13.592723484172373</v>
      </c>
      <c r="AX612" s="947">
        <v>-13.592723484172373</v>
      </c>
      <c r="AY612" s="947">
        <v>0</v>
      </c>
    </row>
    <row r="613" spans="31:51" x14ac:dyDescent="0.25">
      <c r="AE613" s="75">
        <v>1.101</v>
      </c>
      <c r="AF613" s="82">
        <v>1</v>
      </c>
      <c r="AG613" s="82">
        <v>1</v>
      </c>
      <c r="AH613" s="82">
        <v>1</v>
      </c>
      <c r="AI613" s="82">
        <v>2.999999999992724</v>
      </c>
      <c r="AJ613" s="166">
        <v>1.1011299999999999</v>
      </c>
      <c r="AK613" s="82" t="str">
        <v>Base</v>
      </c>
      <c r="AL613" s="162">
        <v>0</v>
      </c>
      <c r="AM613" s="162">
        <v>-0.34590084040938435</v>
      </c>
      <c r="AN613" s="162">
        <v>-0.87944053768503361</v>
      </c>
      <c r="AO613" s="162">
        <v>-18.141294048916745</v>
      </c>
      <c r="AP613" s="162">
        <v>-20.759298132405352</v>
      </c>
      <c r="AQ613" s="162">
        <v>0</v>
      </c>
      <c r="AR613" s="710" t="str">
        <v>1613.par</v>
      </c>
      <c r="AV613" s="82" t="str">
        <v>255,127,0</v>
      </c>
      <c r="AW613" s="947">
        <v>-18.141294048916745</v>
      </c>
      <c r="AX613" s="947">
        <v>-18.141294048916745</v>
      </c>
      <c r="AY613" s="947">
        <v>0</v>
      </c>
    </row>
    <row r="614" spans="31:51" x14ac:dyDescent="0.25">
      <c r="AE614" s="75">
        <v>6.2539999999999996</v>
      </c>
      <c r="AF614" s="82">
        <v>6</v>
      </c>
      <c r="AG614" s="82">
        <v>2</v>
      </c>
      <c r="AH614" s="82">
        <v>2</v>
      </c>
      <c r="AI614" s="82">
        <v>2.9999999999563443</v>
      </c>
      <c r="AJ614" s="166">
        <v>6.2542299999999997</v>
      </c>
      <c r="AK614" s="82">
        <v>6.25413</v>
      </c>
      <c r="AL614" s="162">
        <v>0</v>
      </c>
      <c r="AM614" s="162">
        <v>0</v>
      </c>
      <c r="AN614" s="162">
        <v>0</v>
      </c>
      <c r="AO614" s="162">
        <v>0</v>
      </c>
      <c r="AP614" s="162">
        <v>0</v>
      </c>
      <c r="AQ614" s="162">
        <v>0</v>
      </c>
      <c r="AR614" s="710" t="str">
        <v>1313.par</v>
      </c>
      <c r="AV614" s="82" t="str">
        <v>188,121,255</v>
      </c>
      <c r="AW614" s="947">
        <v>100.03561890671624</v>
      </c>
      <c r="AX614" s="947">
        <v>100.03561890671624</v>
      </c>
      <c r="AY614" s="947">
        <v>0</v>
      </c>
    </row>
    <row r="615" spans="31:51" x14ac:dyDescent="0.25">
      <c r="AE615" s="75">
        <v>6.2480000000000002</v>
      </c>
      <c r="AF615" s="82">
        <v>6</v>
      </c>
      <c r="AG615" s="82">
        <v>2</v>
      </c>
      <c r="AH615" s="82">
        <v>2</v>
      </c>
      <c r="AI615" s="82">
        <v>3.0000000000291038</v>
      </c>
      <c r="AJ615" s="166">
        <v>6.2482300000000004</v>
      </c>
      <c r="AK615" s="82">
        <v>6.2481300000000006</v>
      </c>
      <c r="AL615" s="162">
        <v>0</v>
      </c>
      <c r="AM615" s="162">
        <v>0</v>
      </c>
      <c r="AN615" s="162">
        <v>0</v>
      </c>
      <c r="AO615" s="162">
        <v>0</v>
      </c>
      <c r="AP615" s="162">
        <v>0</v>
      </c>
      <c r="AQ615" s="162">
        <v>0</v>
      </c>
      <c r="AR615" s="710" t="str">
        <v>32193r1.par</v>
      </c>
      <c r="AV615" s="82" t="str">
        <v>188,121,255</v>
      </c>
      <c r="AW615" s="947">
        <v>89.999987005609597</v>
      </c>
      <c r="AX615" s="947">
        <v>89.999987005609597</v>
      </c>
      <c r="AY615" s="947">
        <v>0</v>
      </c>
    </row>
    <row r="616" spans="31:51" x14ac:dyDescent="0.25">
      <c r="AE616" s="75">
        <v>6.242</v>
      </c>
      <c r="AF616" s="82">
        <v>6</v>
      </c>
      <c r="AG616" s="82">
        <v>2</v>
      </c>
      <c r="AH616" s="82">
        <v>2</v>
      </c>
      <c r="AI616" s="82">
        <v>3.0000000000291038</v>
      </c>
      <c r="AJ616" s="166">
        <v>6.2422300000000002</v>
      </c>
      <c r="AK616" s="82">
        <v>6.2421300000000004</v>
      </c>
      <c r="AL616" s="162">
        <v>0</v>
      </c>
      <c r="AM616" s="162">
        <v>0</v>
      </c>
      <c r="AN616" s="162">
        <v>0</v>
      </c>
      <c r="AO616" s="162">
        <v>0</v>
      </c>
      <c r="AP616" s="162">
        <v>0</v>
      </c>
      <c r="AQ616" s="162">
        <v>0</v>
      </c>
      <c r="AR616" s="710" t="str">
        <v>32193r1.par</v>
      </c>
      <c r="AV616" s="82" t="str">
        <v>188,121,255</v>
      </c>
      <c r="AW616" s="947">
        <v>89.999987005609626</v>
      </c>
      <c r="AX616" s="947">
        <v>89.999987005609626</v>
      </c>
      <c r="AY616" s="947">
        <v>0</v>
      </c>
    </row>
    <row r="617" spans="31:51" x14ac:dyDescent="0.25">
      <c r="AE617" s="75">
        <v>6.2359999999999998</v>
      </c>
      <c r="AF617" s="82">
        <v>6</v>
      </c>
      <c r="AG617" s="82">
        <v>2</v>
      </c>
      <c r="AH617" s="82">
        <v>2</v>
      </c>
      <c r="AI617" s="82">
        <v>3.0000000000291038</v>
      </c>
      <c r="AJ617" s="166">
        <v>6.2362299999999999</v>
      </c>
      <c r="AK617" s="82">
        <v>6.2361300000000002</v>
      </c>
      <c r="AL617" s="162">
        <v>0</v>
      </c>
      <c r="AM617" s="162">
        <v>0</v>
      </c>
      <c r="AN617" s="162">
        <v>0</v>
      </c>
      <c r="AO617" s="162">
        <v>0</v>
      </c>
      <c r="AP617" s="162">
        <v>0</v>
      </c>
      <c r="AQ617" s="162">
        <v>0</v>
      </c>
      <c r="AR617" s="710" t="str">
        <v>32193r1.par</v>
      </c>
      <c r="AV617" s="82" t="str">
        <v>188,121,255</v>
      </c>
      <c r="AW617" s="947">
        <v>75.999989026959227</v>
      </c>
      <c r="AX617" s="947">
        <v>75.999989026959227</v>
      </c>
      <c r="AY617" s="947">
        <v>0</v>
      </c>
    </row>
    <row r="618" spans="31:51" x14ac:dyDescent="0.25">
      <c r="AE618" s="75">
        <v>6.23</v>
      </c>
      <c r="AF618" s="82">
        <v>6</v>
      </c>
      <c r="AG618" s="82">
        <v>2</v>
      </c>
      <c r="AH618" s="82">
        <v>2</v>
      </c>
      <c r="AI618" s="82">
        <v>3.0000000000291038</v>
      </c>
      <c r="AJ618" s="166">
        <v>6.2302300000000006</v>
      </c>
      <c r="AK618" s="82">
        <v>6.2301300000000008</v>
      </c>
      <c r="AL618" s="162">
        <v>0</v>
      </c>
      <c r="AM618" s="162">
        <v>0</v>
      </c>
      <c r="AN618" s="162">
        <v>0</v>
      </c>
      <c r="AO618" s="162">
        <v>0</v>
      </c>
      <c r="AP618" s="162">
        <v>0</v>
      </c>
      <c r="AQ618" s="162">
        <v>0</v>
      </c>
      <c r="AR618" s="710" t="str">
        <v>32193r1.par</v>
      </c>
      <c r="AV618" s="82" t="str">
        <v>188,121,255</v>
      </c>
      <c r="AW618" s="947">
        <v>54.999992058983658</v>
      </c>
      <c r="AX618" s="947">
        <v>54.999992058983658</v>
      </c>
      <c r="AY618" s="947">
        <v>0</v>
      </c>
    </row>
    <row r="619" spans="31:51" x14ac:dyDescent="0.25">
      <c r="AE619" s="75">
        <v>6.2240000000000002</v>
      </c>
      <c r="AF619" s="82">
        <v>6</v>
      </c>
      <c r="AG619" s="82">
        <v>2</v>
      </c>
      <c r="AH619" s="82">
        <v>2</v>
      </c>
      <c r="AI619" s="82">
        <v>3.0000000000291038</v>
      </c>
      <c r="AJ619" s="166">
        <v>6.2242300000000004</v>
      </c>
      <c r="AK619" s="82">
        <v>6.2241300000000006</v>
      </c>
      <c r="AL619" s="162">
        <v>0</v>
      </c>
      <c r="AM619" s="162">
        <v>0</v>
      </c>
      <c r="AN619" s="162">
        <v>0</v>
      </c>
      <c r="AO619" s="162">
        <v>0</v>
      </c>
      <c r="AP619" s="162">
        <v>0</v>
      </c>
      <c r="AQ619" s="162">
        <v>0</v>
      </c>
      <c r="AR619" s="710" t="str">
        <v>32193r1.par</v>
      </c>
      <c r="AV619" s="82" t="str">
        <v>188,121,255</v>
      </c>
      <c r="AW619" s="947">
        <v>33.999995091008067</v>
      </c>
      <c r="AX619" s="947">
        <v>33.999995091008067</v>
      </c>
      <c r="AY619" s="947">
        <v>0</v>
      </c>
    </row>
    <row r="620" spans="31:51" x14ac:dyDescent="0.25">
      <c r="AE620" s="75">
        <v>6.218</v>
      </c>
      <c r="AF620" s="82">
        <v>6</v>
      </c>
      <c r="AG620" s="82">
        <v>2</v>
      </c>
      <c r="AH620" s="82">
        <v>2</v>
      </c>
      <c r="AI620" s="82">
        <v>3.0000000000291038</v>
      </c>
      <c r="AJ620" s="166">
        <v>6.2182300000000001</v>
      </c>
      <c r="AK620" s="82">
        <v>6.2181300000000004</v>
      </c>
      <c r="AL620" s="162">
        <v>0</v>
      </c>
      <c r="AM620" s="162">
        <v>0</v>
      </c>
      <c r="AN620" s="162">
        <v>0</v>
      </c>
      <c r="AO620" s="162">
        <v>0</v>
      </c>
      <c r="AP620" s="162">
        <v>0</v>
      </c>
      <c r="AQ620" s="162">
        <v>0</v>
      </c>
      <c r="AR620" s="710" t="str">
        <v>32193r1.par</v>
      </c>
      <c r="AV620" s="82" t="str">
        <v>188,121,255</v>
      </c>
      <c r="AW620" s="947">
        <v>12.999998123032499</v>
      </c>
      <c r="AX620" s="947">
        <v>12.999998123032499</v>
      </c>
      <c r="AY620" s="947">
        <v>0</v>
      </c>
    </row>
    <row r="621" spans="31:51" x14ac:dyDescent="0.25">
      <c r="AE621" s="75">
        <v>6.1479999999999997</v>
      </c>
      <c r="AF621" s="82">
        <v>6</v>
      </c>
      <c r="AG621" s="82">
        <v>1</v>
      </c>
      <c r="AH621" s="82">
        <v>2</v>
      </c>
      <c r="AI621" s="82">
        <v>2.9999999999563443</v>
      </c>
      <c r="AJ621" s="166">
        <v>6.1482299999999999</v>
      </c>
      <c r="AK621" s="82">
        <v>6.1481300000000001</v>
      </c>
      <c r="AL621" s="162">
        <v>0</v>
      </c>
      <c r="AM621" s="162">
        <v>0</v>
      </c>
      <c r="AN621" s="162">
        <v>0</v>
      </c>
      <c r="AO621" s="162">
        <v>0</v>
      </c>
      <c r="AP621" s="162">
        <v>0</v>
      </c>
      <c r="AQ621" s="162">
        <v>0</v>
      </c>
      <c r="AR621" s="710" t="str">
        <v>1613.par</v>
      </c>
      <c r="AV621" s="82" t="str">
        <v>127,0,255</v>
      </c>
      <c r="AW621" s="947">
        <v>84.970117416838406</v>
      </c>
      <c r="AX621" s="947">
        <v>84.970117416838406</v>
      </c>
      <c r="AY621" s="947">
        <v>0</v>
      </c>
    </row>
    <row r="622" spans="31:51" x14ac:dyDescent="0.25">
      <c r="AE622" s="75">
        <v>6.1420000000000003</v>
      </c>
      <c r="AF622" s="82">
        <v>6</v>
      </c>
      <c r="AG622" s="82">
        <v>1</v>
      </c>
      <c r="AH622" s="82">
        <v>2</v>
      </c>
      <c r="AI622" s="82">
        <v>3.0000000000291038</v>
      </c>
      <c r="AJ622" s="166">
        <v>6.1422300000000005</v>
      </c>
      <c r="AK622" s="82">
        <v>6.1421300000000008</v>
      </c>
      <c r="AL622" s="162">
        <v>0</v>
      </c>
      <c r="AM622" s="162">
        <v>0</v>
      </c>
      <c r="AN622" s="162">
        <v>0</v>
      </c>
      <c r="AO622" s="162">
        <v>0</v>
      </c>
      <c r="AP622" s="162">
        <v>0</v>
      </c>
      <c r="AQ622" s="162">
        <v>0</v>
      </c>
      <c r="AR622" s="710" t="str">
        <v>1613.par</v>
      </c>
      <c r="AV622" s="82" t="str">
        <v>127,0,255</v>
      </c>
      <c r="AW622" s="947">
        <v>84.96994937215598</v>
      </c>
      <c r="AX622" s="947">
        <v>84.96994937215598</v>
      </c>
      <c r="AY622" s="947">
        <v>0</v>
      </c>
    </row>
    <row r="623" spans="31:51" x14ac:dyDescent="0.25">
      <c r="AE623" s="75">
        <v>6.1360000000000001</v>
      </c>
      <c r="AF623" s="82">
        <v>6</v>
      </c>
      <c r="AG623" s="82">
        <v>1</v>
      </c>
      <c r="AH623" s="82">
        <v>2</v>
      </c>
      <c r="AI623" s="82">
        <v>3.0000000000291038</v>
      </c>
      <c r="AJ623" s="166">
        <v>6.1362300000000003</v>
      </c>
      <c r="AK623" s="82">
        <v>6.1361300000000005</v>
      </c>
      <c r="AL623" s="162">
        <v>0</v>
      </c>
      <c r="AM623" s="162">
        <v>0</v>
      </c>
      <c r="AN623" s="162">
        <v>0</v>
      </c>
      <c r="AO623" s="162">
        <v>0</v>
      </c>
      <c r="AP623" s="162">
        <v>0</v>
      </c>
      <c r="AQ623" s="162">
        <v>0</v>
      </c>
      <c r="AR623" s="710" t="str">
        <v>1613.par</v>
      </c>
      <c r="AV623" s="82" t="str">
        <v>127,0,255</v>
      </c>
      <c r="AW623" s="947">
        <v>72.623499997444313</v>
      </c>
      <c r="AX623" s="947">
        <v>72.623499997444313</v>
      </c>
      <c r="AY623" s="947">
        <v>0</v>
      </c>
    </row>
    <row r="624" spans="31:51" x14ac:dyDescent="0.25">
      <c r="AE624" s="75">
        <v>6.13</v>
      </c>
      <c r="AF624" s="82">
        <v>6</v>
      </c>
      <c r="AG624" s="82">
        <v>1</v>
      </c>
      <c r="AH624" s="82">
        <v>2</v>
      </c>
      <c r="AI624" s="82">
        <v>3.0000000000291038</v>
      </c>
      <c r="AJ624" s="166">
        <v>6.1302300000000001</v>
      </c>
      <c r="AK624" s="82">
        <v>6.1301300000000003</v>
      </c>
      <c r="AL624" s="162">
        <v>0</v>
      </c>
      <c r="AM624" s="162">
        <v>0</v>
      </c>
      <c r="AN624" s="162">
        <v>0</v>
      </c>
      <c r="AO624" s="162">
        <v>0</v>
      </c>
      <c r="AP624" s="162">
        <v>0</v>
      </c>
      <c r="AQ624" s="162">
        <v>0</v>
      </c>
      <c r="AR624" s="710" t="str">
        <v>1613.par</v>
      </c>
      <c r="AV624" s="82" t="str">
        <v>127,0,255</v>
      </c>
      <c r="AW624" s="947">
        <v>54.048010045486649</v>
      </c>
      <c r="AX624" s="947">
        <v>54.048010045486649</v>
      </c>
      <c r="AY624" s="947">
        <v>0</v>
      </c>
    </row>
    <row r="625" spans="31:51" x14ac:dyDescent="0.25">
      <c r="AE625" s="75">
        <v>6.1239999999999997</v>
      </c>
      <c r="AF625" s="82">
        <v>6</v>
      </c>
      <c r="AG625" s="82">
        <v>1</v>
      </c>
      <c r="AH625" s="82">
        <v>2</v>
      </c>
      <c r="AI625" s="82">
        <v>2.9999999999563443</v>
      </c>
      <c r="AJ625" s="166">
        <v>6.1242299999999998</v>
      </c>
      <c r="AK625" s="82">
        <v>6.1241300000000001</v>
      </c>
      <c r="AL625" s="162">
        <v>0</v>
      </c>
      <c r="AM625" s="162">
        <v>0</v>
      </c>
      <c r="AN625" s="162">
        <v>0</v>
      </c>
      <c r="AO625" s="162">
        <v>0</v>
      </c>
      <c r="AP625" s="162">
        <v>0</v>
      </c>
      <c r="AQ625" s="162">
        <v>0</v>
      </c>
      <c r="AR625" s="710" t="str">
        <v>1613.par</v>
      </c>
      <c r="AV625" s="82" t="str">
        <v>127,0,255</v>
      </c>
      <c r="AW625" s="947">
        <v>35.360276952469491</v>
      </c>
      <c r="AX625" s="947">
        <v>35.360276952469491</v>
      </c>
      <c r="AY625" s="947">
        <v>0</v>
      </c>
    </row>
    <row r="626" spans="31:51" x14ac:dyDescent="0.25">
      <c r="AE626" s="75">
        <v>6.1180000000000003</v>
      </c>
      <c r="AF626" s="82">
        <v>6</v>
      </c>
      <c r="AG626" s="82">
        <v>1</v>
      </c>
      <c r="AH626" s="82">
        <v>2</v>
      </c>
      <c r="AI626" s="82">
        <v>3.0000000000291038</v>
      </c>
      <c r="AJ626" s="166">
        <v>6.1182300000000005</v>
      </c>
      <c r="AK626" s="82">
        <v>6.1181300000000007</v>
      </c>
      <c r="AL626" s="162">
        <v>0</v>
      </c>
      <c r="AM626" s="162">
        <v>0</v>
      </c>
      <c r="AN626" s="162">
        <v>0</v>
      </c>
      <c r="AO626" s="162">
        <v>0</v>
      </c>
      <c r="AP626" s="162">
        <v>0</v>
      </c>
      <c r="AQ626" s="162">
        <v>0</v>
      </c>
      <c r="AR626" s="710" t="str">
        <v>1613 Ripper.par</v>
      </c>
      <c r="AV626" s="82" t="str">
        <v>127,0,255</v>
      </c>
      <c r="AW626" s="947">
        <v>16.504059297615232</v>
      </c>
      <c r="AX626" s="947">
        <v>16.504059297615232</v>
      </c>
      <c r="AY626" s="947">
        <v>0</v>
      </c>
    </row>
    <row r="627" spans="31:51" x14ac:dyDescent="0.25">
      <c r="AE627" s="75">
        <v>6.1120000000000001</v>
      </c>
      <c r="AF627" s="82">
        <v>6</v>
      </c>
      <c r="AG627" s="82">
        <v>1</v>
      </c>
      <c r="AH627" s="82">
        <v>2</v>
      </c>
      <c r="AI627" s="82">
        <v>3.0000000000291038</v>
      </c>
      <c r="AJ627" s="166">
        <v>6.1122300000000003</v>
      </c>
      <c r="AK627" s="82">
        <v>6.1121300000000005</v>
      </c>
      <c r="AL627" s="162">
        <v>0</v>
      </c>
      <c r="AM627" s="162">
        <v>0</v>
      </c>
      <c r="AN627" s="162">
        <v>0</v>
      </c>
      <c r="AO627" s="162">
        <v>0</v>
      </c>
      <c r="AP627" s="162">
        <v>0</v>
      </c>
      <c r="AQ627" s="162">
        <v>0</v>
      </c>
      <c r="AR627" s="710" t="str">
        <v>1613 Ripper.par</v>
      </c>
      <c r="AV627" s="82" t="str">
        <v>127,0,255</v>
      </c>
      <c r="AW627" s="947">
        <v>-2.3119637600075813</v>
      </c>
      <c r="AX627" s="947">
        <v>-2.3119637600075813</v>
      </c>
      <c r="AY627" s="947">
        <v>0</v>
      </c>
    </row>
    <row r="628" spans="31:51" x14ac:dyDescent="0.25">
      <c r="AE628" s="75">
        <v>5.2549999999999999</v>
      </c>
      <c r="AF628" s="82">
        <v>5</v>
      </c>
      <c r="AG628" s="82">
        <v>2</v>
      </c>
      <c r="AH628" s="82">
        <v>2</v>
      </c>
      <c r="AI628" s="82">
        <v>3.0000000000291038</v>
      </c>
      <c r="AJ628" s="166">
        <v>5.2552300000000001</v>
      </c>
      <c r="AK628" s="82">
        <v>5.2551300000000003</v>
      </c>
      <c r="AL628" s="162">
        <v>0</v>
      </c>
      <c r="AM628" s="162">
        <v>0</v>
      </c>
      <c r="AN628" s="162">
        <v>0</v>
      </c>
      <c r="AO628" s="162">
        <v>0</v>
      </c>
      <c r="AP628" s="162">
        <v>0</v>
      </c>
      <c r="AQ628" s="162">
        <v>0</v>
      </c>
      <c r="AR628" s="710" t="str">
        <v>1313.par</v>
      </c>
      <c r="AV628" s="82" t="str">
        <v>121,188,255</v>
      </c>
      <c r="AW628" s="947">
        <v>100.03561890671617</v>
      </c>
      <c r="AX628" s="947">
        <v>100.03561890671617</v>
      </c>
      <c r="AY628" s="947">
        <v>0</v>
      </c>
    </row>
    <row r="629" spans="31:51" x14ac:dyDescent="0.25">
      <c r="AE629" s="75">
        <v>5.2489999999999997</v>
      </c>
      <c r="AF629" s="82">
        <v>5</v>
      </c>
      <c r="AG629" s="82">
        <v>2</v>
      </c>
      <c r="AH629" s="82">
        <v>2</v>
      </c>
      <c r="AI629" s="82">
        <v>2.9999999999563443</v>
      </c>
      <c r="AJ629" s="166">
        <v>5.2492299999999998</v>
      </c>
      <c r="AK629" s="82">
        <v>5.2491300000000001</v>
      </c>
      <c r="AL629" s="162">
        <v>0</v>
      </c>
      <c r="AM629" s="162">
        <v>0</v>
      </c>
      <c r="AN629" s="162">
        <v>0</v>
      </c>
      <c r="AO629" s="162">
        <v>0</v>
      </c>
      <c r="AP629" s="162">
        <v>0</v>
      </c>
      <c r="AQ629" s="162">
        <v>0</v>
      </c>
      <c r="AR629" s="710" t="str">
        <v>32193r1.par</v>
      </c>
      <c r="AV629" s="82" t="str">
        <v>121,188,255</v>
      </c>
      <c r="AW629" s="947">
        <v>89.999987005609597</v>
      </c>
      <c r="AX629" s="947">
        <v>89.999987005609597</v>
      </c>
      <c r="AY629" s="947">
        <v>0</v>
      </c>
    </row>
    <row r="630" spans="31:51" x14ac:dyDescent="0.25">
      <c r="AE630" s="75">
        <v>5.2430000000000003</v>
      </c>
      <c r="AF630" s="82">
        <v>5</v>
      </c>
      <c r="AG630" s="82">
        <v>2</v>
      </c>
      <c r="AH630" s="82">
        <v>2</v>
      </c>
      <c r="AI630" s="82">
        <v>3.0000000000291038</v>
      </c>
      <c r="AJ630" s="166">
        <v>5.2432300000000005</v>
      </c>
      <c r="AK630" s="82">
        <v>5.2431300000000007</v>
      </c>
      <c r="AL630" s="162">
        <v>0</v>
      </c>
      <c r="AM630" s="162">
        <v>0</v>
      </c>
      <c r="AN630" s="162">
        <v>0</v>
      </c>
      <c r="AO630" s="162">
        <v>0</v>
      </c>
      <c r="AP630" s="162">
        <v>0</v>
      </c>
      <c r="AQ630" s="162">
        <v>0</v>
      </c>
      <c r="AR630" s="710" t="str">
        <v>32193r1.par</v>
      </c>
      <c r="AV630" s="82" t="str">
        <v>121,188,255</v>
      </c>
      <c r="AW630" s="947">
        <v>89.999987005609597</v>
      </c>
      <c r="AX630" s="947">
        <v>89.999987005609597</v>
      </c>
      <c r="AY630" s="947">
        <v>0</v>
      </c>
    </row>
    <row r="631" spans="31:51" x14ac:dyDescent="0.25">
      <c r="AE631" s="75">
        <v>5.2370000000000001</v>
      </c>
      <c r="AF631" s="82">
        <v>5</v>
      </c>
      <c r="AG631" s="82">
        <v>2</v>
      </c>
      <c r="AH631" s="82">
        <v>2</v>
      </c>
      <c r="AI631" s="82">
        <v>3.0000000000291038</v>
      </c>
      <c r="AJ631" s="166">
        <v>5.2372300000000003</v>
      </c>
      <c r="AK631" s="82">
        <v>5.2371300000000005</v>
      </c>
      <c r="AL631" s="162">
        <v>0</v>
      </c>
      <c r="AM631" s="162">
        <v>0</v>
      </c>
      <c r="AN631" s="162">
        <v>0</v>
      </c>
      <c r="AO631" s="162">
        <v>0</v>
      </c>
      <c r="AP631" s="162">
        <v>0</v>
      </c>
      <c r="AQ631" s="162">
        <v>0</v>
      </c>
      <c r="AR631" s="710" t="str">
        <v>1313.par</v>
      </c>
      <c r="AV631" s="82" t="str">
        <v>121,188,255</v>
      </c>
      <c r="AW631" s="947">
        <v>75.733702256223253</v>
      </c>
      <c r="AX631" s="947">
        <v>75.733702256223253</v>
      </c>
      <c r="AY631" s="947">
        <v>0</v>
      </c>
    </row>
    <row r="632" spans="31:51" x14ac:dyDescent="0.25">
      <c r="AE632" s="75">
        <v>5.2309999999999999</v>
      </c>
      <c r="AF632" s="82">
        <v>5</v>
      </c>
      <c r="AG632" s="82">
        <v>2</v>
      </c>
      <c r="AH632" s="82">
        <v>2</v>
      </c>
      <c r="AI632" s="82">
        <v>3.0000000000291038</v>
      </c>
      <c r="AJ632" s="166">
        <v>5.23123</v>
      </c>
      <c r="AK632" s="82">
        <v>5.2311300000000003</v>
      </c>
      <c r="AL632" s="162">
        <v>0</v>
      </c>
      <c r="AM632" s="162">
        <v>0</v>
      </c>
      <c r="AN632" s="162">
        <v>0</v>
      </c>
      <c r="AO632" s="162">
        <v>0</v>
      </c>
      <c r="AP632" s="162">
        <v>0</v>
      </c>
      <c r="AQ632" s="162">
        <v>0</v>
      </c>
      <c r="AR632" s="710" t="str">
        <v>1313.par</v>
      </c>
      <c r="AV632" s="82" t="str">
        <v>121,188,255</v>
      </c>
      <c r="AW632" s="947">
        <v>57.213428741154814</v>
      </c>
      <c r="AX632" s="947">
        <v>57.213428741154814</v>
      </c>
      <c r="AY632" s="947">
        <v>0</v>
      </c>
    </row>
    <row r="633" spans="31:51" x14ac:dyDescent="0.25">
      <c r="AE633" s="75">
        <v>5.2249999999999996</v>
      </c>
      <c r="AF633" s="82">
        <v>5</v>
      </c>
      <c r="AG633" s="82">
        <v>2</v>
      </c>
      <c r="AH633" s="82">
        <v>2</v>
      </c>
      <c r="AI633" s="82">
        <v>2.9999999999563443</v>
      </c>
      <c r="AJ633" s="166">
        <v>5.2252299999999998</v>
      </c>
      <c r="AK633" s="82">
        <v>5.2251300000000001</v>
      </c>
      <c r="AL633" s="162">
        <v>0</v>
      </c>
      <c r="AM633" s="162">
        <v>0</v>
      </c>
      <c r="AN633" s="162">
        <v>0</v>
      </c>
      <c r="AO633" s="162">
        <v>0</v>
      </c>
      <c r="AP633" s="162">
        <v>0</v>
      </c>
      <c r="AQ633" s="162">
        <v>0</v>
      </c>
      <c r="AR633" s="710" t="str">
        <v>1313.par</v>
      </c>
      <c r="AV633" s="82" t="str">
        <v>121,188,255</v>
      </c>
      <c r="AW633" s="947">
        <v>38.623227592362632</v>
      </c>
      <c r="AX633" s="947">
        <v>38.623227592362632</v>
      </c>
      <c r="AY633" s="947">
        <v>0</v>
      </c>
    </row>
    <row r="634" spans="31:51" x14ac:dyDescent="0.25">
      <c r="AE634" s="75">
        <v>5.2190000000000003</v>
      </c>
      <c r="AF634" s="82">
        <v>5</v>
      </c>
      <c r="AG634" s="82">
        <v>2</v>
      </c>
      <c r="AH634" s="82">
        <v>2</v>
      </c>
      <c r="AI634" s="82">
        <v>3.0000000000291038</v>
      </c>
      <c r="AJ634" s="166">
        <v>5.2192300000000005</v>
      </c>
      <c r="AK634" s="82">
        <v>5.2191300000000007</v>
      </c>
      <c r="AL634" s="162">
        <v>0</v>
      </c>
      <c r="AM634" s="162">
        <v>0</v>
      </c>
      <c r="AN634" s="162">
        <v>0</v>
      </c>
      <c r="AO634" s="162">
        <v>0</v>
      </c>
      <c r="AP634" s="162">
        <v>0</v>
      </c>
      <c r="AQ634" s="162">
        <v>0</v>
      </c>
      <c r="AR634" s="710" t="str">
        <v>32193r1.par</v>
      </c>
      <c r="AV634" s="82" t="str">
        <v>121,188,255</v>
      </c>
      <c r="AW634" s="947">
        <v>12.999998123032507</v>
      </c>
      <c r="AX634" s="947">
        <v>12.999998123032507</v>
      </c>
      <c r="AY634" s="947">
        <v>0</v>
      </c>
    </row>
    <row r="635" spans="31:51" x14ac:dyDescent="0.25">
      <c r="AE635" s="75">
        <v>5.149</v>
      </c>
      <c r="AF635" s="82">
        <v>5</v>
      </c>
      <c r="AG635" s="82">
        <v>1</v>
      </c>
      <c r="AH635" s="82">
        <v>2</v>
      </c>
      <c r="AI635" s="82">
        <v>3.0000000000291038</v>
      </c>
      <c r="AJ635" s="166">
        <v>5.1492300000000002</v>
      </c>
      <c r="AK635" s="82">
        <v>5.1491300000000004</v>
      </c>
      <c r="AL635" s="162">
        <v>0</v>
      </c>
      <c r="AM635" s="162">
        <v>0</v>
      </c>
      <c r="AN635" s="162">
        <v>0</v>
      </c>
      <c r="AO635" s="162">
        <v>0</v>
      </c>
      <c r="AP635" s="162">
        <v>0</v>
      </c>
      <c r="AQ635" s="162">
        <v>0</v>
      </c>
      <c r="AR635" s="710" t="str">
        <v>1613.par</v>
      </c>
      <c r="AV635" s="82" t="str">
        <v>0,102,204</v>
      </c>
      <c r="AW635" s="947">
        <v>84.97011741683842</v>
      </c>
      <c r="AX635" s="947">
        <v>84.97011741683842</v>
      </c>
      <c r="AY635" s="947">
        <v>0</v>
      </c>
    </row>
    <row r="636" spans="31:51" x14ac:dyDescent="0.25">
      <c r="AE636" s="75">
        <v>5.1429999999999998</v>
      </c>
      <c r="AF636" s="82">
        <v>5</v>
      </c>
      <c r="AG636" s="82">
        <v>1</v>
      </c>
      <c r="AH636" s="82">
        <v>2</v>
      </c>
      <c r="AI636" s="82">
        <v>3.0000000000291038</v>
      </c>
      <c r="AJ636" s="166">
        <v>5.14323</v>
      </c>
      <c r="AK636" s="82">
        <v>5.1431300000000002</v>
      </c>
      <c r="AL636" s="162">
        <v>0</v>
      </c>
      <c r="AM636" s="162">
        <v>0</v>
      </c>
      <c r="AN636" s="162">
        <v>0</v>
      </c>
      <c r="AO636" s="162">
        <v>0</v>
      </c>
      <c r="AP636" s="162">
        <v>0</v>
      </c>
      <c r="AQ636" s="162">
        <v>0</v>
      </c>
      <c r="AR636" s="710" t="str">
        <v>1613.par</v>
      </c>
      <c r="AV636" s="82" t="str">
        <v>0,102,204</v>
      </c>
      <c r="AW636" s="947">
        <v>84.969949372155952</v>
      </c>
      <c r="AX636" s="947">
        <v>84.969949372155952</v>
      </c>
      <c r="AY636" s="947">
        <v>0</v>
      </c>
    </row>
    <row r="637" spans="31:51" x14ac:dyDescent="0.25">
      <c r="AE637" s="75">
        <v>5.1369999999999996</v>
      </c>
      <c r="AF637" s="82">
        <v>5</v>
      </c>
      <c r="AG637" s="82">
        <v>1</v>
      </c>
      <c r="AH637" s="82">
        <v>2</v>
      </c>
      <c r="AI637" s="82">
        <v>2.9999999999563443</v>
      </c>
      <c r="AJ637" s="166">
        <v>5.1372299999999997</v>
      </c>
      <c r="AK637" s="82">
        <v>5.13713</v>
      </c>
      <c r="AL637" s="162">
        <v>0</v>
      </c>
      <c r="AM637" s="162">
        <v>0</v>
      </c>
      <c r="AN637" s="162">
        <v>0</v>
      </c>
      <c r="AO637" s="162">
        <v>0</v>
      </c>
      <c r="AP637" s="162">
        <v>0</v>
      </c>
      <c r="AQ637" s="162">
        <v>0</v>
      </c>
      <c r="AR637" s="710" t="str">
        <v>1613.par</v>
      </c>
      <c r="AV637" s="82" t="str">
        <v>0,102,204</v>
      </c>
      <c r="AW637" s="947">
        <v>75.712346529077777</v>
      </c>
      <c r="AX637" s="947">
        <v>75.712346529077777</v>
      </c>
      <c r="AY637" s="947">
        <v>0</v>
      </c>
    </row>
    <row r="638" spans="31:51" x14ac:dyDescent="0.25">
      <c r="AE638" s="75">
        <v>5.1310000000000002</v>
      </c>
      <c r="AF638" s="82">
        <v>5</v>
      </c>
      <c r="AG638" s="82">
        <v>1</v>
      </c>
      <c r="AH638" s="82">
        <v>2</v>
      </c>
      <c r="AI638" s="82">
        <v>3.0000000000291038</v>
      </c>
      <c r="AJ638" s="166">
        <v>5.1312300000000004</v>
      </c>
      <c r="AK638" s="82">
        <v>5.1311300000000006</v>
      </c>
      <c r="AL638" s="162">
        <v>0</v>
      </c>
      <c r="AM638" s="162">
        <v>0</v>
      </c>
      <c r="AN638" s="162">
        <v>0</v>
      </c>
      <c r="AO638" s="162">
        <v>0</v>
      </c>
      <c r="AP638" s="162">
        <v>0</v>
      </c>
      <c r="AQ638" s="162">
        <v>0</v>
      </c>
      <c r="AR638" s="710" t="str">
        <v>1613.par</v>
      </c>
      <c r="AV638" s="82" t="str">
        <v>0,102,204</v>
      </c>
      <c r="AW638" s="947">
        <v>57.149982620263913</v>
      </c>
      <c r="AX638" s="947">
        <v>57.149982620263913</v>
      </c>
      <c r="AY638" s="947">
        <v>0</v>
      </c>
    </row>
    <row r="639" spans="31:51" x14ac:dyDescent="0.25">
      <c r="AE639" s="75">
        <v>5.125</v>
      </c>
      <c r="AF639" s="82">
        <v>5</v>
      </c>
      <c r="AG639" s="82">
        <v>1</v>
      </c>
      <c r="AH639" s="82">
        <v>2</v>
      </c>
      <c r="AI639" s="82">
        <v>3.0000000000291038</v>
      </c>
      <c r="AJ639" s="166">
        <v>5.1252300000000002</v>
      </c>
      <c r="AK639" s="82">
        <v>5.1251300000000004</v>
      </c>
      <c r="AL639" s="162">
        <v>0</v>
      </c>
      <c r="AM639" s="162">
        <v>0</v>
      </c>
      <c r="AN639" s="162">
        <v>0</v>
      </c>
      <c r="AO639" s="162">
        <v>0</v>
      </c>
      <c r="AP639" s="162">
        <v>0</v>
      </c>
      <c r="AQ639" s="162">
        <v>0</v>
      </c>
      <c r="AR639" s="710" t="str">
        <v>1613.par</v>
      </c>
      <c r="AV639" s="82" t="str">
        <v>0,102,204</v>
      </c>
      <c r="AW639" s="947">
        <v>38.485986851085471</v>
      </c>
      <c r="AX639" s="947">
        <v>38.485986851085471</v>
      </c>
      <c r="AY639" s="947">
        <v>0</v>
      </c>
    </row>
    <row r="640" spans="31:51" x14ac:dyDescent="0.25">
      <c r="AE640" s="75">
        <v>5.1189999999999998</v>
      </c>
      <c r="AF640" s="82">
        <v>5</v>
      </c>
      <c r="AG640" s="82">
        <v>1</v>
      </c>
      <c r="AH640" s="82">
        <v>2</v>
      </c>
      <c r="AI640" s="82">
        <v>3.0000000000291038</v>
      </c>
      <c r="AJ640" s="166">
        <v>5.1192299999999999</v>
      </c>
      <c r="AK640" s="82">
        <v>5.1191300000000002</v>
      </c>
      <c r="AL640" s="162">
        <v>0</v>
      </c>
      <c r="AM640" s="162">
        <v>0</v>
      </c>
      <c r="AN640" s="162">
        <v>0</v>
      </c>
      <c r="AO640" s="162">
        <v>0</v>
      </c>
      <c r="AP640" s="162">
        <v>0</v>
      </c>
      <c r="AQ640" s="162">
        <v>0</v>
      </c>
      <c r="AR640" s="710" t="str">
        <v>1613 Ripper.par</v>
      </c>
      <c r="AV640" s="82" t="str">
        <v>0,102,204</v>
      </c>
      <c r="AW640" s="947">
        <v>19.63131247542724</v>
      </c>
      <c r="AX640" s="947">
        <v>19.63131247542724</v>
      </c>
      <c r="AY640" s="947">
        <v>0</v>
      </c>
    </row>
    <row r="641" spans="31:51" x14ac:dyDescent="0.25">
      <c r="AE641" s="75">
        <v>5.1130000000000004</v>
      </c>
      <c r="AF641" s="82">
        <v>5</v>
      </c>
      <c r="AG641" s="82">
        <v>1</v>
      </c>
      <c r="AH641" s="82">
        <v>2</v>
      </c>
      <c r="AI641" s="82">
        <v>3.0000000000291038</v>
      </c>
      <c r="AJ641" s="166">
        <v>5.1132300000000006</v>
      </c>
      <c r="AK641" s="82">
        <v>5.1131300000000008</v>
      </c>
      <c r="AL641" s="162">
        <v>0</v>
      </c>
      <c r="AM641" s="162">
        <v>0</v>
      </c>
      <c r="AN641" s="162">
        <v>0</v>
      </c>
      <c r="AO641" s="162">
        <v>0</v>
      </c>
      <c r="AP641" s="162">
        <v>0</v>
      </c>
      <c r="AQ641" s="162">
        <v>0</v>
      </c>
      <c r="AR641" s="710" t="str">
        <v>1613 Ripper.par</v>
      </c>
      <c r="AV641" s="82" t="str">
        <v>0,102,204</v>
      </c>
      <c r="AW641" s="947">
        <v>0.8306004126858153</v>
      </c>
      <c r="AX641" s="947">
        <v>0.8306004126858153</v>
      </c>
      <c r="AY641" s="947">
        <v>0</v>
      </c>
    </row>
    <row r="642" spans="31:51" x14ac:dyDescent="0.25">
      <c r="AE642" s="75">
        <v>5.1079999999999997</v>
      </c>
      <c r="AF642" s="82">
        <v>5</v>
      </c>
      <c r="AG642" s="82">
        <v>1</v>
      </c>
      <c r="AH642" s="82">
        <v>2</v>
      </c>
      <c r="AI642" s="82">
        <v>2.9999999999563443</v>
      </c>
      <c r="AJ642" s="166">
        <v>5.1082299999999998</v>
      </c>
      <c r="AK642" s="82">
        <v>5.1081300000000001</v>
      </c>
      <c r="AL642" s="162">
        <v>0</v>
      </c>
      <c r="AM642" s="162">
        <v>0</v>
      </c>
      <c r="AN642" s="162">
        <v>0</v>
      </c>
      <c r="AO642" s="162">
        <v>0</v>
      </c>
      <c r="AP642" s="162">
        <v>0</v>
      </c>
      <c r="AQ642" s="162">
        <v>0</v>
      </c>
      <c r="AR642" s="710" t="str">
        <v>1613 Ripper.par</v>
      </c>
      <c r="AV642" s="82" t="str">
        <v>0,102,204</v>
      </c>
      <c r="AW642" s="947">
        <v>-11.945289726695552</v>
      </c>
      <c r="AX642" s="947">
        <v>-11.945289726695552</v>
      </c>
      <c r="AY642" s="947">
        <v>0</v>
      </c>
    </row>
    <row r="643" spans="31:51" x14ac:dyDescent="0.25">
      <c r="AE643" s="75">
        <v>5.1050000000000004</v>
      </c>
      <c r="AF643" s="82">
        <v>5</v>
      </c>
      <c r="AG643" s="82">
        <v>1</v>
      </c>
      <c r="AH643" s="82">
        <v>2</v>
      </c>
      <c r="AI643" s="82">
        <v>3.0000000000291038</v>
      </c>
      <c r="AJ643" s="166">
        <v>5.1052300000000006</v>
      </c>
      <c r="AK643" s="82">
        <v>5.1051300000000008</v>
      </c>
      <c r="AL643" s="162">
        <v>0</v>
      </c>
      <c r="AM643" s="162">
        <v>0</v>
      </c>
      <c r="AN643" s="162">
        <v>0</v>
      </c>
      <c r="AO643" s="162">
        <v>0</v>
      </c>
      <c r="AP643" s="162">
        <v>0</v>
      </c>
      <c r="AQ643" s="162">
        <v>0</v>
      </c>
      <c r="AR643" s="710" t="str">
        <v>1613 Ripper.par</v>
      </c>
      <c r="AV643" s="82" t="str">
        <v>0,102,204</v>
      </c>
      <c r="AW643" s="947">
        <v>-12.949138827495569</v>
      </c>
      <c r="AX643" s="947">
        <v>-12.949138827495569</v>
      </c>
      <c r="AY643" s="947">
        <v>0</v>
      </c>
    </row>
    <row r="644" spans="31:51" x14ac:dyDescent="0.25">
      <c r="AE644" s="75">
        <v>5.1020000000000003</v>
      </c>
      <c r="AF644" s="82">
        <v>5</v>
      </c>
      <c r="AG644" s="82">
        <v>1</v>
      </c>
      <c r="AH644" s="82">
        <v>2</v>
      </c>
      <c r="AI644" s="82">
        <v>3.0000000000291038</v>
      </c>
      <c r="AJ644" s="166">
        <v>5.1022300000000005</v>
      </c>
      <c r="AK644" s="82">
        <v>5.1021300000000007</v>
      </c>
      <c r="AL644" s="162">
        <v>0</v>
      </c>
      <c r="AM644" s="162">
        <v>0</v>
      </c>
      <c r="AN644" s="162">
        <v>0</v>
      </c>
      <c r="AO644" s="162">
        <v>0</v>
      </c>
      <c r="AP644" s="162">
        <v>0</v>
      </c>
      <c r="AQ644" s="162">
        <v>0</v>
      </c>
      <c r="AR644" s="710" t="str">
        <v>1613.par</v>
      </c>
      <c r="AV644" s="82" t="str">
        <v>0,102,204</v>
      </c>
      <c r="AW644" s="947">
        <v>-15.496960293563548</v>
      </c>
      <c r="AX644" s="947">
        <v>-15.496960293563548</v>
      </c>
      <c r="AY644" s="947">
        <v>0</v>
      </c>
    </row>
    <row r="645" spans="31:51" x14ac:dyDescent="0.25">
      <c r="AE645" s="75">
        <v>4.25</v>
      </c>
      <c r="AF645" s="82">
        <v>4</v>
      </c>
      <c r="AG645" s="82">
        <v>2</v>
      </c>
      <c r="AH645" s="82">
        <v>2</v>
      </c>
      <c r="AI645" s="82">
        <v>3.0000000000291038</v>
      </c>
      <c r="AJ645" s="166">
        <v>4.2502300000000002</v>
      </c>
      <c r="AK645" s="82">
        <v>4.2501300000000004</v>
      </c>
      <c r="AL645" s="162">
        <v>0</v>
      </c>
      <c r="AM645" s="162">
        <v>0</v>
      </c>
      <c r="AN645" s="162">
        <v>0</v>
      </c>
      <c r="AO645" s="162">
        <v>0</v>
      </c>
      <c r="AP645" s="162">
        <v>0</v>
      </c>
      <c r="AQ645" s="162">
        <v>0</v>
      </c>
      <c r="AR645" s="710" t="str">
        <v>1313.par</v>
      </c>
      <c r="AV645" s="82" t="str">
        <v>91,255,255</v>
      </c>
      <c r="AW645" s="947">
        <v>100.03561890671628</v>
      </c>
      <c r="AX645" s="947">
        <v>100.03561890671628</v>
      </c>
      <c r="AY645" s="947">
        <v>0</v>
      </c>
    </row>
    <row r="646" spans="31:51" x14ac:dyDescent="0.25">
      <c r="AE646" s="75">
        <v>4.2439999999999998</v>
      </c>
      <c r="AF646" s="82">
        <v>4</v>
      </c>
      <c r="AG646" s="82">
        <v>2</v>
      </c>
      <c r="AH646" s="82">
        <v>2</v>
      </c>
      <c r="AI646" s="82">
        <v>3.0000000000291038</v>
      </c>
      <c r="AJ646" s="166">
        <v>4.2442299999999999</v>
      </c>
      <c r="AK646" s="82">
        <v>4.2441300000000002</v>
      </c>
      <c r="AL646" s="162">
        <v>0</v>
      </c>
      <c r="AM646" s="162">
        <v>0</v>
      </c>
      <c r="AN646" s="162">
        <v>0</v>
      </c>
      <c r="AO646" s="162">
        <v>0</v>
      </c>
      <c r="AP646" s="162">
        <v>0</v>
      </c>
      <c r="AQ646" s="162">
        <v>0</v>
      </c>
      <c r="AR646" s="710" t="str">
        <v>32193r1.par</v>
      </c>
      <c r="AV646" s="82" t="str">
        <v>91,255,255</v>
      </c>
      <c r="AW646" s="947">
        <v>89.999987005609597</v>
      </c>
      <c r="AX646" s="947">
        <v>89.999987005609597</v>
      </c>
      <c r="AY646" s="947">
        <v>0</v>
      </c>
    </row>
    <row r="647" spans="31:51" x14ac:dyDescent="0.25">
      <c r="AE647" s="75">
        <v>4.2380000000000004</v>
      </c>
      <c r="AF647" s="82">
        <v>4</v>
      </c>
      <c r="AG647" s="82">
        <v>2</v>
      </c>
      <c r="AH647" s="82">
        <v>2</v>
      </c>
      <c r="AI647" s="82">
        <v>3.0000000000291038</v>
      </c>
      <c r="AJ647" s="166">
        <v>4.2382300000000006</v>
      </c>
      <c r="AK647" s="82">
        <v>4.2381300000000008</v>
      </c>
      <c r="AL647" s="162">
        <v>0</v>
      </c>
      <c r="AM647" s="162">
        <v>0</v>
      </c>
      <c r="AN647" s="162">
        <v>0</v>
      </c>
      <c r="AO647" s="162">
        <v>0</v>
      </c>
      <c r="AP647" s="162">
        <v>0</v>
      </c>
      <c r="AQ647" s="162">
        <v>0</v>
      </c>
      <c r="AR647" s="710" t="str">
        <v>32193r1.par</v>
      </c>
      <c r="AV647" s="82" t="str">
        <v>91,255,255</v>
      </c>
      <c r="AW647" s="947">
        <v>82.999988016284419</v>
      </c>
      <c r="AX647" s="947">
        <v>82.999988016284419</v>
      </c>
      <c r="AY647" s="947">
        <v>0</v>
      </c>
    </row>
    <row r="648" spans="31:51" x14ac:dyDescent="0.25">
      <c r="AE648" s="75">
        <v>4.2320000000000002</v>
      </c>
      <c r="AF648" s="82">
        <v>4</v>
      </c>
      <c r="AG648" s="82">
        <v>2</v>
      </c>
      <c r="AH648" s="82">
        <v>2</v>
      </c>
      <c r="AI648" s="82">
        <v>3.0000000000291038</v>
      </c>
      <c r="AJ648" s="166">
        <v>4.2322300000000004</v>
      </c>
      <c r="AK648" s="82">
        <v>4.2321300000000006</v>
      </c>
      <c r="AL648" s="162">
        <v>0</v>
      </c>
      <c r="AM648" s="162">
        <v>0</v>
      </c>
      <c r="AN648" s="162">
        <v>0</v>
      </c>
      <c r="AO648" s="162">
        <v>0</v>
      </c>
      <c r="AP648" s="162">
        <v>0</v>
      </c>
      <c r="AQ648" s="162">
        <v>0</v>
      </c>
      <c r="AR648" s="710" t="str">
        <v>32193r1.par</v>
      </c>
      <c r="AV648" s="82" t="str">
        <v>91,255,255</v>
      </c>
      <c r="AW648" s="947">
        <v>61.99999104830885</v>
      </c>
      <c r="AX648" s="947">
        <v>61.99999104830885</v>
      </c>
      <c r="AY648" s="947">
        <v>0</v>
      </c>
    </row>
    <row r="649" spans="31:51" x14ac:dyDescent="0.25">
      <c r="AE649" s="75">
        <v>4.226</v>
      </c>
      <c r="AF649" s="82">
        <v>4</v>
      </c>
      <c r="AG649" s="82">
        <v>2</v>
      </c>
      <c r="AH649" s="82">
        <v>2</v>
      </c>
      <c r="AI649" s="82">
        <v>3.0000000000291038</v>
      </c>
      <c r="AJ649" s="166">
        <v>4.2262300000000002</v>
      </c>
      <c r="AK649" s="82">
        <v>4.2261300000000004</v>
      </c>
      <c r="AL649" s="162">
        <v>0</v>
      </c>
      <c r="AM649" s="162">
        <v>0</v>
      </c>
      <c r="AN649" s="162">
        <v>0</v>
      </c>
      <c r="AO649" s="162">
        <v>0</v>
      </c>
      <c r="AP649" s="162">
        <v>0</v>
      </c>
      <c r="AQ649" s="162">
        <v>0</v>
      </c>
      <c r="AR649" s="710" t="str">
        <v>32193r1.par</v>
      </c>
      <c r="AV649" s="82" t="str">
        <v>91,255,255</v>
      </c>
      <c r="AW649" s="947">
        <v>40.999994080333266</v>
      </c>
      <c r="AX649" s="947">
        <v>40.999994080333266</v>
      </c>
      <c r="AY649" s="947">
        <v>0</v>
      </c>
    </row>
    <row r="650" spans="31:51" x14ac:dyDescent="0.25">
      <c r="AE650" s="75">
        <v>4.22</v>
      </c>
      <c r="AF650" s="82">
        <v>4</v>
      </c>
      <c r="AG650" s="82">
        <v>2</v>
      </c>
      <c r="AH650" s="82">
        <v>2</v>
      </c>
      <c r="AI650" s="82">
        <v>2.9999999999563443</v>
      </c>
      <c r="AJ650" s="166">
        <v>4.2202299999999999</v>
      </c>
      <c r="AK650" s="82">
        <v>4.2201300000000002</v>
      </c>
      <c r="AL650" s="162">
        <v>0</v>
      </c>
      <c r="AM650" s="162">
        <v>0</v>
      </c>
      <c r="AN650" s="162">
        <v>0</v>
      </c>
      <c r="AO650" s="162">
        <v>0</v>
      </c>
      <c r="AP650" s="162">
        <v>0</v>
      </c>
      <c r="AQ650" s="162">
        <v>0</v>
      </c>
      <c r="AR650" s="710" t="str">
        <v>32193r1.par</v>
      </c>
      <c r="AV650" s="82" t="str">
        <v>91,255,255</v>
      </c>
      <c r="AW650" s="947">
        <v>19.99999711235769</v>
      </c>
      <c r="AX650" s="947">
        <v>19.99999711235769</v>
      </c>
      <c r="AY650" s="947">
        <v>0</v>
      </c>
    </row>
    <row r="651" spans="31:51" x14ac:dyDescent="0.25">
      <c r="AE651" s="75">
        <v>4.1440000000000001</v>
      </c>
      <c r="AF651" s="82">
        <v>4</v>
      </c>
      <c r="AG651" s="82">
        <v>1</v>
      </c>
      <c r="AH651" s="82">
        <v>2</v>
      </c>
      <c r="AI651" s="82">
        <v>3.0000000000291038</v>
      </c>
      <c r="AJ651" s="166">
        <v>4.1442300000000003</v>
      </c>
      <c r="AK651" s="82">
        <v>4.1441300000000005</v>
      </c>
      <c r="AL651" s="162">
        <v>0</v>
      </c>
      <c r="AM651" s="162">
        <v>0</v>
      </c>
      <c r="AN651" s="162">
        <v>0</v>
      </c>
      <c r="AO651" s="162">
        <v>0</v>
      </c>
      <c r="AP651" s="162">
        <v>0</v>
      </c>
      <c r="AQ651" s="162">
        <v>0</v>
      </c>
      <c r="AR651" s="710" t="str">
        <v>1613.par</v>
      </c>
      <c r="AV651" s="82" t="str">
        <v>0,204,204</v>
      </c>
      <c r="AW651" s="947">
        <v>84.970117416838406</v>
      </c>
      <c r="AX651" s="947">
        <v>84.970117416838406</v>
      </c>
      <c r="AY651" s="947">
        <v>0</v>
      </c>
    </row>
    <row r="652" spans="31:51" x14ac:dyDescent="0.25">
      <c r="AE652" s="75">
        <v>4.1379999999999999</v>
      </c>
      <c r="AF652" s="82">
        <v>4</v>
      </c>
      <c r="AG652" s="82">
        <v>1</v>
      </c>
      <c r="AH652" s="82">
        <v>2</v>
      </c>
      <c r="AI652" s="82">
        <v>3.0000000000291038</v>
      </c>
      <c r="AJ652" s="166">
        <v>4.1382300000000001</v>
      </c>
      <c r="AK652" s="82">
        <v>4.1381300000000003</v>
      </c>
      <c r="AL652" s="162">
        <v>0</v>
      </c>
      <c r="AM652" s="162">
        <v>0</v>
      </c>
      <c r="AN652" s="162">
        <v>0</v>
      </c>
      <c r="AO652" s="162">
        <v>0</v>
      </c>
      <c r="AP652" s="162">
        <v>0</v>
      </c>
      <c r="AQ652" s="162">
        <v>0</v>
      </c>
      <c r="AR652" s="710" t="str">
        <v>1613.par</v>
      </c>
      <c r="AV652" s="82" t="str">
        <v>0,204,204</v>
      </c>
      <c r="AW652" s="947">
        <v>78.799617313561896</v>
      </c>
      <c r="AX652" s="947">
        <v>78.799617313561896</v>
      </c>
      <c r="AY652" s="947">
        <v>0</v>
      </c>
    </row>
    <row r="653" spans="31:51" x14ac:dyDescent="0.25">
      <c r="AE653" s="75">
        <v>4.1319999999999997</v>
      </c>
      <c r="AF653" s="82">
        <v>4</v>
      </c>
      <c r="AG653" s="82">
        <v>1</v>
      </c>
      <c r="AH653" s="82">
        <v>2</v>
      </c>
      <c r="AI653" s="82">
        <v>2.9999999999563443</v>
      </c>
      <c r="AJ653" s="166">
        <v>4.1322299999999998</v>
      </c>
      <c r="AK653" s="82">
        <v>4.1321300000000001</v>
      </c>
      <c r="AL653" s="162">
        <v>0</v>
      </c>
      <c r="AM653" s="162">
        <v>0</v>
      </c>
      <c r="AN653" s="162">
        <v>0</v>
      </c>
      <c r="AO653" s="162">
        <v>0</v>
      </c>
      <c r="AP653" s="162">
        <v>0</v>
      </c>
      <c r="AQ653" s="162">
        <v>0</v>
      </c>
      <c r="AR653" s="710" t="str">
        <v>1613.par</v>
      </c>
      <c r="AV653" s="82" t="str">
        <v>0,204,204</v>
      </c>
      <c r="AW653" s="947">
        <v>60.249226457616452</v>
      </c>
      <c r="AX653" s="947">
        <v>60.249226457616452</v>
      </c>
      <c r="AY653" s="947">
        <v>0</v>
      </c>
    </row>
    <row r="654" spans="31:51" x14ac:dyDescent="0.25">
      <c r="AE654" s="75">
        <v>4.1260000000000003</v>
      </c>
      <c r="AF654" s="82">
        <v>4</v>
      </c>
      <c r="AG654" s="82">
        <v>1</v>
      </c>
      <c r="AH654" s="82">
        <v>2</v>
      </c>
      <c r="AI654" s="82">
        <v>3.0000000000291038</v>
      </c>
      <c r="AJ654" s="166">
        <v>4.1262300000000005</v>
      </c>
      <c r="AK654" s="82">
        <v>4.1261300000000007</v>
      </c>
      <c r="AL654" s="162">
        <v>0</v>
      </c>
      <c r="AM654" s="162">
        <v>0</v>
      </c>
      <c r="AN654" s="162">
        <v>0</v>
      </c>
      <c r="AO654" s="162">
        <v>0</v>
      </c>
      <c r="AP654" s="162">
        <v>0</v>
      </c>
      <c r="AQ654" s="162">
        <v>0</v>
      </c>
      <c r="AR654" s="710" t="str">
        <v>1613.par</v>
      </c>
      <c r="AV654" s="82" t="str">
        <v>0,204,204</v>
      </c>
      <c r="AW654" s="947">
        <v>41.606624611766414</v>
      </c>
      <c r="AX654" s="947">
        <v>41.606624611766414</v>
      </c>
      <c r="AY654" s="947">
        <v>0</v>
      </c>
    </row>
    <row r="655" spans="31:51" x14ac:dyDescent="0.25">
      <c r="AE655" s="75">
        <v>4.12</v>
      </c>
      <c r="AF655" s="82">
        <v>4</v>
      </c>
      <c r="AG655" s="82">
        <v>1</v>
      </c>
      <c r="AH655" s="82">
        <v>2</v>
      </c>
      <c r="AI655" s="82">
        <v>3.0000000000291038</v>
      </c>
      <c r="AJ655" s="166">
        <v>4.1202300000000003</v>
      </c>
      <c r="AK655" s="82">
        <v>4.1201300000000005</v>
      </c>
      <c r="AL655" s="162">
        <v>0</v>
      </c>
      <c r="AM655" s="162">
        <v>0</v>
      </c>
      <c r="AN655" s="162">
        <v>0</v>
      </c>
      <c r="AO655" s="162">
        <v>0</v>
      </c>
      <c r="AP655" s="162">
        <v>0</v>
      </c>
      <c r="AQ655" s="162">
        <v>0</v>
      </c>
      <c r="AR655" s="710" t="str">
        <v>1613 Ripper.par</v>
      </c>
      <c r="AV655" s="82" t="str">
        <v>0,204,204</v>
      </c>
      <c r="AW655" s="947">
        <v>22.793338283804125</v>
      </c>
      <c r="AX655" s="947">
        <v>22.793338283804125</v>
      </c>
      <c r="AY655" s="947">
        <v>0</v>
      </c>
    </row>
    <row r="656" spans="31:51" x14ac:dyDescent="0.25">
      <c r="AE656" s="75">
        <v>4.1139999999999999</v>
      </c>
      <c r="AF656" s="82">
        <v>4</v>
      </c>
      <c r="AG656" s="82">
        <v>1</v>
      </c>
      <c r="AH656" s="82">
        <v>2</v>
      </c>
      <c r="AI656" s="82">
        <v>3.0000000000291038</v>
      </c>
      <c r="AJ656" s="166">
        <v>4.1142300000000001</v>
      </c>
      <c r="AK656" s="82">
        <v>4.1141300000000003</v>
      </c>
      <c r="AL656" s="162">
        <v>0</v>
      </c>
      <c r="AM656" s="162">
        <v>0</v>
      </c>
      <c r="AN656" s="162">
        <v>0</v>
      </c>
      <c r="AO656" s="162">
        <v>0</v>
      </c>
      <c r="AP656" s="162">
        <v>0</v>
      </c>
      <c r="AQ656" s="162">
        <v>0</v>
      </c>
      <c r="AR656" s="710" t="str">
        <v>1613 Ripper.par</v>
      </c>
      <c r="AV656" s="82" t="str">
        <v>0,204,204</v>
      </c>
      <c r="AW656" s="947">
        <v>3.9705087662236287</v>
      </c>
      <c r="AX656" s="947">
        <v>3.9705087662236287</v>
      </c>
      <c r="AY656" s="947">
        <v>0</v>
      </c>
    </row>
    <row r="657" spans="31:51" x14ac:dyDescent="0.25">
      <c r="AE657" s="75">
        <v>3.2509999999999999</v>
      </c>
      <c r="AF657" s="82">
        <v>3</v>
      </c>
      <c r="AG657" s="82">
        <v>2</v>
      </c>
      <c r="AH657" s="82">
        <v>2</v>
      </c>
      <c r="AI657" s="82">
        <v>2.999999999992724</v>
      </c>
      <c r="AJ657" s="166">
        <v>3.2512300000000001</v>
      </c>
      <c r="AK657" s="82">
        <v>3.2511299999999999</v>
      </c>
      <c r="AL657" s="162">
        <v>0</v>
      </c>
      <c r="AM657" s="162">
        <v>0</v>
      </c>
      <c r="AN657" s="162">
        <v>0</v>
      </c>
      <c r="AO657" s="162">
        <v>0</v>
      </c>
      <c r="AP657" s="162">
        <v>0</v>
      </c>
      <c r="AQ657" s="162">
        <v>0</v>
      </c>
      <c r="AR657" s="710" t="str">
        <v>1313.par</v>
      </c>
      <c r="AV657" s="82" t="str">
        <v>97,255,97</v>
      </c>
      <c r="AW657" s="947">
        <v>100.03561890671625</v>
      </c>
      <c r="AX657" s="947">
        <v>100.03561890671625</v>
      </c>
      <c r="AY657" s="947">
        <v>0</v>
      </c>
    </row>
    <row r="658" spans="31:51" x14ac:dyDescent="0.25">
      <c r="AE658" s="75">
        <v>3.2450000000000001</v>
      </c>
      <c r="AF658" s="82">
        <v>3</v>
      </c>
      <c r="AG658" s="82">
        <v>2</v>
      </c>
      <c r="AH658" s="82">
        <v>2</v>
      </c>
      <c r="AI658" s="82">
        <v>3.0000000000291038</v>
      </c>
      <c r="AJ658" s="166">
        <v>3.2452300000000003</v>
      </c>
      <c r="AK658" s="82">
        <v>3.2451300000000001</v>
      </c>
      <c r="AL658" s="162">
        <v>0</v>
      </c>
      <c r="AM658" s="162">
        <v>0</v>
      </c>
      <c r="AN658" s="162">
        <v>0</v>
      </c>
      <c r="AO658" s="162">
        <v>0</v>
      </c>
      <c r="AP658" s="162">
        <v>0</v>
      </c>
      <c r="AQ658" s="162">
        <v>0</v>
      </c>
      <c r="AR658" s="710" t="str">
        <v>32193r1.par</v>
      </c>
      <c r="AV658" s="82" t="str">
        <v>97,255,97</v>
      </c>
      <c r="AW658" s="947">
        <v>89.999987005609611</v>
      </c>
      <c r="AX658" s="947">
        <v>89.999987005609611</v>
      </c>
      <c r="AY658" s="947">
        <v>0</v>
      </c>
    </row>
    <row r="659" spans="31:51" x14ac:dyDescent="0.25">
      <c r="AE659" s="75">
        <v>3.2389999999999999</v>
      </c>
      <c r="AF659" s="82">
        <v>3</v>
      </c>
      <c r="AG659" s="82">
        <v>2</v>
      </c>
      <c r="AH659" s="82">
        <v>2</v>
      </c>
      <c r="AI659" s="82">
        <v>2.999999999992724</v>
      </c>
      <c r="AJ659" s="166">
        <v>3.2392300000000001</v>
      </c>
      <c r="AK659" s="82">
        <v>3.2391299999999998</v>
      </c>
      <c r="AL659" s="162">
        <v>0</v>
      </c>
      <c r="AM659" s="162">
        <v>0</v>
      </c>
      <c r="AN659" s="162">
        <v>0</v>
      </c>
      <c r="AO659" s="162">
        <v>0</v>
      </c>
      <c r="AP659" s="162">
        <v>0</v>
      </c>
      <c r="AQ659" s="162">
        <v>0</v>
      </c>
      <c r="AR659" s="710" t="str">
        <v>32193r1.par</v>
      </c>
      <c r="AV659" s="82" t="str">
        <v>97,255,97</v>
      </c>
      <c r="AW659" s="947">
        <v>82.999988016284419</v>
      </c>
      <c r="AX659" s="947">
        <v>82.999988016284419</v>
      </c>
      <c r="AY659" s="947">
        <v>0</v>
      </c>
    </row>
    <row r="660" spans="31:51" x14ac:dyDescent="0.25">
      <c r="AE660" s="75">
        <v>3.2330000000000001</v>
      </c>
      <c r="AF660" s="82">
        <v>3</v>
      </c>
      <c r="AG660" s="82">
        <v>2</v>
      </c>
      <c r="AH660" s="82">
        <v>2</v>
      </c>
      <c r="AI660" s="82">
        <v>3.0000000000291038</v>
      </c>
      <c r="AJ660" s="166">
        <v>3.2332300000000003</v>
      </c>
      <c r="AK660" s="82">
        <v>3.2331300000000001</v>
      </c>
      <c r="AL660" s="162">
        <v>0</v>
      </c>
      <c r="AM660" s="162">
        <v>0</v>
      </c>
      <c r="AN660" s="162">
        <v>0</v>
      </c>
      <c r="AO660" s="162">
        <v>0</v>
      </c>
      <c r="AP660" s="162">
        <v>0</v>
      </c>
      <c r="AQ660" s="162">
        <v>0</v>
      </c>
      <c r="AR660" s="710" t="str">
        <v>1313.par</v>
      </c>
      <c r="AV660" s="82" t="str">
        <v>97,255,97</v>
      </c>
      <c r="AW660" s="947">
        <v>63.392943063786667</v>
      </c>
      <c r="AX660" s="947">
        <v>63.392943063786667</v>
      </c>
      <c r="AY660" s="947">
        <v>0</v>
      </c>
    </row>
    <row r="661" spans="31:51" x14ac:dyDescent="0.25">
      <c r="AE661" s="75">
        <v>3.2269999999999999</v>
      </c>
      <c r="AF661" s="82">
        <v>3</v>
      </c>
      <c r="AG661" s="82">
        <v>2</v>
      </c>
      <c r="AH661" s="82">
        <v>2</v>
      </c>
      <c r="AI661" s="82">
        <v>2.999999999992724</v>
      </c>
      <c r="AJ661" s="166">
        <v>3.22723</v>
      </c>
      <c r="AK661" s="82">
        <v>3.2271299999999998</v>
      </c>
      <c r="AL661" s="162">
        <v>0</v>
      </c>
      <c r="AM661" s="162">
        <v>0</v>
      </c>
      <c r="AN661" s="162">
        <v>0</v>
      </c>
      <c r="AO661" s="162">
        <v>0</v>
      </c>
      <c r="AP661" s="162">
        <v>0</v>
      </c>
      <c r="AQ661" s="162">
        <v>0</v>
      </c>
      <c r="AR661" s="710" t="str">
        <v>1313.par</v>
      </c>
      <c r="AV661" s="82" t="str">
        <v>97,255,97</v>
      </c>
      <c r="AW661" s="947">
        <v>44.830187859593472</v>
      </c>
      <c r="AX661" s="947">
        <v>44.830187859593472</v>
      </c>
      <c r="AY661" s="947">
        <v>0</v>
      </c>
    </row>
    <row r="662" spans="31:51" x14ac:dyDescent="0.25">
      <c r="AE662" s="75">
        <v>3.2210000000000001</v>
      </c>
      <c r="AF662" s="82">
        <v>3</v>
      </c>
      <c r="AG662" s="82">
        <v>2</v>
      </c>
      <c r="AH662" s="82">
        <v>2</v>
      </c>
      <c r="AI662" s="82">
        <v>3.0000000000291038</v>
      </c>
      <c r="AJ662" s="166">
        <v>3.2212300000000003</v>
      </c>
      <c r="AK662" s="82">
        <v>3.22113</v>
      </c>
      <c r="AL662" s="162">
        <v>0</v>
      </c>
      <c r="AM662" s="162">
        <v>0</v>
      </c>
      <c r="AN662" s="162">
        <v>0</v>
      </c>
      <c r="AO662" s="162">
        <v>0</v>
      </c>
      <c r="AP662" s="162">
        <v>0</v>
      </c>
      <c r="AQ662" s="162">
        <v>0</v>
      </c>
      <c r="AR662" s="710" t="str">
        <v>1313.par</v>
      </c>
      <c r="AV662" s="82" t="str">
        <v>97,255,97</v>
      </c>
      <c r="AW662" s="947">
        <v>26.167511622001179</v>
      </c>
      <c r="AX662" s="947">
        <v>26.167511622001179</v>
      </c>
      <c r="AY662" s="947">
        <v>0</v>
      </c>
    </row>
    <row r="663" spans="31:51" x14ac:dyDescent="0.25">
      <c r="AE663" s="75">
        <v>3.2149999999999999</v>
      </c>
      <c r="AF663" s="82">
        <v>3</v>
      </c>
      <c r="AG663" s="82">
        <v>2</v>
      </c>
      <c r="AH663" s="82">
        <v>2</v>
      </c>
      <c r="AI663" s="82">
        <v>2.999999999992724</v>
      </c>
      <c r="AJ663" s="166">
        <v>3.21523</v>
      </c>
      <c r="AK663" s="82">
        <v>3.2151299999999998</v>
      </c>
      <c r="AL663" s="162">
        <v>0</v>
      </c>
      <c r="AM663" s="162">
        <v>0</v>
      </c>
      <c r="AN663" s="162">
        <v>0</v>
      </c>
      <c r="AO663" s="162">
        <v>0</v>
      </c>
      <c r="AP663" s="162">
        <v>0</v>
      </c>
      <c r="AQ663" s="162">
        <v>0</v>
      </c>
      <c r="AR663" s="710" t="str">
        <v>32193r1.par</v>
      </c>
      <c r="AV663" s="82" t="str">
        <v>97,255,97</v>
      </c>
      <c r="AW663" s="947">
        <v>-0.99999985561788196</v>
      </c>
      <c r="AX663" s="947">
        <v>-0.99999985561788196</v>
      </c>
      <c r="AY663" s="947">
        <v>0</v>
      </c>
    </row>
    <row r="664" spans="31:51" x14ac:dyDescent="0.25">
      <c r="AE664" s="75">
        <v>3.145</v>
      </c>
      <c r="AF664" s="82">
        <v>3</v>
      </c>
      <c r="AG664" s="82">
        <v>1</v>
      </c>
      <c r="AH664" s="82">
        <v>2</v>
      </c>
      <c r="AI664" s="82">
        <v>3.0000000000291038</v>
      </c>
      <c r="AJ664" s="166">
        <v>3.1452300000000002</v>
      </c>
      <c r="AK664" s="82">
        <v>3.14513</v>
      </c>
      <c r="AL664" s="162">
        <v>0</v>
      </c>
      <c r="AM664" s="162">
        <v>0</v>
      </c>
      <c r="AN664" s="162">
        <v>0</v>
      </c>
      <c r="AO664" s="162">
        <v>0</v>
      </c>
      <c r="AP664" s="162">
        <v>0</v>
      </c>
      <c r="AQ664" s="162">
        <v>0</v>
      </c>
      <c r="AR664" s="710" t="str">
        <v>1613.par</v>
      </c>
      <c r="AV664" s="82" t="str">
        <v>0,204,0</v>
      </c>
      <c r="AW664" s="947">
        <v>84.97011741683842</v>
      </c>
      <c r="AX664" s="947">
        <v>84.97011741683842</v>
      </c>
      <c r="AY664" s="947">
        <v>0</v>
      </c>
    </row>
    <row r="665" spans="31:51" x14ac:dyDescent="0.25">
      <c r="AE665" s="75">
        <v>3.1389999999999998</v>
      </c>
      <c r="AF665" s="82">
        <v>3</v>
      </c>
      <c r="AG665" s="82">
        <v>1</v>
      </c>
      <c r="AH665" s="82">
        <v>2</v>
      </c>
      <c r="AI665" s="82">
        <v>2.999999999992724</v>
      </c>
      <c r="AJ665" s="166">
        <v>3.13923</v>
      </c>
      <c r="AK665" s="82">
        <v>3.1391299999999998</v>
      </c>
      <c r="AL665" s="162">
        <v>0</v>
      </c>
      <c r="AM665" s="162">
        <v>0</v>
      </c>
      <c r="AN665" s="162">
        <v>0</v>
      </c>
      <c r="AO665" s="162">
        <v>0</v>
      </c>
      <c r="AP665" s="162">
        <v>0</v>
      </c>
      <c r="AQ665" s="162">
        <v>0</v>
      </c>
      <c r="AR665" s="710" t="str">
        <v>1613.par</v>
      </c>
      <c r="AV665" s="82" t="str">
        <v>0,204,0</v>
      </c>
      <c r="AW665" s="947">
        <v>81.885446807640747</v>
      </c>
      <c r="AX665" s="947">
        <v>81.885446807640747</v>
      </c>
      <c r="AY665" s="947">
        <v>0</v>
      </c>
    </row>
    <row r="666" spans="31:51" x14ac:dyDescent="0.25">
      <c r="AE666" s="75">
        <v>3.133</v>
      </c>
      <c r="AF666" s="82">
        <v>3</v>
      </c>
      <c r="AG666" s="82">
        <v>1</v>
      </c>
      <c r="AH666" s="82">
        <v>2</v>
      </c>
      <c r="AI666" s="82">
        <v>3.0000000000291038</v>
      </c>
      <c r="AJ666" s="166">
        <v>3.1332300000000002</v>
      </c>
      <c r="AK666" s="82">
        <v>3.13313</v>
      </c>
      <c r="AL666" s="162">
        <v>0</v>
      </c>
      <c r="AM666" s="162">
        <v>0</v>
      </c>
      <c r="AN666" s="162">
        <v>0</v>
      </c>
      <c r="AO666" s="162">
        <v>0</v>
      </c>
      <c r="AP666" s="162">
        <v>0</v>
      </c>
      <c r="AQ666" s="162">
        <v>0</v>
      </c>
      <c r="AR666" s="710" t="str">
        <v>1613.par</v>
      </c>
      <c r="AV666" s="82" t="str">
        <v>0,204,0</v>
      </c>
      <c r="AW666" s="947">
        <v>63.345987496311885</v>
      </c>
      <c r="AX666" s="947">
        <v>63.345987496311885</v>
      </c>
      <c r="AY666" s="947">
        <v>0</v>
      </c>
    </row>
    <row r="667" spans="31:51" x14ac:dyDescent="0.25">
      <c r="AE667" s="75">
        <v>3.1269999999999998</v>
      </c>
      <c r="AF667" s="82">
        <v>3</v>
      </c>
      <c r="AG667" s="82">
        <v>1</v>
      </c>
      <c r="AH667" s="82">
        <v>2</v>
      </c>
      <c r="AI667" s="82">
        <v>2.999999999992724</v>
      </c>
      <c r="AJ667" s="166">
        <v>3.12723</v>
      </c>
      <c r="AK667" s="82">
        <v>3.1271299999999997</v>
      </c>
      <c r="AL667" s="162">
        <v>0</v>
      </c>
      <c r="AM667" s="162">
        <v>0</v>
      </c>
      <c r="AN667" s="162">
        <v>0</v>
      </c>
      <c r="AO667" s="162">
        <v>0</v>
      </c>
      <c r="AP667" s="162">
        <v>0</v>
      </c>
      <c r="AQ667" s="162">
        <v>0</v>
      </c>
      <c r="AR667" s="710" t="str">
        <v>1613.par</v>
      </c>
      <c r="AV667" s="82" t="str">
        <v>0,204,0</v>
      </c>
      <c r="AW667" s="947">
        <v>44.722719194276351</v>
      </c>
      <c r="AX667" s="947">
        <v>44.722719194276351</v>
      </c>
      <c r="AY667" s="947">
        <v>0</v>
      </c>
    </row>
    <row r="668" spans="31:51" x14ac:dyDescent="0.25">
      <c r="AE668" s="75">
        <v>3.121</v>
      </c>
      <c r="AF668" s="82">
        <v>3</v>
      </c>
      <c r="AG668" s="82">
        <v>1</v>
      </c>
      <c r="AH668" s="82">
        <v>2</v>
      </c>
      <c r="AI668" s="82">
        <v>3.0000000000291038</v>
      </c>
      <c r="AJ668" s="166">
        <v>3.1212300000000002</v>
      </c>
      <c r="AK668" s="82">
        <v>3.12113</v>
      </c>
      <c r="AL668" s="162">
        <v>0</v>
      </c>
      <c r="AM668" s="162">
        <v>0</v>
      </c>
      <c r="AN668" s="162">
        <v>0</v>
      </c>
      <c r="AO668" s="162">
        <v>0</v>
      </c>
      <c r="AP668" s="162">
        <v>0</v>
      </c>
      <c r="AQ668" s="162">
        <v>0</v>
      </c>
      <c r="AR668" s="710" t="str">
        <v>1613 Ripper.par</v>
      </c>
      <c r="AV668" s="82" t="str">
        <v>0,204,0</v>
      </c>
      <c r="AW668" s="947">
        <v>25.946275176386688</v>
      </c>
      <c r="AX668" s="947">
        <v>25.946275176386688</v>
      </c>
      <c r="AY668" s="947">
        <v>0</v>
      </c>
    </row>
    <row r="669" spans="31:51" x14ac:dyDescent="0.25">
      <c r="AE669" s="75">
        <v>3.1150000000000002</v>
      </c>
      <c r="AF669" s="82">
        <v>3</v>
      </c>
      <c r="AG669" s="82">
        <v>1</v>
      </c>
      <c r="AH669" s="82">
        <v>2</v>
      </c>
      <c r="AI669" s="82">
        <v>3.0000000000291038</v>
      </c>
      <c r="AJ669" s="166">
        <v>3.1152300000000004</v>
      </c>
      <c r="AK669" s="82">
        <v>3.1151300000000002</v>
      </c>
      <c r="AL669" s="162">
        <v>0</v>
      </c>
      <c r="AM669" s="162">
        <v>0</v>
      </c>
      <c r="AN669" s="162">
        <v>0</v>
      </c>
      <c r="AO669" s="162">
        <v>0</v>
      </c>
      <c r="AP669" s="162">
        <v>0</v>
      </c>
      <c r="AQ669" s="162">
        <v>0</v>
      </c>
      <c r="AR669" s="710" t="str">
        <v>1613 Ripper.par</v>
      </c>
      <c r="AV669" s="82" t="str">
        <v>0,204,0</v>
      </c>
      <c r="AW669" s="947">
        <v>7.1077563806310833</v>
      </c>
      <c r="AX669" s="947">
        <v>7.1077563806310833</v>
      </c>
      <c r="AY669" s="947">
        <v>0</v>
      </c>
    </row>
    <row r="670" spans="31:51" x14ac:dyDescent="0.25">
      <c r="AE670" s="75">
        <v>3.109</v>
      </c>
      <c r="AF670" s="82">
        <v>3</v>
      </c>
      <c r="AG670" s="82">
        <v>1</v>
      </c>
      <c r="AH670" s="82">
        <v>2</v>
      </c>
      <c r="AI670" s="82">
        <v>3.0000000000291038</v>
      </c>
      <c r="AJ670" s="166">
        <v>3.1092300000000002</v>
      </c>
      <c r="AK670" s="82">
        <v>3.1091299999999999</v>
      </c>
      <c r="AL670" s="162">
        <v>0</v>
      </c>
      <c r="AM670" s="162">
        <v>0</v>
      </c>
      <c r="AN670" s="162">
        <v>0</v>
      </c>
      <c r="AO670" s="162">
        <v>0</v>
      </c>
      <c r="AP670" s="162">
        <v>0</v>
      </c>
      <c r="AQ670" s="162">
        <v>0</v>
      </c>
      <c r="AR670" s="710" t="str">
        <v>1613 Ripper.par</v>
      </c>
      <c r="AV670" s="82" t="str">
        <v>0,204,0</v>
      </c>
      <c r="AW670" s="947">
        <v>-11.754573914654843</v>
      </c>
      <c r="AX670" s="947">
        <v>-11.754573914654843</v>
      </c>
      <c r="AY670" s="947">
        <v>0</v>
      </c>
    </row>
    <row r="671" spans="31:51" x14ac:dyDescent="0.25">
      <c r="AE671" s="75">
        <v>3.1059999999999999</v>
      </c>
      <c r="AF671" s="82">
        <v>3</v>
      </c>
      <c r="AG671" s="82">
        <v>1</v>
      </c>
      <c r="AH671" s="82">
        <v>2</v>
      </c>
      <c r="AI671" s="82">
        <v>2.999999999992724</v>
      </c>
      <c r="AJ671" s="166">
        <v>3.10623</v>
      </c>
      <c r="AK671" s="82">
        <v>3.1061299999999998</v>
      </c>
      <c r="AL671" s="162">
        <v>0</v>
      </c>
      <c r="AM671" s="162">
        <v>0</v>
      </c>
      <c r="AN671" s="162">
        <v>0</v>
      </c>
      <c r="AO671" s="162">
        <v>0</v>
      </c>
      <c r="AP671" s="162">
        <v>0</v>
      </c>
      <c r="AQ671" s="162">
        <v>0</v>
      </c>
      <c r="AR671" s="710" t="str">
        <v>1613 Ripper.par</v>
      </c>
      <c r="AV671" s="82" t="str">
        <v>0,204,0</v>
      </c>
      <c r="AW671" s="947">
        <v>-12.508515021959289</v>
      </c>
      <c r="AX671" s="947">
        <v>-12.508515021959289</v>
      </c>
      <c r="AY671" s="947">
        <v>0</v>
      </c>
    </row>
    <row r="672" spans="31:51" x14ac:dyDescent="0.25">
      <c r="AE672" s="75">
        <v>3.1030000000000002</v>
      </c>
      <c r="AF672" s="82">
        <v>3</v>
      </c>
      <c r="AG672" s="82">
        <v>1</v>
      </c>
      <c r="AH672" s="82">
        <v>2</v>
      </c>
      <c r="AI672" s="82">
        <v>3.0000000000291038</v>
      </c>
      <c r="AJ672" s="166">
        <v>3.1032300000000004</v>
      </c>
      <c r="AK672" s="82">
        <v>3.1031300000000002</v>
      </c>
      <c r="AL672" s="162">
        <v>0</v>
      </c>
      <c r="AM672" s="162">
        <v>0</v>
      </c>
      <c r="AN672" s="162">
        <v>0</v>
      </c>
      <c r="AO672" s="162">
        <v>0</v>
      </c>
      <c r="AP672" s="162">
        <v>0</v>
      </c>
      <c r="AQ672" s="162">
        <v>0</v>
      </c>
      <c r="AR672" s="710" t="str">
        <v>1613.par</v>
      </c>
      <c r="AV672" s="82" t="str">
        <v>0,204,0</v>
      </c>
      <c r="AW672" s="947">
        <v>-14.302653650703496</v>
      </c>
      <c r="AX672" s="947">
        <v>-14.302653650703496</v>
      </c>
      <c r="AY672" s="947">
        <v>0</v>
      </c>
    </row>
    <row r="673" spans="31:51" x14ac:dyDescent="0.25">
      <c r="AE673" s="75">
        <v>2.2519999999999998</v>
      </c>
      <c r="AF673" s="82">
        <v>2</v>
      </c>
      <c r="AG673" s="82">
        <v>2</v>
      </c>
      <c r="AH673" s="82">
        <v>2</v>
      </c>
      <c r="AI673" s="82">
        <v>2.999999999992724</v>
      </c>
      <c r="AJ673" s="166">
        <v>2.25223</v>
      </c>
      <c r="AK673" s="82">
        <v>2.2521299999999997</v>
      </c>
      <c r="AL673" s="162">
        <v>0</v>
      </c>
      <c r="AM673" s="162">
        <v>0</v>
      </c>
      <c r="AN673" s="162">
        <v>0</v>
      </c>
      <c r="AO673" s="162">
        <v>0</v>
      </c>
      <c r="AP673" s="162">
        <v>0</v>
      </c>
      <c r="AQ673" s="162">
        <v>0</v>
      </c>
      <c r="AR673" s="710" t="str">
        <v>1313.par</v>
      </c>
      <c r="AV673" s="82" t="str">
        <v>255,255,91</v>
      </c>
      <c r="AW673" s="947">
        <v>100.03561890671624</v>
      </c>
      <c r="AX673" s="947">
        <v>100.03561890671624</v>
      </c>
      <c r="AY673" s="947">
        <v>0</v>
      </c>
    </row>
    <row r="674" spans="31:51" x14ac:dyDescent="0.25">
      <c r="AE674" s="75">
        <v>2.246</v>
      </c>
      <c r="AF674" s="82">
        <v>2</v>
      </c>
      <c r="AG674" s="82">
        <v>2</v>
      </c>
      <c r="AH674" s="82">
        <v>2</v>
      </c>
      <c r="AI674" s="82">
        <v>3.0000000000291038</v>
      </c>
      <c r="AJ674" s="166">
        <v>2.2462300000000002</v>
      </c>
      <c r="AK674" s="82">
        <v>2.24613</v>
      </c>
      <c r="AL674" s="162">
        <v>0</v>
      </c>
      <c r="AM674" s="162">
        <v>0</v>
      </c>
      <c r="AN674" s="162">
        <v>0</v>
      </c>
      <c r="AO674" s="162">
        <v>0</v>
      </c>
      <c r="AP674" s="162">
        <v>0</v>
      </c>
      <c r="AQ674" s="162">
        <v>0</v>
      </c>
      <c r="AR674" s="710" t="str">
        <v>32193r1.par</v>
      </c>
      <c r="AV674" s="82" t="str">
        <v>255,255,91</v>
      </c>
      <c r="AW674" s="947">
        <v>89.999987005609626</v>
      </c>
      <c r="AX674" s="947">
        <v>89.999987005609626</v>
      </c>
      <c r="AY674" s="947">
        <v>0</v>
      </c>
    </row>
    <row r="675" spans="31:51" x14ac:dyDescent="0.25">
      <c r="AE675" s="75">
        <v>2.2400000000000002</v>
      </c>
      <c r="AF675" s="82">
        <v>2</v>
      </c>
      <c r="AG675" s="82">
        <v>2</v>
      </c>
      <c r="AH675" s="82">
        <v>2</v>
      </c>
      <c r="AI675" s="82">
        <v>3.0000000000291038</v>
      </c>
      <c r="AJ675" s="166">
        <v>2.2402300000000004</v>
      </c>
      <c r="AK675" s="82">
        <v>2.2401300000000002</v>
      </c>
      <c r="AL675" s="162">
        <v>0</v>
      </c>
      <c r="AM675" s="162">
        <v>0</v>
      </c>
      <c r="AN675" s="162">
        <v>0</v>
      </c>
      <c r="AO675" s="162">
        <v>0</v>
      </c>
      <c r="AP675" s="162">
        <v>0</v>
      </c>
      <c r="AQ675" s="162">
        <v>0</v>
      </c>
      <c r="AR675" s="710" t="str">
        <v>32193r1.par</v>
      </c>
      <c r="AV675" s="82" t="str">
        <v>255,255,91</v>
      </c>
      <c r="AW675" s="947">
        <v>89.999987005609611</v>
      </c>
      <c r="AX675" s="947">
        <v>89.999987005609611</v>
      </c>
      <c r="AY675" s="947">
        <v>0</v>
      </c>
    </row>
    <row r="676" spans="31:51" x14ac:dyDescent="0.25">
      <c r="AE676" s="75">
        <v>2.234</v>
      </c>
      <c r="AF676" s="82">
        <v>2</v>
      </c>
      <c r="AG676" s="82">
        <v>2</v>
      </c>
      <c r="AH676" s="82">
        <v>2</v>
      </c>
      <c r="AI676" s="82">
        <v>3.0000000000291038</v>
      </c>
      <c r="AJ676" s="166">
        <v>2.2342300000000002</v>
      </c>
      <c r="AK676" s="82">
        <v>2.2341299999999999</v>
      </c>
      <c r="AL676" s="162">
        <v>0</v>
      </c>
      <c r="AM676" s="162">
        <v>0</v>
      </c>
      <c r="AN676" s="162">
        <v>0</v>
      </c>
      <c r="AO676" s="162">
        <v>0</v>
      </c>
      <c r="AP676" s="162">
        <v>0</v>
      </c>
      <c r="AQ676" s="162">
        <v>0</v>
      </c>
      <c r="AR676" s="710" t="str">
        <v>32193r1.par</v>
      </c>
      <c r="AV676" s="82" t="str">
        <v>255,255,91</v>
      </c>
      <c r="AW676" s="947">
        <v>68.999990037634035</v>
      </c>
      <c r="AX676" s="947">
        <v>68.999990037634035</v>
      </c>
      <c r="AY676" s="947">
        <v>0</v>
      </c>
    </row>
    <row r="677" spans="31:51" x14ac:dyDescent="0.25">
      <c r="AE677" s="75">
        <v>2.2280000000000002</v>
      </c>
      <c r="AF677" s="82">
        <v>2</v>
      </c>
      <c r="AG677" s="82">
        <v>2</v>
      </c>
      <c r="AH677" s="82">
        <v>2</v>
      </c>
      <c r="AI677" s="82">
        <v>3.0000000000291038</v>
      </c>
      <c r="AJ677" s="166">
        <v>2.2282300000000004</v>
      </c>
      <c r="AK677" s="82">
        <v>2.2281300000000002</v>
      </c>
      <c r="AL677" s="162">
        <v>0</v>
      </c>
      <c r="AM677" s="162">
        <v>0</v>
      </c>
      <c r="AN677" s="162">
        <v>0</v>
      </c>
      <c r="AO677" s="162">
        <v>0</v>
      </c>
      <c r="AP677" s="162">
        <v>0</v>
      </c>
      <c r="AQ677" s="162">
        <v>0</v>
      </c>
      <c r="AR677" s="710" t="str">
        <v>32193r1.par</v>
      </c>
      <c r="AV677" s="82" t="str">
        <v>255,255,91</v>
      </c>
      <c r="AW677" s="947">
        <v>47.999993069658451</v>
      </c>
      <c r="AX677" s="947">
        <v>47.999993069658451</v>
      </c>
      <c r="AY677" s="947">
        <v>0</v>
      </c>
    </row>
    <row r="678" spans="31:51" x14ac:dyDescent="0.25">
      <c r="AE678" s="75">
        <v>2.222</v>
      </c>
      <c r="AF678" s="82">
        <v>2</v>
      </c>
      <c r="AG678" s="82">
        <v>2</v>
      </c>
      <c r="AH678" s="82">
        <v>2</v>
      </c>
      <c r="AI678" s="82">
        <v>3.0000000000291038</v>
      </c>
      <c r="AJ678" s="166">
        <v>2.2222300000000001</v>
      </c>
      <c r="AK678" s="82">
        <v>2.2221299999999999</v>
      </c>
      <c r="AL678" s="162">
        <v>0</v>
      </c>
      <c r="AM678" s="162">
        <v>0</v>
      </c>
      <c r="AN678" s="162">
        <v>0</v>
      </c>
      <c r="AO678" s="162">
        <v>0</v>
      </c>
      <c r="AP678" s="162">
        <v>0</v>
      </c>
      <c r="AQ678" s="162">
        <v>0</v>
      </c>
      <c r="AR678" s="710" t="str">
        <v>32193r1.par</v>
      </c>
      <c r="AV678" s="82" t="str">
        <v>255,255,91</v>
      </c>
      <c r="AW678" s="947">
        <v>26.999996101682878</v>
      </c>
      <c r="AX678" s="947">
        <v>26.999996101682878</v>
      </c>
      <c r="AY678" s="947">
        <v>0</v>
      </c>
    </row>
    <row r="679" spans="31:51" x14ac:dyDescent="0.25">
      <c r="AE679" s="75">
        <v>2.2160000000000002</v>
      </c>
      <c r="AF679" s="82">
        <v>2</v>
      </c>
      <c r="AG679" s="82">
        <v>2</v>
      </c>
      <c r="AH679" s="82">
        <v>2</v>
      </c>
      <c r="AI679" s="82">
        <v>3.0000000000291038</v>
      </c>
      <c r="AJ679" s="166">
        <v>2.2162300000000004</v>
      </c>
      <c r="AK679" s="82">
        <v>2.2161300000000002</v>
      </c>
      <c r="AL679" s="162">
        <v>0</v>
      </c>
      <c r="AM679" s="162">
        <v>0</v>
      </c>
      <c r="AN679" s="162">
        <v>0</v>
      </c>
      <c r="AO679" s="162">
        <v>0</v>
      </c>
      <c r="AP679" s="162">
        <v>0</v>
      </c>
      <c r="AQ679" s="162">
        <v>0</v>
      </c>
      <c r="AR679" s="710" t="str">
        <v>32193r1.par</v>
      </c>
      <c r="AV679" s="82" t="str">
        <v>255,255,91</v>
      </c>
      <c r="AW679" s="947">
        <v>5.9999991337073082</v>
      </c>
      <c r="AX679" s="947">
        <v>5.9999991337073082</v>
      </c>
      <c r="AY679" s="947">
        <v>0</v>
      </c>
    </row>
    <row r="680" spans="31:51" x14ac:dyDescent="0.25">
      <c r="AE680" s="75">
        <v>2.1459999999999999</v>
      </c>
      <c r="AF680" s="82">
        <v>2</v>
      </c>
      <c r="AG680" s="82">
        <v>1</v>
      </c>
      <c r="AH680" s="82">
        <v>2</v>
      </c>
      <c r="AI680" s="82">
        <v>2.999999999992724</v>
      </c>
      <c r="AJ680" s="166">
        <v>2.1462300000000001</v>
      </c>
      <c r="AK680" s="82">
        <v>2.1461299999999999</v>
      </c>
      <c r="AL680" s="162">
        <v>0</v>
      </c>
      <c r="AM680" s="162">
        <v>0</v>
      </c>
      <c r="AN680" s="162">
        <v>0</v>
      </c>
      <c r="AO680" s="162">
        <v>0</v>
      </c>
      <c r="AP680" s="162">
        <v>0</v>
      </c>
      <c r="AQ680" s="162">
        <v>0</v>
      </c>
      <c r="AR680" s="710" t="str">
        <v>1613.par</v>
      </c>
      <c r="AV680" s="82" t="str">
        <v>204,204,0</v>
      </c>
      <c r="AW680" s="947">
        <v>84.97011741683842</v>
      </c>
      <c r="AX680" s="947">
        <v>84.97011741683842</v>
      </c>
      <c r="AY680" s="947">
        <v>0</v>
      </c>
    </row>
    <row r="681" spans="31:51" x14ac:dyDescent="0.25">
      <c r="AE681" s="75">
        <v>2.14</v>
      </c>
      <c r="AF681" s="82">
        <v>2</v>
      </c>
      <c r="AG681" s="82">
        <v>1</v>
      </c>
      <c r="AH681" s="82">
        <v>2</v>
      </c>
      <c r="AI681" s="82">
        <v>3.0000000000291038</v>
      </c>
      <c r="AJ681" s="166">
        <v>2.1402300000000003</v>
      </c>
      <c r="AK681" s="82">
        <v>2.1401300000000001</v>
      </c>
      <c r="AL681" s="162">
        <v>0</v>
      </c>
      <c r="AM681" s="162">
        <v>0</v>
      </c>
      <c r="AN681" s="162">
        <v>0</v>
      </c>
      <c r="AO681" s="162">
        <v>0</v>
      </c>
      <c r="AP681" s="162">
        <v>0</v>
      </c>
      <c r="AQ681" s="162">
        <v>0</v>
      </c>
      <c r="AR681" s="710" t="str">
        <v>1613.par</v>
      </c>
      <c r="AV681" s="82" t="str">
        <v>204,204,0</v>
      </c>
      <c r="AW681" s="947">
        <v>84.969949372155938</v>
      </c>
      <c r="AX681" s="947">
        <v>84.969949372155938</v>
      </c>
      <c r="AY681" s="947">
        <v>0</v>
      </c>
    </row>
    <row r="682" spans="31:51" x14ac:dyDescent="0.25">
      <c r="AE682" s="75">
        <v>2.1339999999999999</v>
      </c>
      <c r="AF682" s="82">
        <v>2</v>
      </c>
      <c r="AG682" s="82">
        <v>1</v>
      </c>
      <c r="AH682" s="82">
        <v>2</v>
      </c>
      <c r="AI682" s="82">
        <v>2.999999999992724</v>
      </c>
      <c r="AJ682" s="166">
        <v>2.1342300000000001</v>
      </c>
      <c r="AK682" s="82">
        <v>2.1341299999999999</v>
      </c>
      <c r="AL682" s="162">
        <v>0</v>
      </c>
      <c r="AM682" s="162">
        <v>0</v>
      </c>
      <c r="AN682" s="162">
        <v>0</v>
      </c>
      <c r="AO682" s="162">
        <v>0</v>
      </c>
      <c r="AP682" s="162">
        <v>0</v>
      </c>
      <c r="AQ682" s="162">
        <v>0</v>
      </c>
      <c r="AR682" s="710" t="str">
        <v>1613.par</v>
      </c>
      <c r="AV682" s="82" t="str">
        <v>204,204,0</v>
      </c>
      <c r="AW682" s="947">
        <v>66.440489504246187</v>
      </c>
      <c r="AX682" s="947">
        <v>66.440489504246187</v>
      </c>
      <c r="AY682" s="947">
        <v>0</v>
      </c>
    </row>
    <row r="683" spans="31:51" x14ac:dyDescent="0.25">
      <c r="AE683" s="75">
        <v>2.1280000000000001</v>
      </c>
      <c r="AF683" s="82">
        <v>2</v>
      </c>
      <c r="AG683" s="82">
        <v>1</v>
      </c>
      <c r="AH683" s="82">
        <v>2</v>
      </c>
      <c r="AI683" s="82">
        <v>3.0000000000291038</v>
      </c>
      <c r="AJ683" s="166">
        <v>2.1282300000000003</v>
      </c>
      <c r="AK683" s="82">
        <v>2.1281300000000001</v>
      </c>
      <c r="AL683" s="162">
        <v>0</v>
      </c>
      <c r="AM683" s="162">
        <v>0</v>
      </c>
      <c r="AN683" s="162">
        <v>0</v>
      </c>
      <c r="AO683" s="162">
        <v>0</v>
      </c>
      <c r="AP683" s="162">
        <v>0</v>
      </c>
      <c r="AQ683" s="162">
        <v>0</v>
      </c>
      <c r="AR683" s="710" t="str">
        <v>1613.par</v>
      </c>
      <c r="AV683" s="82" t="str">
        <v>204,204,0</v>
      </c>
      <c r="AW683" s="947">
        <v>47.834713669325687</v>
      </c>
      <c r="AX683" s="947">
        <v>47.834713669325687</v>
      </c>
      <c r="AY683" s="947">
        <v>0</v>
      </c>
    </row>
    <row r="684" spans="31:51" x14ac:dyDescent="0.25">
      <c r="AE684" s="75">
        <v>2.1219999999999999</v>
      </c>
      <c r="AF684" s="82">
        <v>2</v>
      </c>
      <c r="AG684" s="82">
        <v>1</v>
      </c>
      <c r="AH684" s="82">
        <v>2</v>
      </c>
      <c r="AI684" s="82">
        <v>2.999999999992724</v>
      </c>
      <c r="AJ684" s="166">
        <v>2.1222300000000001</v>
      </c>
      <c r="AK684" s="82">
        <v>2.1221299999999998</v>
      </c>
      <c r="AL684" s="162">
        <v>0</v>
      </c>
      <c r="AM684" s="162">
        <v>0</v>
      </c>
      <c r="AN684" s="162">
        <v>0</v>
      </c>
      <c r="AO684" s="162">
        <v>0</v>
      </c>
      <c r="AP684" s="162">
        <v>0</v>
      </c>
      <c r="AQ684" s="162">
        <v>0</v>
      </c>
      <c r="AR684" s="710" t="str">
        <v>1613.par</v>
      </c>
      <c r="AV684" s="82" t="str">
        <v>204,204,0</v>
      </c>
      <c r="AW684" s="947">
        <v>29.091158349317926</v>
      </c>
      <c r="AX684" s="947">
        <v>29.091158349317926</v>
      </c>
      <c r="AY684" s="947">
        <v>0</v>
      </c>
    </row>
    <row r="685" spans="31:51" x14ac:dyDescent="0.25">
      <c r="AE685" s="75">
        <v>2.1160000000000001</v>
      </c>
      <c r="AF685" s="82">
        <v>2</v>
      </c>
      <c r="AG685" s="82">
        <v>1</v>
      </c>
      <c r="AH685" s="82">
        <v>2</v>
      </c>
      <c r="AI685" s="82">
        <v>3.0000000000291038</v>
      </c>
      <c r="AJ685" s="166">
        <v>2.1162300000000003</v>
      </c>
      <c r="AK685" s="82">
        <v>2.1161300000000001</v>
      </c>
      <c r="AL685" s="162">
        <v>0</v>
      </c>
      <c r="AM685" s="162">
        <v>0</v>
      </c>
      <c r="AN685" s="162">
        <v>0</v>
      </c>
      <c r="AO685" s="162">
        <v>0</v>
      </c>
      <c r="AP685" s="162">
        <v>0</v>
      </c>
      <c r="AQ685" s="162">
        <v>0</v>
      </c>
      <c r="AR685" s="710" t="str">
        <v>1613 Ripper.par</v>
      </c>
      <c r="AV685" s="82" t="str">
        <v>204,204,0</v>
      </c>
      <c r="AW685" s="947">
        <v>10.242376499105918</v>
      </c>
      <c r="AX685" s="947">
        <v>10.242376499105918</v>
      </c>
      <c r="AY685" s="947">
        <v>0</v>
      </c>
    </row>
    <row r="686" spans="31:51" x14ac:dyDescent="0.25">
      <c r="AE686" s="75">
        <v>2.11</v>
      </c>
      <c r="AF686" s="82">
        <v>2</v>
      </c>
      <c r="AG686" s="82">
        <v>1</v>
      </c>
      <c r="AH686" s="82">
        <v>2</v>
      </c>
      <c r="AI686" s="82">
        <v>2.999999999992724</v>
      </c>
      <c r="AJ686" s="166">
        <v>2.1102300000000001</v>
      </c>
      <c r="AK686" s="82">
        <v>2.1101299999999998</v>
      </c>
      <c r="AL686" s="162">
        <v>0</v>
      </c>
      <c r="AM686" s="162">
        <v>0</v>
      </c>
      <c r="AN686" s="162">
        <v>0</v>
      </c>
      <c r="AO686" s="162">
        <v>0</v>
      </c>
      <c r="AP686" s="162">
        <v>0</v>
      </c>
      <c r="AQ686" s="162">
        <v>0</v>
      </c>
      <c r="AR686" s="710" t="str">
        <v>1613 Ripper.par</v>
      </c>
      <c r="AV686" s="82" t="str">
        <v>204,204,0</v>
      </c>
      <c r="AW686" s="947">
        <v>-8.604830320611164</v>
      </c>
      <c r="AX686" s="947">
        <v>-8.604830320611164</v>
      </c>
      <c r="AY686" s="947">
        <v>0</v>
      </c>
    </row>
    <row r="687" spans="31:51" x14ac:dyDescent="0.25">
      <c r="AE687" s="75">
        <v>1.2529999999999999</v>
      </c>
      <c r="AF687" s="82">
        <v>1</v>
      </c>
      <c r="AG687" s="82">
        <v>2</v>
      </c>
      <c r="AH687" s="82">
        <v>2</v>
      </c>
      <c r="AI687" s="82">
        <v>2.999999999992724</v>
      </c>
      <c r="AJ687" s="166">
        <v>1.2532299999999998</v>
      </c>
      <c r="AK687" s="82">
        <v>1.2531299999999999</v>
      </c>
      <c r="AL687" s="162">
        <v>0</v>
      </c>
      <c r="AM687" s="162">
        <v>0</v>
      </c>
      <c r="AN687" s="162">
        <v>0</v>
      </c>
      <c r="AO687" s="162">
        <v>0</v>
      </c>
      <c r="AP687" s="162">
        <v>0</v>
      </c>
      <c r="AQ687" s="162">
        <v>0</v>
      </c>
      <c r="AR687" s="710" t="str">
        <v>1313.par</v>
      </c>
      <c r="AV687" s="82" t="str">
        <v>255,188,121</v>
      </c>
      <c r="AW687" s="947">
        <v>100.03561890671624</v>
      </c>
      <c r="AX687" s="947">
        <v>100.03561890671624</v>
      </c>
      <c r="AY687" s="947">
        <v>0</v>
      </c>
    </row>
    <row r="688" spans="31:51" x14ac:dyDescent="0.25">
      <c r="AE688" s="75">
        <v>1.2470000000000001</v>
      </c>
      <c r="AF688" s="82">
        <v>1</v>
      </c>
      <c r="AG688" s="82">
        <v>2</v>
      </c>
      <c r="AH688" s="82">
        <v>2</v>
      </c>
      <c r="AI688" s="82">
        <v>3.0000000000109139</v>
      </c>
      <c r="AJ688" s="166">
        <v>1.2472300000000001</v>
      </c>
      <c r="AK688" s="82">
        <v>1.2471300000000001</v>
      </c>
      <c r="AL688" s="162">
        <v>0</v>
      </c>
      <c r="AM688" s="162">
        <v>0</v>
      </c>
      <c r="AN688" s="162">
        <v>0</v>
      </c>
      <c r="AO688" s="162">
        <v>0</v>
      </c>
      <c r="AP688" s="162">
        <v>0</v>
      </c>
      <c r="AQ688" s="162">
        <v>0</v>
      </c>
      <c r="AR688" s="710" t="str">
        <v>32193r1.par</v>
      </c>
      <c r="AV688" s="82" t="str">
        <v>255,188,121</v>
      </c>
      <c r="AW688" s="947">
        <v>89.999987005609597</v>
      </c>
      <c r="AX688" s="947">
        <v>89.999987005609597</v>
      </c>
      <c r="AY688" s="947">
        <v>0</v>
      </c>
    </row>
    <row r="689" spans="31:51" x14ac:dyDescent="0.25">
      <c r="AE689" s="75">
        <v>1.2410000000000001</v>
      </c>
      <c r="AF689" s="82">
        <v>1</v>
      </c>
      <c r="AG689" s="82">
        <v>2</v>
      </c>
      <c r="AH689" s="82">
        <v>2</v>
      </c>
      <c r="AI689" s="82">
        <v>3.0000000000109139</v>
      </c>
      <c r="AJ689" s="166">
        <v>1.2412300000000001</v>
      </c>
      <c r="AK689" s="82">
        <v>1.2411300000000001</v>
      </c>
      <c r="AL689" s="162">
        <v>0</v>
      </c>
      <c r="AM689" s="162">
        <v>0</v>
      </c>
      <c r="AN689" s="162">
        <v>0</v>
      </c>
      <c r="AO689" s="162">
        <v>0</v>
      </c>
      <c r="AP689" s="162">
        <v>0</v>
      </c>
      <c r="AQ689" s="162">
        <v>0</v>
      </c>
      <c r="AR689" s="710" t="str">
        <v>32193r1.par</v>
      </c>
      <c r="AV689" s="82" t="str">
        <v>255,188,121</v>
      </c>
      <c r="AW689" s="947">
        <v>89.999987005609611</v>
      </c>
      <c r="AX689" s="947">
        <v>89.999987005609611</v>
      </c>
      <c r="AY689" s="947">
        <v>0</v>
      </c>
    </row>
    <row r="690" spans="31:51" x14ac:dyDescent="0.25">
      <c r="AE690" s="75">
        <v>1.2350000000000001</v>
      </c>
      <c r="AF690" s="82">
        <v>1</v>
      </c>
      <c r="AG690" s="82">
        <v>2</v>
      </c>
      <c r="AH690" s="82">
        <v>2</v>
      </c>
      <c r="AI690" s="82">
        <v>3.0000000000109139</v>
      </c>
      <c r="AJ690" s="166">
        <v>1.2352300000000001</v>
      </c>
      <c r="AK690" s="82">
        <v>1.2351300000000001</v>
      </c>
      <c r="AL690" s="162">
        <v>0</v>
      </c>
      <c r="AM690" s="162">
        <v>0</v>
      </c>
      <c r="AN690" s="162">
        <v>0</v>
      </c>
      <c r="AO690" s="162">
        <v>0</v>
      </c>
      <c r="AP690" s="162">
        <v>0</v>
      </c>
      <c r="AQ690" s="162">
        <v>0</v>
      </c>
      <c r="AR690" s="710" t="str">
        <v>1313.par</v>
      </c>
      <c r="AV690" s="82" t="str">
        <v>255,188,121</v>
      </c>
      <c r="AW690" s="947">
        <v>69.566043588691343</v>
      </c>
      <c r="AX690" s="947">
        <v>69.566043588691343</v>
      </c>
      <c r="AY690" s="947">
        <v>0</v>
      </c>
    </row>
    <row r="691" spans="31:51" x14ac:dyDescent="0.25">
      <c r="AE691" s="75">
        <v>1.2290000000000001</v>
      </c>
      <c r="AF691" s="82">
        <v>1</v>
      </c>
      <c r="AG691" s="82">
        <v>2</v>
      </c>
      <c r="AH691" s="82">
        <v>2</v>
      </c>
      <c r="AI691" s="82">
        <v>3.0000000000109139</v>
      </c>
      <c r="AJ691" s="166">
        <v>1.22923</v>
      </c>
      <c r="AK691" s="82">
        <v>1.2291300000000001</v>
      </c>
      <c r="AL691" s="162">
        <v>0</v>
      </c>
      <c r="AM691" s="162">
        <v>0</v>
      </c>
      <c r="AN691" s="162">
        <v>0</v>
      </c>
      <c r="AO691" s="162">
        <v>0</v>
      </c>
      <c r="AP691" s="162">
        <v>0</v>
      </c>
      <c r="AQ691" s="162">
        <v>0</v>
      </c>
      <c r="AR691" s="710" t="str">
        <v>1313.par</v>
      </c>
      <c r="AV691" s="82" t="str">
        <v>255,188,121</v>
      </c>
      <c r="AW691" s="947">
        <v>51.026324417745535</v>
      </c>
      <c r="AX691" s="947">
        <v>51.026324417745535</v>
      </c>
      <c r="AY691" s="947">
        <v>0</v>
      </c>
    </row>
    <row r="692" spans="31:51" x14ac:dyDescent="0.25">
      <c r="AE692" s="75">
        <v>1.2230000000000001</v>
      </c>
      <c r="AF692" s="82">
        <v>1</v>
      </c>
      <c r="AG692" s="82">
        <v>2</v>
      </c>
      <c r="AH692" s="82">
        <v>2</v>
      </c>
      <c r="AI692" s="82">
        <v>3.0000000000109139</v>
      </c>
      <c r="AJ692" s="166">
        <v>1.22323</v>
      </c>
      <c r="AK692" s="82">
        <v>1.2231300000000001</v>
      </c>
      <c r="AL692" s="162">
        <v>0</v>
      </c>
      <c r="AM692" s="162">
        <v>0</v>
      </c>
      <c r="AN692" s="162">
        <v>0</v>
      </c>
      <c r="AO692" s="162">
        <v>0</v>
      </c>
      <c r="AP692" s="162">
        <v>0</v>
      </c>
      <c r="AQ692" s="162">
        <v>0</v>
      </c>
      <c r="AR692" s="710" t="str">
        <v>1313.par</v>
      </c>
      <c r="AV692" s="82" t="str">
        <v>255,188,121</v>
      </c>
      <c r="AW692" s="947">
        <v>32.403257224374144</v>
      </c>
      <c r="AX692" s="947">
        <v>32.403257224374144</v>
      </c>
      <c r="AY692" s="947">
        <v>0</v>
      </c>
    </row>
    <row r="693" spans="31:51" x14ac:dyDescent="0.25">
      <c r="AE693" s="75">
        <v>1.2170000000000001</v>
      </c>
      <c r="AF693" s="82">
        <v>1</v>
      </c>
      <c r="AG693" s="82">
        <v>2</v>
      </c>
      <c r="AH693" s="82">
        <v>2</v>
      </c>
      <c r="AI693" s="82">
        <v>3.0000000000109139</v>
      </c>
      <c r="AJ693" s="166">
        <v>1.21723</v>
      </c>
      <c r="AK693" s="82">
        <v>1.21713</v>
      </c>
      <c r="AL693" s="162">
        <v>0</v>
      </c>
      <c r="AM693" s="162">
        <v>0</v>
      </c>
      <c r="AN693" s="162">
        <v>0</v>
      </c>
      <c r="AO693" s="162">
        <v>0</v>
      </c>
      <c r="AP693" s="162">
        <v>0</v>
      </c>
      <c r="AQ693" s="162">
        <v>0</v>
      </c>
      <c r="AR693" s="710" t="str">
        <v>32193r1.par</v>
      </c>
      <c r="AV693" s="82" t="str">
        <v>255,188,121</v>
      </c>
      <c r="AW693" s="947">
        <v>5.9999991337073153</v>
      </c>
      <c r="AX693" s="947">
        <v>5.9999991337073153</v>
      </c>
      <c r="AY693" s="947">
        <v>0</v>
      </c>
    </row>
    <row r="694" spans="31:51" x14ac:dyDescent="0.25">
      <c r="AE694" s="75">
        <v>1.147</v>
      </c>
      <c r="AF694" s="82">
        <v>1</v>
      </c>
      <c r="AG694" s="82">
        <v>1</v>
      </c>
      <c r="AH694" s="82">
        <v>2</v>
      </c>
      <c r="AI694" s="82">
        <v>2.999999999992724</v>
      </c>
      <c r="AJ694" s="166">
        <v>1.14723</v>
      </c>
      <c r="AK694" s="82">
        <v>1.14713</v>
      </c>
      <c r="AL694" s="162">
        <v>0</v>
      </c>
      <c r="AM694" s="162">
        <v>0</v>
      </c>
      <c r="AN694" s="162">
        <v>0</v>
      </c>
      <c r="AO694" s="162">
        <v>0</v>
      </c>
      <c r="AP694" s="162">
        <v>0</v>
      </c>
      <c r="AQ694" s="162">
        <v>0</v>
      </c>
      <c r="AR694" s="710" t="str">
        <v>1613.par</v>
      </c>
      <c r="AV694" s="82" t="str">
        <v>255,127,0</v>
      </c>
      <c r="AW694" s="947">
        <v>84.970117416838434</v>
      </c>
      <c r="AX694" s="947">
        <v>84.970117416838434</v>
      </c>
      <c r="AY694" s="947">
        <v>0</v>
      </c>
    </row>
    <row r="695" spans="31:51" x14ac:dyDescent="0.25">
      <c r="AE695" s="75">
        <v>1.141</v>
      </c>
      <c r="AF695" s="82">
        <v>1</v>
      </c>
      <c r="AG695" s="82">
        <v>1</v>
      </c>
      <c r="AH695" s="82">
        <v>2</v>
      </c>
      <c r="AI695" s="82">
        <v>2.999999999992724</v>
      </c>
      <c r="AJ695" s="166">
        <v>1.14123</v>
      </c>
      <c r="AK695" s="82">
        <v>1.14113</v>
      </c>
      <c r="AL695" s="162">
        <v>0</v>
      </c>
      <c r="AM695" s="162">
        <v>0</v>
      </c>
      <c r="AN695" s="162">
        <v>0</v>
      </c>
      <c r="AO695" s="162">
        <v>0</v>
      </c>
      <c r="AP695" s="162">
        <v>0</v>
      </c>
      <c r="AQ695" s="162">
        <v>0</v>
      </c>
      <c r="AR695" s="710" t="str">
        <v>1613.par</v>
      </c>
      <c r="AV695" s="82" t="str">
        <v>255,127,0</v>
      </c>
      <c r="AW695" s="947">
        <v>84.96994937215598</v>
      </c>
      <c r="AX695" s="947">
        <v>84.96994937215598</v>
      </c>
      <c r="AY695" s="947">
        <v>0</v>
      </c>
    </row>
    <row r="696" spans="31:51" x14ac:dyDescent="0.25">
      <c r="AE696" s="75">
        <v>1.135</v>
      </c>
      <c r="AF696" s="82">
        <v>1</v>
      </c>
      <c r="AG696" s="82">
        <v>1</v>
      </c>
      <c r="AH696" s="82">
        <v>2</v>
      </c>
      <c r="AI696" s="82">
        <v>2.999999999992724</v>
      </c>
      <c r="AJ696" s="166">
        <v>1.13523</v>
      </c>
      <c r="AK696" s="82">
        <v>1.13513</v>
      </c>
      <c r="AL696" s="162">
        <v>0</v>
      </c>
      <c r="AM696" s="162">
        <v>0</v>
      </c>
      <c r="AN696" s="162">
        <v>0</v>
      </c>
      <c r="AO696" s="162">
        <v>0</v>
      </c>
      <c r="AP696" s="162">
        <v>0</v>
      </c>
      <c r="AQ696" s="162">
        <v>0</v>
      </c>
      <c r="AR696" s="710" t="str">
        <v>1613.par</v>
      </c>
      <c r="AV696" s="82" t="str">
        <v>255,127,0</v>
      </c>
      <c r="AW696" s="947">
        <v>69.53293472939626</v>
      </c>
      <c r="AX696" s="947">
        <v>69.53293472939626</v>
      </c>
      <c r="AY696" s="947">
        <v>0</v>
      </c>
    </row>
    <row r="697" spans="31:51" x14ac:dyDescent="0.25">
      <c r="AE697" s="75">
        <v>1.129</v>
      </c>
      <c r="AF697" s="82">
        <v>1</v>
      </c>
      <c r="AG697" s="82">
        <v>1</v>
      </c>
      <c r="AH697" s="82">
        <v>2</v>
      </c>
      <c r="AI697" s="82">
        <v>2.999999999992724</v>
      </c>
      <c r="AJ697" s="166">
        <v>1.12923</v>
      </c>
      <c r="AK697" s="82">
        <v>1.12913</v>
      </c>
      <c r="AL697" s="162">
        <v>0</v>
      </c>
      <c r="AM697" s="162">
        <v>0</v>
      </c>
      <c r="AN697" s="162">
        <v>0</v>
      </c>
      <c r="AO697" s="162">
        <v>0</v>
      </c>
      <c r="AP697" s="162">
        <v>0</v>
      </c>
      <c r="AQ697" s="162">
        <v>0</v>
      </c>
      <c r="AR697" s="710" t="str">
        <v>1613.par</v>
      </c>
      <c r="AV697" s="82" t="str">
        <v>255,127,0</v>
      </c>
      <c r="AW697" s="947">
        <v>50.943025181030578</v>
      </c>
      <c r="AX697" s="947">
        <v>50.943025181030578</v>
      </c>
      <c r="AY697" s="947">
        <v>0</v>
      </c>
    </row>
    <row r="698" spans="31:51" x14ac:dyDescent="0.25">
      <c r="AE698" s="75">
        <v>1.123</v>
      </c>
      <c r="AF698" s="82">
        <v>1</v>
      </c>
      <c r="AG698" s="82">
        <v>1</v>
      </c>
      <c r="AH698" s="82">
        <v>2</v>
      </c>
      <c r="AI698" s="82">
        <v>2.999999999992724</v>
      </c>
      <c r="AJ698" s="166">
        <v>1.12323</v>
      </c>
      <c r="AK698" s="82">
        <v>1.12313</v>
      </c>
      <c r="AL698" s="162">
        <v>0</v>
      </c>
      <c r="AM698" s="162">
        <v>0</v>
      </c>
      <c r="AN698" s="162">
        <v>0</v>
      </c>
      <c r="AO698" s="162">
        <v>0</v>
      </c>
      <c r="AP698" s="162">
        <v>0</v>
      </c>
      <c r="AQ698" s="162">
        <v>0</v>
      </c>
      <c r="AR698" s="710" t="str">
        <v>1613.par</v>
      </c>
      <c r="AV698" s="82" t="str">
        <v>255,127,0</v>
      </c>
      <c r="AW698" s="947">
        <v>32.228901208944677</v>
      </c>
      <c r="AX698" s="947">
        <v>32.228901208944677</v>
      </c>
      <c r="AY698" s="947">
        <v>0</v>
      </c>
    </row>
    <row r="699" spans="31:51" x14ac:dyDescent="0.25">
      <c r="AE699" s="75">
        <v>1.117</v>
      </c>
      <c r="AF699" s="82">
        <v>1</v>
      </c>
      <c r="AG699" s="82">
        <v>1</v>
      </c>
      <c r="AH699" s="82">
        <v>2</v>
      </c>
      <c r="AI699" s="82">
        <v>2.999999999992724</v>
      </c>
      <c r="AJ699" s="166">
        <v>1.1172299999999999</v>
      </c>
      <c r="AK699" s="82">
        <v>1.11713</v>
      </c>
      <c r="AL699" s="162">
        <v>0</v>
      </c>
      <c r="AM699" s="162">
        <v>0</v>
      </c>
      <c r="AN699" s="162">
        <v>0</v>
      </c>
      <c r="AO699" s="162">
        <v>0</v>
      </c>
      <c r="AP699" s="162">
        <v>0</v>
      </c>
      <c r="AQ699" s="162">
        <v>0</v>
      </c>
      <c r="AR699" s="710" t="str">
        <v>1613 Ripper.par</v>
      </c>
      <c r="AV699" s="82" t="str">
        <v>255,127,0</v>
      </c>
      <c r="AW699" s="947">
        <v>13.374429842880255</v>
      </c>
      <c r="AX699" s="947">
        <v>13.374429842880255</v>
      </c>
      <c r="AY699" s="947">
        <v>0</v>
      </c>
    </row>
    <row r="700" spans="31:51" x14ac:dyDescent="0.25">
      <c r="AE700" s="75">
        <v>1.111</v>
      </c>
      <c r="AF700" s="82">
        <v>1</v>
      </c>
      <c r="AG700" s="82">
        <v>1</v>
      </c>
      <c r="AH700" s="82">
        <v>2</v>
      </c>
      <c r="AI700" s="82">
        <v>2.999999999992724</v>
      </c>
      <c r="AJ700" s="166">
        <v>1.1112299999999999</v>
      </c>
      <c r="AK700" s="82">
        <v>1.11113</v>
      </c>
      <c r="AL700" s="162">
        <v>0</v>
      </c>
      <c r="AM700" s="162">
        <v>0</v>
      </c>
      <c r="AN700" s="162">
        <v>0</v>
      </c>
      <c r="AO700" s="162">
        <v>0</v>
      </c>
      <c r="AP700" s="162">
        <v>0</v>
      </c>
      <c r="AQ700" s="162">
        <v>0</v>
      </c>
      <c r="AR700" s="710" t="str">
        <v>1613 Ripper.par</v>
      </c>
      <c r="AV700" s="82" t="str">
        <v>255,127,0</v>
      </c>
      <c r="AW700" s="947">
        <v>-5.4571267998021593</v>
      </c>
      <c r="AX700" s="947">
        <v>-5.4571267998021593</v>
      </c>
      <c r="AY700" s="947">
        <v>0</v>
      </c>
    </row>
    <row r="701" spans="31:51" x14ac:dyDescent="0.25">
      <c r="AE701" s="75">
        <v>1.107</v>
      </c>
      <c r="AF701" s="82">
        <v>1</v>
      </c>
      <c r="AG701" s="82">
        <v>1</v>
      </c>
      <c r="AH701" s="82">
        <v>2</v>
      </c>
      <c r="AI701" s="82">
        <v>2.999999999992724</v>
      </c>
      <c r="AJ701" s="166">
        <v>1.1072299999999999</v>
      </c>
      <c r="AK701" s="82">
        <v>1.1071299999999999</v>
      </c>
      <c r="AL701" s="162">
        <v>0</v>
      </c>
      <c r="AM701" s="162">
        <v>0</v>
      </c>
      <c r="AN701" s="162">
        <v>0</v>
      </c>
      <c r="AO701" s="162">
        <v>0</v>
      </c>
      <c r="AP701" s="162">
        <v>0</v>
      </c>
      <c r="AQ701" s="162">
        <v>0</v>
      </c>
      <c r="AR701" s="710" t="str">
        <v>1613 Ripper.par</v>
      </c>
      <c r="AV701" s="82" t="str">
        <v>255,127,0</v>
      </c>
      <c r="AW701" s="947">
        <v>-12.188363844259069</v>
      </c>
      <c r="AX701" s="947">
        <v>-12.188363844259069</v>
      </c>
      <c r="AY701" s="947">
        <v>0</v>
      </c>
    </row>
    <row r="702" spans="31:51" x14ac:dyDescent="0.25">
      <c r="AE702" s="75">
        <v>1.1040000000000001</v>
      </c>
      <c r="AF702" s="82">
        <v>1</v>
      </c>
      <c r="AG702" s="82">
        <v>1</v>
      </c>
      <c r="AH702" s="82">
        <v>2</v>
      </c>
      <c r="AI702" s="82">
        <v>3.0000000000109139</v>
      </c>
      <c r="AJ702" s="166">
        <v>1.10423</v>
      </c>
      <c r="AK702" s="82">
        <v>1.1041300000000001</v>
      </c>
      <c r="AL702" s="162">
        <v>0</v>
      </c>
      <c r="AM702" s="162">
        <v>0</v>
      </c>
      <c r="AN702" s="162">
        <v>0</v>
      </c>
      <c r="AO702" s="162">
        <v>0</v>
      </c>
      <c r="AP702" s="162">
        <v>0</v>
      </c>
      <c r="AQ702" s="162">
        <v>0</v>
      </c>
      <c r="AR702" s="710" t="str">
        <v>1613 Ripper.par</v>
      </c>
      <c r="AV702" s="82" t="str">
        <v>255,127,0</v>
      </c>
      <c r="AW702" s="947">
        <v>-13.592723484172373</v>
      </c>
      <c r="AX702" s="947">
        <v>-13.592723484172373</v>
      </c>
      <c r="AY702" s="947">
        <v>0</v>
      </c>
    </row>
    <row r="703" spans="31:51" x14ac:dyDescent="0.25">
      <c r="AE703" s="75">
        <v>1.101</v>
      </c>
      <c r="AF703" s="82">
        <v>1</v>
      </c>
      <c r="AG703" s="82">
        <v>1</v>
      </c>
      <c r="AH703" s="82">
        <v>2</v>
      </c>
      <c r="AI703" s="82">
        <v>2.999999999992724</v>
      </c>
      <c r="AJ703" s="166">
        <v>1.1012299999999999</v>
      </c>
      <c r="AK703" s="82">
        <v>1.1011299999999999</v>
      </c>
      <c r="AL703" s="162">
        <v>0</v>
      </c>
      <c r="AM703" s="162">
        <v>0</v>
      </c>
      <c r="AN703" s="162">
        <v>0</v>
      </c>
      <c r="AO703" s="162">
        <v>0</v>
      </c>
      <c r="AP703" s="162">
        <v>0</v>
      </c>
      <c r="AQ703" s="162">
        <v>0</v>
      </c>
      <c r="AR703" s="710" t="str">
        <v>1613.par</v>
      </c>
      <c r="AV703" s="82" t="str">
        <v>255,127,0</v>
      </c>
      <c r="AW703" s="947">
        <v>-18.141294048916745</v>
      </c>
      <c r="AX703" s="947">
        <v>-18.141294048916745</v>
      </c>
      <c r="AY703" s="947">
        <v>0</v>
      </c>
    </row>
    <row r="704" spans="31:51" x14ac:dyDescent="0.25">
      <c r="AE704" s="75"/>
      <c r="AF704" s="82"/>
      <c r="AG704" s="82"/>
      <c r="AH704" s="82"/>
      <c r="AI704" s="82"/>
      <c r="AJ704" s="166"/>
      <c r="AK704" s="82"/>
      <c r="AL704" s="162"/>
      <c r="AM704" s="162"/>
      <c r="AN704" s="162"/>
      <c r="AO704" s="162"/>
      <c r="AP704" s="162"/>
      <c r="AQ704" s="162"/>
      <c r="AR704" s="710"/>
      <c r="AV704" s="82"/>
      <c r="AW704" s="947"/>
      <c r="AX704" s="947"/>
      <c r="AY704" s="947"/>
    </row>
    <row r="705" spans="31:51" x14ac:dyDescent="0.25">
      <c r="AE705" s="75"/>
      <c r="AF705" s="82"/>
      <c r="AG705" s="82"/>
      <c r="AH705" s="82"/>
      <c r="AI705" s="82"/>
      <c r="AJ705" s="166"/>
      <c r="AK705" s="82"/>
      <c r="AL705" s="162"/>
      <c r="AM705" s="162"/>
      <c r="AN705" s="162"/>
      <c r="AO705" s="162"/>
      <c r="AP705" s="162"/>
      <c r="AQ705" s="162"/>
      <c r="AR705" s="710"/>
      <c r="AV705" s="82"/>
      <c r="AW705" s="947"/>
      <c r="AX705" s="947"/>
      <c r="AY705" s="947"/>
    </row>
    <row r="706" spans="31:51" x14ac:dyDescent="0.25">
      <c r="AE706" s="75"/>
      <c r="AF706" s="82"/>
      <c r="AG706" s="82"/>
      <c r="AH706" s="82"/>
      <c r="AI706" s="82"/>
      <c r="AJ706" s="166"/>
      <c r="AK706" s="82"/>
      <c r="AL706" s="162"/>
      <c r="AM706" s="162"/>
      <c r="AN706" s="162"/>
      <c r="AO706" s="162"/>
      <c r="AP706" s="162"/>
      <c r="AQ706" s="162"/>
      <c r="AR706" s="710"/>
      <c r="AV706" s="82"/>
      <c r="AW706" s="947"/>
      <c r="AX706" s="947"/>
      <c r="AY706" s="947"/>
    </row>
    <row r="707" spans="31:51" x14ac:dyDescent="0.25">
      <c r="AE707" s="75"/>
      <c r="AF707" s="82"/>
      <c r="AG707" s="82"/>
      <c r="AH707" s="82"/>
      <c r="AI707" s="82"/>
      <c r="AJ707" s="166"/>
      <c r="AK707" s="82"/>
      <c r="AL707" s="162"/>
      <c r="AM707" s="162"/>
      <c r="AN707" s="162"/>
      <c r="AO707" s="162"/>
      <c r="AP707" s="162"/>
      <c r="AQ707" s="162"/>
      <c r="AR707" s="710"/>
      <c r="AV707" s="82"/>
      <c r="AW707" s="947"/>
      <c r="AX707" s="947"/>
      <c r="AY707" s="947"/>
    </row>
    <row r="708" spans="31:51" x14ac:dyDescent="0.25">
      <c r="AE708" s="75"/>
      <c r="AF708" s="82"/>
      <c r="AG708" s="82"/>
      <c r="AH708" s="82"/>
      <c r="AI708" s="82"/>
      <c r="AJ708" s="166"/>
      <c r="AK708" s="82"/>
      <c r="AL708" s="162"/>
      <c r="AM708" s="162"/>
      <c r="AN708" s="162"/>
      <c r="AO708" s="162"/>
      <c r="AP708" s="162"/>
      <c r="AQ708" s="162"/>
      <c r="AR708" s="710"/>
      <c r="AV708" s="82"/>
      <c r="AW708" s="947"/>
      <c r="AX708" s="947"/>
      <c r="AY708" s="947"/>
    </row>
    <row r="709" spans="31:51" x14ac:dyDescent="0.25">
      <c r="AE709" s="75"/>
      <c r="AF709" s="82"/>
      <c r="AG709" s="82"/>
      <c r="AH709" s="82"/>
      <c r="AI709" s="82"/>
      <c r="AJ709" s="166"/>
      <c r="AK709" s="82"/>
      <c r="AL709" s="162"/>
      <c r="AM709" s="162"/>
      <c r="AN709" s="162"/>
      <c r="AO709" s="162"/>
      <c r="AP709" s="162"/>
      <c r="AQ709" s="162"/>
      <c r="AR709" s="710"/>
      <c r="AV709" s="82"/>
      <c r="AW709" s="947"/>
      <c r="AX709" s="947"/>
      <c r="AY709" s="947"/>
    </row>
    <row r="710" spans="31:51" x14ac:dyDescent="0.25">
      <c r="AE710" s="75"/>
      <c r="AF710" s="82"/>
      <c r="AG710" s="82"/>
      <c r="AH710" s="82"/>
      <c r="AI710" s="82"/>
      <c r="AJ710" s="166"/>
      <c r="AK710" s="82"/>
      <c r="AL710" s="162"/>
      <c r="AM710" s="162"/>
      <c r="AN710" s="162"/>
      <c r="AO710" s="162"/>
      <c r="AP710" s="162"/>
      <c r="AQ710" s="162"/>
      <c r="AR710" s="710"/>
      <c r="AV710" s="82"/>
      <c r="AW710" s="947"/>
      <c r="AX710" s="947"/>
      <c r="AY710" s="947"/>
    </row>
    <row r="711" spans="31:51" x14ac:dyDescent="0.25">
      <c r="AE711" s="75"/>
      <c r="AF711" s="82"/>
      <c r="AG711" s="82"/>
      <c r="AH711" s="82"/>
      <c r="AI711" s="82"/>
      <c r="AJ711" s="166"/>
      <c r="AK711" s="82"/>
      <c r="AL711" s="162"/>
      <c r="AM711" s="162"/>
      <c r="AN711" s="162"/>
      <c r="AO711" s="162"/>
      <c r="AP711" s="162"/>
      <c r="AQ711" s="162"/>
      <c r="AR711" s="710"/>
      <c r="AV711" s="82"/>
      <c r="AW711" s="947"/>
      <c r="AX711" s="947"/>
      <c r="AY711" s="947"/>
    </row>
    <row r="712" spans="31:51" x14ac:dyDescent="0.25">
      <c r="AE712" s="75"/>
      <c r="AF712" s="82"/>
      <c r="AG712" s="82"/>
      <c r="AH712" s="82"/>
      <c r="AI712" s="82"/>
      <c r="AJ712" s="166"/>
      <c r="AK712" s="82"/>
      <c r="AL712" s="162"/>
      <c r="AM712" s="162"/>
      <c r="AN712" s="162"/>
      <c r="AO712" s="162"/>
      <c r="AP712" s="162"/>
      <c r="AQ712" s="162"/>
      <c r="AR712" s="710"/>
      <c r="AV712" s="82"/>
      <c r="AW712" s="947"/>
      <c r="AX712" s="947"/>
      <c r="AY712" s="947"/>
    </row>
    <row r="713" spans="31:51" x14ac:dyDescent="0.25">
      <c r="AE713" s="75"/>
      <c r="AF713" s="82"/>
      <c r="AG713" s="82"/>
      <c r="AH713" s="82"/>
      <c r="AI713" s="82"/>
      <c r="AJ713" s="166"/>
      <c r="AK713" s="82"/>
      <c r="AL713" s="162"/>
      <c r="AM713" s="162"/>
      <c r="AN713" s="162"/>
      <c r="AO713" s="162"/>
      <c r="AP713" s="162"/>
      <c r="AQ713" s="162"/>
      <c r="AR713" s="710"/>
      <c r="AV713" s="82"/>
      <c r="AW713" s="947"/>
      <c r="AX713" s="947"/>
      <c r="AY713" s="947"/>
    </row>
    <row r="714" spans="31:51" x14ac:dyDescent="0.25">
      <c r="AE714" s="75"/>
      <c r="AF714" s="82"/>
      <c r="AG714" s="82"/>
      <c r="AH714" s="82"/>
      <c r="AI714" s="82"/>
      <c r="AJ714" s="166"/>
      <c r="AK714" s="82"/>
      <c r="AL714" s="162"/>
      <c r="AM714" s="162"/>
      <c r="AN714" s="162"/>
      <c r="AO714" s="162"/>
      <c r="AP714" s="162"/>
      <c r="AQ714" s="162"/>
      <c r="AR714" s="710"/>
      <c r="AV714" s="82"/>
      <c r="AW714" s="947"/>
      <c r="AX714" s="947"/>
      <c r="AY714" s="947"/>
    </row>
    <row r="715" spans="31:51" x14ac:dyDescent="0.25">
      <c r="AE715" s="75"/>
      <c r="AF715" s="82"/>
      <c r="AG715" s="82"/>
      <c r="AH715" s="82"/>
      <c r="AI715" s="82"/>
      <c r="AJ715" s="166"/>
      <c r="AK715" s="82"/>
      <c r="AL715" s="162"/>
      <c r="AM715" s="162"/>
      <c r="AN715" s="162"/>
      <c r="AO715" s="162"/>
      <c r="AP715" s="162"/>
      <c r="AQ715" s="162"/>
      <c r="AR715" s="710"/>
      <c r="AV715" s="82"/>
      <c r="AW715" s="947"/>
      <c r="AX715" s="947"/>
      <c r="AY715" s="947"/>
    </row>
    <row r="716" spans="31:51" x14ac:dyDescent="0.25">
      <c r="AE716" s="75"/>
      <c r="AF716" s="82"/>
      <c r="AG716" s="82"/>
      <c r="AH716" s="82"/>
      <c r="AI716" s="82"/>
      <c r="AJ716" s="166"/>
      <c r="AK716" s="82"/>
      <c r="AL716" s="162"/>
      <c r="AM716" s="162"/>
      <c r="AN716" s="162"/>
      <c r="AO716" s="162"/>
      <c r="AP716" s="162"/>
      <c r="AQ716" s="162"/>
      <c r="AR716" s="710"/>
      <c r="AV716" s="82"/>
      <c r="AW716" s="947"/>
      <c r="AX716" s="947"/>
      <c r="AY716" s="947"/>
    </row>
    <row r="717" spans="31:51" x14ac:dyDescent="0.25">
      <c r="AE717" s="75"/>
      <c r="AF717" s="82"/>
      <c r="AG717" s="82"/>
      <c r="AH717" s="82"/>
      <c r="AI717" s="82"/>
      <c r="AJ717" s="166"/>
      <c r="AK717" s="82"/>
      <c r="AL717" s="162"/>
      <c r="AM717" s="162"/>
      <c r="AN717" s="162"/>
      <c r="AO717" s="162"/>
      <c r="AP717" s="162"/>
      <c r="AQ717" s="162"/>
      <c r="AR717" s="710"/>
      <c r="AV717" s="82"/>
      <c r="AW717" s="947"/>
      <c r="AX717" s="947"/>
      <c r="AY717" s="947"/>
    </row>
    <row r="718" spans="31:51" x14ac:dyDescent="0.25">
      <c r="AE718" s="75"/>
      <c r="AF718" s="82"/>
      <c r="AG718" s="82"/>
      <c r="AH718" s="82"/>
      <c r="AI718" s="82"/>
      <c r="AJ718" s="166"/>
      <c r="AK718" s="82"/>
      <c r="AL718" s="162"/>
      <c r="AM718" s="162"/>
      <c r="AN718" s="162"/>
      <c r="AO718" s="162"/>
      <c r="AP718" s="162"/>
      <c r="AQ718" s="162"/>
      <c r="AR718" s="710"/>
      <c r="AV718" s="82"/>
      <c r="AW718" s="947"/>
      <c r="AX718" s="947"/>
      <c r="AY718" s="947"/>
    </row>
    <row r="719" spans="31:51" x14ac:dyDescent="0.25">
      <c r="AE719" s="75"/>
      <c r="AF719" s="82"/>
      <c r="AG719" s="82"/>
      <c r="AH719" s="82"/>
      <c r="AI719" s="82"/>
      <c r="AJ719" s="166"/>
      <c r="AK719" s="82"/>
      <c r="AL719" s="162"/>
      <c r="AM719" s="162"/>
      <c r="AN719" s="162"/>
      <c r="AO719" s="162"/>
      <c r="AP719" s="162"/>
      <c r="AQ719" s="162"/>
      <c r="AR719" s="710"/>
      <c r="AV719" s="82"/>
      <c r="AW719" s="947"/>
      <c r="AX719" s="947"/>
      <c r="AY719" s="947"/>
    </row>
    <row r="720" spans="31:51" x14ac:dyDescent="0.25">
      <c r="AE720" s="75"/>
      <c r="AF720" s="82"/>
      <c r="AG720" s="82"/>
      <c r="AH720" s="82"/>
      <c r="AI720" s="82"/>
      <c r="AJ720" s="166"/>
      <c r="AK720" s="82"/>
      <c r="AL720" s="162"/>
      <c r="AM720" s="162"/>
      <c r="AN720" s="162"/>
      <c r="AO720" s="162"/>
      <c r="AP720" s="162"/>
      <c r="AQ720" s="162"/>
      <c r="AR720" s="710"/>
      <c r="AV720" s="82"/>
      <c r="AW720" s="947"/>
      <c r="AX720" s="947"/>
      <c r="AY720" s="947"/>
    </row>
    <row r="721" spans="31:51" x14ac:dyDescent="0.25">
      <c r="AE721" s="75"/>
      <c r="AF721" s="82"/>
      <c r="AG721" s="82"/>
      <c r="AH721" s="82"/>
      <c r="AI721" s="82"/>
      <c r="AJ721" s="166"/>
      <c r="AK721" s="82"/>
      <c r="AL721" s="162"/>
      <c r="AM721" s="162"/>
      <c r="AN721" s="162"/>
      <c r="AO721" s="162"/>
      <c r="AP721" s="162"/>
      <c r="AQ721" s="162"/>
      <c r="AR721" s="710"/>
      <c r="AV721" s="82"/>
      <c r="AW721" s="947"/>
      <c r="AX721" s="947"/>
      <c r="AY721" s="947"/>
    </row>
    <row r="722" spans="31:51" x14ac:dyDescent="0.25">
      <c r="AE722" s="75"/>
      <c r="AF722" s="82"/>
      <c r="AG722" s="82"/>
      <c r="AH722" s="82"/>
      <c r="AI722" s="82"/>
      <c r="AJ722" s="166"/>
      <c r="AK722" s="82"/>
      <c r="AL722" s="162"/>
      <c r="AM722" s="162"/>
      <c r="AN722" s="162"/>
      <c r="AO722" s="162"/>
      <c r="AP722" s="162"/>
      <c r="AQ722" s="162"/>
      <c r="AR722" s="710"/>
      <c r="AV722" s="82"/>
      <c r="AW722" s="947"/>
      <c r="AX722" s="947"/>
      <c r="AY722" s="947"/>
    </row>
    <row r="723" spans="31:51" x14ac:dyDescent="0.25">
      <c r="AE723" s="75"/>
      <c r="AF723" s="82"/>
      <c r="AG723" s="82"/>
      <c r="AH723" s="82"/>
      <c r="AI723" s="82"/>
      <c r="AJ723" s="166"/>
      <c r="AK723" s="82"/>
      <c r="AL723" s="162"/>
      <c r="AM723" s="162"/>
      <c r="AN723" s="162"/>
      <c r="AO723" s="162"/>
      <c r="AP723" s="162"/>
      <c r="AQ723" s="162"/>
      <c r="AR723" s="710"/>
      <c r="AV723" s="82"/>
      <c r="AW723" s="947"/>
      <c r="AX723" s="947"/>
      <c r="AY723" s="947"/>
    </row>
    <row r="724" spans="31:51" x14ac:dyDescent="0.25">
      <c r="AE724" s="75"/>
      <c r="AF724" s="82"/>
      <c r="AG724" s="82"/>
      <c r="AH724" s="82"/>
      <c r="AI724" s="82"/>
      <c r="AJ724" s="166"/>
      <c r="AK724" s="82"/>
      <c r="AL724" s="162"/>
      <c r="AM724" s="162"/>
      <c r="AN724" s="162"/>
      <c r="AO724" s="162"/>
      <c r="AP724" s="162"/>
      <c r="AQ724" s="162"/>
      <c r="AR724" s="710"/>
      <c r="AV724" s="82"/>
      <c r="AW724" s="947"/>
      <c r="AX724" s="947"/>
      <c r="AY724" s="947"/>
    </row>
    <row r="725" spans="31:51" x14ac:dyDescent="0.25">
      <c r="AE725" s="75"/>
      <c r="AF725" s="82"/>
      <c r="AG725" s="82"/>
      <c r="AH725" s="82"/>
      <c r="AI725" s="82"/>
      <c r="AJ725" s="166"/>
      <c r="AK725" s="82"/>
      <c r="AL725" s="162"/>
      <c r="AM725" s="162"/>
      <c r="AN725" s="162"/>
      <c r="AO725" s="162"/>
      <c r="AP725" s="162"/>
      <c r="AQ725" s="162"/>
      <c r="AR725" s="710"/>
      <c r="AV725" s="82"/>
      <c r="AW725" s="947"/>
      <c r="AX725" s="947"/>
      <c r="AY725" s="947"/>
    </row>
    <row r="726" spans="31:51" x14ac:dyDescent="0.25">
      <c r="AE726" s="75"/>
      <c r="AF726" s="82"/>
      <c r="AG726" s="82"/>
      <c r="AH726" s="82"/>
      <c r="AI726" s="82"/>
      <c r="AJ726" s="166"/>
      <c r="AK726" s="82"/>
      <c r="AL726" s="162"/>
      <c r="AM726" s="162"/>
      <c r="AN726" s="162"/>
      <c r="AO726" s="162"/>
      <c r="AP726" s="162"/>
      <c r="AQ726" s="162"/>
      <c r="AR726" s="710"/>
      <c r="AV726" s="82"/>
      <c r="AW726" s="947"/>
      <c r="AX726" s="947"/>
      <c r="AY726" s="947"/>
    </row>
    <row r="727" spans="31:51" x14ac:dyDescent="0.25">
      <c r="AE727" s="75"/>
      <c r="AF727" s="82"/>
      <c r="AG727" s="82"/>
      <c r="AH727" s="82"/>
      <c r="AI727" s="82"/>
      <c r="AJ727" s="166"/>
      <c r="AK727" s="82"/>
      <c r="AL727" s="162"/>
      <c r="AM727" s="162"/>
      <c r="AN727" s="162"/>
      <c r="AO727" s="162"/>
      <c r="AP727" s="162"/>
      <c r="AQ727" s="162"/>
      <c r="AR727" s="710"/>
      <c r="AV727" s="82"/>
      <c r="AW727" s="947"/>
      <c r="AX727" s="947"/>
      <c r="AY727" s="947"/>
    </row>
    <row r="728" spans="31:51" x14ac:dyDescent="0.25">
      <c r="AE728" s="75"/>
      <c r="AF728" s="82"/>
      <c r="AG728" s="82"/>
      <c r="AH728" s="82"/>
      <c r="AI728" s="82"/>
      <c r="AJ728" s="166"/>
      <c r="AK728" s="82"/>
      <c r="AL728" s="162"/>
      <c r="AM728" s="162"/>
      <c r="AN728" s="162"/>
      <c r="AO728" s="162"/>
      <c r="AP728" s="162"/>
      <c r="AQ728" s="162"/>
      <c r="AR728" s="710"/>
      <c r="AV728" s="82"/>
      <c r="AW728" s="947"/>
      <c r="AX728" s="947"/>
      <c r="AY728" s="947"/>
    </row>
    <row r="729" spans="31:51" x14ac:dyDescent="0.25">
      <c r="AE729" s="75"/>
      <c r="AF729" s="82"/>
      <c r="AG729" s="82"/>
      <c r="AH729" s="82"/>
      <c r="AI729" s="82"/>
      <c r="AJ729" s="166"/>
      <c r="AK729" s="82"/>
      <c r="AL729" s="162"/>
      <c r="AM729" s="162"/>
      <c r="AN729" s="162"/>
      <c r="AO729" s="162"/>
      <c r="AP729" s="162"/>
      <c r="AQ729" s="162"/>
      <c r="AR729" s="710"/>
      <c r="AV729" s="82"/>
      <c r="AW729" s="947"/>
      <c r="AX729" s="947"/>
      <c r="AY729" s="947"/>
    </row>
    <row r="730" spans="31:51" x14ac:dyDescent="0.25">
      <c r="AE730" s="75"/>
      <c r="AF730" s="82"/>
      <c r="AG730" s="82"/>
      <c r="AH730" s="82"/>
      <c r="AI730" s="82"/>
      <c r="AJ730" s="166"/>
      <c r="AK730" s="82"/>
      <c r="AL730" s="162"/>
      <c r="AM730" s="162"/>
      <c r="AN730" s="162"/>
      <c r="AO730" s="162"/>
      <c r="AP730" s="162"/>
      <c r="AQ730" s="162"/>
      <c r="AR730" s="710"/>
      <c r="AV730" s="82"/>
      <c r="AW730" s="947"/>
      <c r="AX730" s="947"/>
      <c r="AY730" s="947"/>
    </row>
    <row r="731" spans="31:51" x14ac:dyDescent="0.25">
      <c r="AE731" s="75"/>
      <c r="AF731" s="82"/>
      <c r="AG731" s="82"/>
      <c r="AH731" s="82"/>
      <c r="AI731" s="82"/>
      <c r="AJ731" s="166"/>
      <c r="AK731" s="82"/>
      <c r="AL731" s="162"/>
      <c r="AM731" s="162"/>
      <c r="AN731" s="162"/>
      <c r="AO731" s="162"/>
      <c r="AP731" s="162"/>
      <c r="AQ731" s="162"/>
      <c r="AR731" s="710"/>
      <c r="AV731" s="82"/>
      <c r="AW731" s="947"/>
      <c r="AX731" s="947"/>
      <c r="AY731" s="947"/>
    </row>
    <row r="732" spans="31:51" x14ac:dyDescent="0.25">
      <c r="AE732" s="75"/>
      <c r="AF732" s="82"/>
      <c r="AG732" s="82"/>
      <c r="AH732" s="82"/>
      <c r="AI732" s="82"/>
      <c r="AJ732" s="166"/>
      <c r="AK732" s="82"/>
      <c r="AL732" s="162"/>
      <c r="AM732" s="162"/>
      <c r="AN732" s="162"/>
      <c r="AO732" s="162"/>
      <c r="AP732" s="162"/>
      <c r="AQ732" s="162"/>
      <c r="AR732" s="710"/>
      <c r="AV732" s="82"/>
      <c r="AW732" s="947"/>
      <c r="AX732" s="947"/>
      <c r="AY732" s="947"/>
    </row>
    <row r="733" spans="31:51" x14ac:dyDescent="0.25">
      <c r="AE733" s="75"/>
      <c r="AF733" s="82"/>
      <c r="AG733" s="82"/>
      <c r="AH733" s="82"/>
      <c r="AI733" s="82"/>
      <c r="AJ733" s="166"/>
      <c r="AK733" s="82"/>
      <c r="AL733" s="162"/>
      <c r="AM733" s="162"/>
      <c r="AN733" s="162"/>
      <c r="AO733" s="162"/>
      <c r="AP733" s="162"/>
      <c r="AQ733" s="162"/>
      <c r="AR733" s="710"/>
      <c r="AV733" s="82"/>
      <c r="AW733" s="947"/>
      <c r="AX733" s="947"/>
      <c r="AY733" s="947"/>
    </row>
    <row r="734" spans="31:51" x14ac:dyDescent="0.25">
      <c r="AE734" s="75"/>
      <c r="AF734" s="82"/>
      <c r="AG734" s="82"/>
      <c r="AH734" s="82"/>
      <c r="AI734" s="82"/>
      <c r="AJ734" s="166"/>
      <c r="AK734" s="82"/>
      <c r="AL734" s="162"/>
      <c r="AM734" s="162"/>
      <c r="AN734" s="162"/>
      <c r="AO734" s="162"/>
      <c r="AP734" s="162"/>
      <c r="AQ734" s="162"/>
      <c r="AR734" s="710"/>
      <c r="AV734" s="82"/>
      <c r="AW734" s="947"/>
      <c r="AX734" s="947"/>
      <c r="AY734" s="947"/>
    </row>
    <row r="735" spans="31:51" x14ac:dyDescent="0.25">
      <c r="AE735" s="75"/>
      <c r="AF735" s="82"/>
      <c r="AG735" s="82"/>
      <c r="AH735" s="82"/>
      <c r="AI735" s="82"/>
      <c r="AJ735" s="166"/>
      <c r="AK735" s="82"/>
      <c r="AL735" s="162"/>
      <c r="AM735" s="162"/>
      <c r="AN735" s="162"/>
      <c r="AO735" s="162"/>
      <c r="AP735" s="162"/>
      <c r="AQ735" s="162"/>
      <c r="AR735" s="710"/>
      <c r="AV735" s="82"/>
      <c r="AW735" s="947"/>
      <c r="AX735" s="947"/>
      <c r="AY735" s="947"/>
    </row>
    <row r="736" spans="31:51" x14ac:dyDescent="0.25">
      <c r="AE736" s="75"/>
      <c r="AF736" s="82"/>
      <c r="AG736" s="82"/>
      <c r="AH736" s="82"/>
      <c r="AI736" s="82"/>
      <c r="AJ736" s="166"/>
      <c r="AK736" s="82"/>
      <c r="AL736" s="162"/>
      <c r="AM736" s="162"/>
      <c r="AN736" s="162"/>
      <c r="AO736" s="162"/>
      <c r="AP736" s="162"/>
      <c r="AQ736" s="162"/>
      <c r="AR736" s="710"/>
      <c r="AV736" s="82"/>
      <c r="AW736" s="947"/>
      <c r="AX736" s="947"/>
      <c r="AY736" s="947"/>
    </row>
    <row r="737" spans="31:51" x14ac:dyDescent="0.25">
      <c r="AE737" s="75"/>
      <c r="AF737" s="82"/>
      <c r="AG737" s="82"/>
      <c r="AH737" s="82"/>
      <c r="AI737" s="82"/>
      <c r="AJ737" s="166"/>
      <c r="AK737" s="82"/>
      <c r="AL737" s="162"/>
      <c r="AM737" s="162"/>
      <c r="AN737" s="162"/>
      <c r="AO737" s="162"/>
      <c r="AP737" s="162"/>
      <c r="AQ737" s="162"/>
      <c r="AR737" s="710"/>
      <c r="AV737" s="82"/>
      <c r="AW737" s="947"/>
      <c r="AX737" s="947"/>
      <c r="AY737" s="947"/>
    </row>
    <row r="738" spans="31:51" x14ac:dyDescent="0.25">
      <c r="AE738" s="75"/>
      <c r="AF738" s="82"/>
      <c r="AG738" s="82"/>
      <c r="AH738" s="82"/>
      <c r="AI738" s="82"/>
      <c r="AJ738" s="166"/>
      <c r="AK738" s="82"/>
      <c r="AL738" s="162"/>
      <c r="AM738" s="162"/>
      <c r="AN738" s="162"/>
      <c r="AO738" s="162"/>
      <c r="AP738" s="162"/>
      <c r="AQ738" s="162"/>
      <c r="AR738" s="710"/>
      <c r="AV738" s="82"/>
      <c r="AW738" s="947"/>
      <c r="AX738" s="947"/>
      <c r="AY738" s="947"/>
    </row>
    <row r="739" spans="31:51" x14ac:dyDescent="0.25">
      <c r="AE739" s="75"/>
      <c r="AF739" s="82"/>
      <c r="AG739" s="82"/>
      <c r="AH739" s="82"/>
      <c r="AI739" s="82"/>
      <c r="AJ739" s="166"/>
      <c r="AK739" s="82"/>
      <c r="AL739" s="162"/>
      <c r="AM739" s="162"/>
      <c r="AN739" s="162"/>
      <c r="AO739" s="162"/>
      <c r="AP739" s="162"/>
      <c r="AQ739" s="162"/>
      <c r="AR739" s="710"/>
      <c r="AV739" s="82"/>
      <c r="AW739" s="947"/>
      <c r="AX739" s="947"/>
      <c r="AY739" s="947"/>
    </row>
    <row r="740" spans="31:51" x14ac:dyDescent="0.25">
      <c r="AE740" s="75"/>
      <c r="AF740" s="82"/>
      <c r="AG740" s="82"/>
      <c r="AH740" s="82"/>
      <c r="AI740" s="82"/>
      <c r="AJ740" s="166"/>
      <c r="AK740" s="82"/>
      <c r="AL740" s="162"/>
      <c r="AM740" s="162"/>
      <c r="AN740" s="162"/>
      <c r="AO740" s="162"/>
      <c r="AP740" s="162"/>
      <c r="AQ740" s="162"/>
      <c r="AR740" s="710"/>
      <c r="AV740" s="82"/>
      <c r="AW740" s="947"/>
      <c r="AX740" s="947"/>
      <c r="AY740" s="947"/>
    </row>
    <row r="741" spans="31:51" x14ac:dyDescent="0.25">
      <c r="AE741" s="75"/>
      <c r="AF741" s="82"/>
      <c r="AG741" s="82"/>
      <c r="AH741" s="82"/>
      <c r="AI741" s="82"/>
      <c r="AJ741" s="166"/>
      <c r="AK741" s="82"/>
      <c r="AL741" s="162"/>
      <c r="AM741" s="162"/>
      <c r="AN741" s="162"/>
      <c r="AO741" s="162"/>
      <c r="AP741" s="162"/>
      <c r="AQ741" s="162"/>
      <c r="AR741" s="710"/>
      <c r="AV741" s="82"/>
      <c r="AW741" s="947"/>
      <c r="AX741" s="947"/>
      <c r="AY741" s="947"/>
    </row>
    <row r="742" spans="31:51" x14ac:dyDescent="0.25">
      <c r="AE742" s="75"/>
      <c r="AF742" s="82"/>
      <c r="AG742" s="82"/>
      <c r="AH742" s="82"/>
      <c r="AI742" s="82"/>
      <c r="AJ742" s="166"/>
      <c r="AK742" s="82"/>
      <c r="AL742" s="162"/>
      <c r="AM742" s="162"/>
      <c r="AN742" s="162"/>
      <c r="AO742" s="162"/>
      <c r="AP742" s="162"/>
      <c r="AQ742" s="162"/>
      <c r="AR742" s="710"/>
      <c r="AV742" s="82"/>
      <c r="AW742" s="947"/>
      <c r="AX742" s="947"/>
      <c r="AY742" s="947"/>
    </row>
    <row r="743" spans="31:51" x14ac:dyDescent="0.25">
      <c r="AE743" s="75"/>
      <c r="AF743" s="82"/>
      <c r="AG743" s="82"/>
      <c r="AH743" s="82"/>
      <c r="AI743" s="82"/>
      <c r="AJ743" s="166"/>
      <c r="AK743" s="82"/>
      <c r="AL743" s="162"/>
      <c r="AM743" s="162"/>
      <c r="AN743" s="162"/>
      <c r="AO743" s="162"/>
      <c r="AP743" s="162"/>
      <c r="AQ743" s="162"/>
      <c r="AR743" s="710"/>
      <c r="AV743" s="82"/>
      <c r="AW743" s="947"/>
      <c r="AX743" s="947"/>
      <c r="AY743" s="947"/>
    </row>
    <row r="744" spans="31:51" x14ac:dyDescent="0.25">
      <c r="AE744" s="75"/>
      <c r="AF744" s="82"/>
      <c r="AG744" s="82"/>
      <c r="AH744" s="82"/>
      <c r="AI744" s="82"/>
      <c r="AJ744" s="166"/>
      <c r="AK744" s="82"/>
      <c r="AL744" s="162"/>
      <c r="AM744" s="162"/>
      <c r="AN744" s="162"/>
      <c r="AO744" s="162"/>
      <c r="AP744" s="162"/>
      <c r="AQ744" s="162"/>
      <c r="AR744" s="710"/>
      <c r="AV744" s="82"/>
      <c r="AW744" s="947"/>
      <c r="AX744" s="947"/>
      <c r="AY744" s="947"/>
    </row>
    <row r="745" spans="31:51" x14ac:dyDescent="0.25">
      <c r="AE745" s="75"/>
      <c r="AF745" s="82"/>
      <c r="AG745" s="82"/>
      <c r="AH745" s="82"/>
      <c r="AI745" s="82"/>
      <c r="AJ745" s="166"/>
      <c r="AK745" s="82"/>
      <c r="AL745" s="162"/>
      <c r="AM745" s="162"/>
      <c r="AN745" s="162"/>
      <c r="AO745" s="162"/>
      <c r="AP745" s="162"/>
      <c r="AQ745" s="162"/>
      <c r="AR745" s="710"/>
      <c r="AV745" s="82"/>
      <c r="AW745" s="947"/>
      <c r="AX745" s="947"/>
      <c r="AY745" s="947"/>
    </row>
    <row r="746" spans="31:51" x14ac:dyDescent="0.25">
      <c r="AE746" s="75"/>
      <c r="AF746" s="82"/>
      <c r="AG746" s="82"/>
      <c r="AH746" s="82"/>
      <c r="AI746" s="82"/>
      <c r="AJ746" s="166"/>
      <c r="AK746" s="82"/>
      <c r="AL746" s="162"/>
      <c r="AM746" s="162"/>
      <c r="AN746" s="162"/>
      <c r="AO746" s="162"/>
      <c r="AP746" s="162"/>
      <c r="AQ746" s="162"/>
      <c r="AR746" s="710"/>
      <c r="AV746" s="82"/>
      <c r="AW746" s="947"/>
      <c r="AX746" s="947"/>
      <c r="AY746" s="947"/>
    </row>
    <row r="747" spans="31:51" x14ac:dyDescent="0.25">
      <c r="AE747" s="75"/>
      <c r="AF747" s="82"/>
      <c r="AG747" s="82"/>
      <c r="AH747" s="82"/>
      <c r="AI747" s="82"/>
      <c r="AJ747" s="166"/>
      <c r="AK747" s="82"/>
      <c r="AL747" s="162"/>
      <c r="AM747" s="162"/>
      <c r="AN747" s="162"/>
      <c r="AO747" s="162"/>
      <c r="AP747" s="162"/>
      <c r="AQ747" s="162"/>
      <c r="AR747" s="710"/>
      <c r="AV747" s="82"/>
      <c r="AW747" s="947"/>
      <c r="AX747" s="947"/>
      <c r="AY747" s="947"/>
    </row>
    <row r="748" spans="31:51" x14ac:dyDescent="0.25">
      <c r="AE748" s="75"/>
      <c r="AF748" s="82"/>
      <c r="AG748" s="82"/>
      <c r="AH748" s="82"/>
      <c r="AI748" s="82"/>
      <c r="AJ748" s="166"/>
      <c r="AK748" s="82"/>
      <c r="AL748" s="162"/>
      <c r="AM748" s="162"/>
      <c r="AN748" s="162"/>
      <c r="AO748" s="162"/>
      <c r="AP748" s="162"/>
      <c r="AQ748" s="162"/>
      <c r="AR748" s="710"/>
      <c r="AV748" s="82"/>
      <c r="AW748" s="947"/>
      <c r="AX748" s="947"/>
      <c r="AY748" s="947"/>
    </row>
    <row r="749" spans="31:51" x14ac:dyDescent="0.25">
      <c r="AE749" s="75"/>
      <c r="AF749" s="82"/>
      <c r="AG749" s="82"/>
      <c r="AH749" s="82"/>
      <c r="AI749" s="82"/>
      <c r="AJ749" s="166"/>
      <c r="AK749" s="82"/>
      <c r="AL749" s="162"/>
      <c r="AM749" s="162"/>
      <c r="AN749" s="162"/>
      <c r="AO749" s="162"/>
      <c r="AP749" s="162"/>
      <c r="AQ749" s="162"/>
      <c r="AR749" s="710"/>
      <c r="AV749" s="82"/>
      <c r="AW749" s="947"/>
      <c r="AX749" s="947"/>
      <c r="AY749" s="947"/>
    </row>
    <row r="750" spans="31:51" x14ac:dyDescent="0.25">
      <c r="AE750" s="75"/>
      <c r="AF750" s="82"/>
      <c r="AG750" s="82"/>
      <c r="AH750" s="82"/>
      <c r="AI750" s="82"/>
      <c r="AJ750" s="166"/>
      <c r="AK750" s="82"/>
      <c r="AL750" s="162"/>
      <c r="AM750" s="162"/>
      <c r="AN750" s="162"/>
      <c r="AO750" s="162"/>
      <c r="AP750" s="162"/>
      <c r="AQ750" s="162"/>
      <c r="AR750" s="710"/>
      <c r="AV750" s="82"/>
      <c r="AW750" s="947"/>
      <c r="AX750" s="947"/>
      <c r="AY750" s="947"/>
    </row>
    <row r="751" spans="31:51" x14ac:dyDescent="0.25">
      <c r="AE751" s="75"/>
      <c r="AF751" s="82"/>
      <c r="AG751" s="82"/>
      <c r="AH751" s="82"/>
      <c r="AI751" s="82"/>
      <c r="AJ751" s="166"/>
      <c r="AK751" s="82"/>
      <c r="AL751" s="162"/>
      <c r="AM751" s="162"/>
      <c r="AN751" s="162"/>
      <c r="AO751" s="162"/>
      <c r="AP751" s="162"/>
      <c r="AQ751" s="162"/>
      <c r="AR751" s="710"/>
      <c r="AV751" s="82"/>
      <c r="AW751" s="947"/>
      <c r="AX751" s="947"/>
      <c r="AY751" s="947"/>
    </row>
    <row r="752" spans="31:51" x14ac:dyDescent="0.25">
      <c r="AE752" s="75"/>
      <c r="AF752" s="82"/>
      <c r="AG752" s="82"/>
      <c r="AH752" s="82"/>
      <c r="AI752" s="82"/>
      <c r="AJ752" s="166"/>
      <c r="AK752" s="82"/>
      <c r="AL752" s="162"/>
      <c r="AM752" s="162"/>
      <c r="AN752" s="162"/>
      <c r="AO752" s="162"/>
      <c r="AP752" s="162"/>
      <c r="AQ752" s="162"/>
      <c r="AR752" s="710"/>
      <c r="AV752" s="82"/>
      <c r="AW752" s="947"/>
      <c r="AX752" s="947"/>
      <c r="AY752" s="947"/>
    </row>
    <row r="753" spans="31:51" x14ac:dyDescent="0.25">
      <c r="AE753" s="75"/>
      <c r="AF753" s="82"/>
      <c r="AG753" s="82"/>
      <c r="AH753" s="82"/>
      <c r="AI753" s="82"/>
      <c r="AJ753" s="166"/>
      <c r="AK753" s="82"/>
      <c r="AL753" s="162"/>
      <c r="AM753" s="162"/>
      <c r="AN753" s="162"/>
      <c r="AO753" s="162"/>
      <c r="AP753" s="162"/>
      <c r="AQ753" s="162"/>
      <c r="AR753" s="710"/>
      <c r="AV753" s="82"/>
      <c r="AW753" s="947"/>
      <c r="AX753" s="947"/>
      <c r="AY753" s="947"/>
    </row>
    <row r="754" spans="31:51" x14ac:dyDescent="0.25">
      <c r="AE754" s="75"/>
      <c r="AF754" s="82"/>
      <c r="AG754" s="82"/>
      <c r="AH754" s="82"/>
      <c r="AI754" s="82"/>
      <c r="AJ754" s="166"/>
      <c r="AK754" s="82"/>
      <c r="AL754" s="162"/>
      <c r="AM754" s="162"/>
      <c r="AN754" s="162"/>
      <c r="AO754" s="162"/>
      <c r="AP754" s="162"/>
      <c r="AQ754" s="162"/>
      <c r="AR754" s="710"/>
      <c r="AV754" s="82"/>
      <c r="AW754" s="947"/>
      <c r="AX754" s="947"/>
      <c r="AY754" s="947"/>
    </row>
    <row r="755" spans="31:51" x14ac:dyDescent="0.25">
      <c r="AE755" s="75"/>
      <c r="AF755" s="82"/>
      <c r="AG755" s="82"/>
      <c r="AH755" s="82"/>
      <c r="AI755" s="82"/>
      <c r="AJ755" s="166"/>
      <c r="AK755" s="82"/>
      <c r="AL755" s="162"/>
      <c r="AM755" s="162"/>
      <c r="AN755" s="162"/>
      <c r="AO755" s="162"/>
      <c r="AP755" s="162"/>
      <c r="AQ755" s="162"/>
      <c r="AR755" s="710"/>
      <c r="AV755" s="82"/>
      <c r="AW755" s="947"/>
      <c r="AX755" s="947"/>
      <c r="AY755" s="947"/>
    </row>
    <row r="756" spans="31:51" x14ac:dyDescent="0.25">
      <c r="AE756" s="75"/>
      <c r="AF756" s="82"/>
      <c r="AG756" s="82"/>
      <c r="AH756" s="82"/>
      <c r="AI756" s="82"/>
      <c r="AJ756" s="166"/>
      <c r="AK756" s="82"/>
      <c r="AL756" s="162"/>
      <c r="AM756" s="162"/>
      <c r="AN756" s="162"/>
      <c r="AO756" s="162"/>
      <c r="AP756" s="162"/>
      <c r="AQ756" s="162"/>
      <c r="AR756" s="710"/>
      <c r="AV756" s="82"/>
      <c r="AW756" s="947"/>
      <c r="AX756" s="947"/>
      <c r="AY756" s="947"/>
    </row>
    <row r="757" spans="31:51" x14ac:dyDescent="0.25">
      <c r="AE757" s="75"/>
      <c r="AF757" s="82"/>
      <c r="AG757" s="82"/>
      <c r="AH757" s="82"/>
      <c r="AI757" s="82"/>
      <c r="AJ757" s="166"/>
      <c r="AK757" s="82"/>
      <c r="AL757" s="162"/>
      <c r="AM757" s="162"/>
      <c r="AN757" s="162"/>
      <c r="AO757" s="162"/>
      <c r="AP757" s="162"/>
      <c r="AQ757" s="162"/>
      <c r="AR757" s="710"/>
      <c r="AV757" s="82"/>
      <c r="AW757" s="947"/>
      <c r="AX757" s="947"/>
      <c r="AY757" s="947"/>
    </row>
    <row r="758" spans="31:51" x14ac:dyDescent="0.25">
      <c r="AE758" s="75"/>
      <c r="AF758" s="82"/>
      <c r="AG758" s="82"/>
      <c r="AH758" s="82"/>
      <c r="AI758" s="82"/>
      <c r="AJ758" s="166"/>
      <c r="AK758" s="82"/>
      <c r="AL758" s="162"/>
      <c r="AM758" s="162"/>
      <c r="AN758" s="162"/>
      <c r="AO758" s="162"/>
      <c r="AP758" s="162"/>
      <c r="AQ758" s="162"/>
      <c r="AR758" s="710"/>
      <c r="AV758" s="82"/>
      <c r="AW758" s="947"/>
      <c r="AX758" s="947"/>
      <c r="AY758" s="947"/>
    </row>
    <row r="759" spans="31:51" x14ac:dyDescent="0.25">
      <c r="AE759" s="75"/>
      <c r="AF759" s="82"/>
      <c r="AG759" s="82"/>
      <c r="AH759" s="82"/>
      <c r="AI759" s="82"/>
      <c r="AJ759" s="166"/>
      <c r="AK759" s="82"/>
      <c r="AL759" s="162"/>
      <c r="AM759" s="162"/>
      <c r="AN759" s="162"/>
      <c r="AO759" s="162"/>
      <c r="AP759" s="162"/>
      <c r="AQ759" s="162"/>
      <c r="AR759" s="710"/>
      <c r="AV759" s="82"/>
      <c r="AW759" s="947"/>
      <c r="AX759" s="947"/>
      <c r="AY759" s="947"/>
    </row>
    <row r="760" spans="31:51" x14ac:dyDescent="0.25">
      <c r="AE760" s="75"/>
      <c r="AF760" s="82"/>
      <c r="AG760" s="82"/>
      <c r="AH760" s="82"/>
      <c r="AI760" s="82"/>
      <c r="AJ760" s="166"/>
      <c r="AK760" s="82"/>
      <c r="AL760" s="162"/>
      <c r="AM760" s="162"/>
      <c r="AN760" s="162"/>
      <c r="AO760" s="162"/>
      <c r="AP760" s="162"/>
      <c r="AQ760" s="162"/>
      <c r="AR760" s="710"/>
      <c r="AV760" s="82"/>
      <c r="AW760" s="947"/>
      <c r="AX760" s="947"/>
      <c r="AY760" s="947"/>
    </row>
    <row r="761" spans="31:51" x14ac:dyDescent="0.25">
      <c r="AE761" s="75"/>
      <c r="AF761" s="82"/>
      <c r="AG761" s="82"/>
      <c r="AH761" s="82"/>
      <c r="AI761" s="82"/>
      <c r="AJ761" s="166"/>
      <c r="AK761" s="82"/>
      <c r="AL761" s="162"/>
      <c r="AM761" s="162"/>
      <c r="AN761" s="162"/>
      <c r="AO761" s="162"/>
      <c r="AP761" s="162"/>
      <c r="AQ761" s="162"/>
      <c r="AR761" s="710"/>
      <c r="AV761" s="82"/>
      <c r="AW761" s="947"/>
      <c r="AX761" s="947"/>
      <c r="AY761" s="947"/>
    </row>
    <row r="762" spans="31:51" x14ac:dyDescent="0.25">
      <c r="AE762" s="75"/>
      <c r="AF762" s="82"/>
      <c r="AG762" s="82"/>
      <c r="AH762" s="82"/>
      <c r="AI762" s="82"/>
      <c r="AJ762" s="166"/>
      <c r="AK762" s="82"/>
      <c r="AL762" s="162"/>
      <c r="AM762" s="162"/>
      <c r="AN762" s="162"/>
      <c r="AO762" s="162"/>
      <c r="AP762" s="162"/>
      <c r="AQ762" s="162"/>
      <c r="AR762" s="710"/>
      <c r="AV762" s="82"/>
      <c r="AW762" s="947"/>
      <c r="AX762" s="947"/>
      <c r="AY762" s="947"/>
    </row>
    <row r="763" spans="31:51" x14ac:dyDescent="0.25">
      <c r="AE763" s="75"/>
      <c r="AF763" s="82"/>
      <c r="AG763" s="82"/>
      <c r="AH763" s="82"/>
      <c r="AI763" s="82"/>
      <c r="AJ763" s="166"/>
      <c r="AK763" s="82"/>
      <c r="AL763" s="162"/>
      <c r="AM763" s="162"/>
      <c r="AN763" s="162"/>
      <c r="AO763" s="162"/>
      <c r="AP763" s="162"/>
      <c r="AQ763" s="162"/>
      <c r="AR763" s="710"/>
      <c r="AV763" s="82"/>
      <c r="AW763" s="947"/>
      <c r="AX763" s="947"/>
      <c r="AY763" s="947"/>
    </row>
    <row r="764" spans="31:51" x14ac:dyDescent="0.25">
      <c r="AE764" s="75"/>
      <c r="AF764" s="82"/>
      <c r="AG764" s="82"/>
      <c r="AH764" s="82"/>
      <c r="AI764" s="82"/>
      <c r="AJ764" s="166"/>
      <c r="AK764" s="82"/>
      <c r="AL764" s="162"/>
      <c r="AM764" s="162"/>
      <c r="AN764" s="162"/>
      <c r="AO764" s="162"/>
      <c r="AP764" s="162"/>
      <c r="AQ764" s="162"/>
      <c r="AR764" s="710"/>
      <c r="AV764" s="82"/>
      <c r="AW764" s="947"/>
      <c r="AX764" s="947"/>
      <c r="AY764" s="947"/>
    </row>
    <row r="765" spans="31:51" x14ac:dyDescent="0.25">
      <c r="AE765" s="75"/>
      <c r="AF765" s="82"/>
      <c r="AG765" s="82"/>
      <c r="AH765" s="82"/>
      <c r="AI765" s="82"/>
      <c r="AJ765" s="166"/>
      <c r="AK765" s="82"/>
      <c r="AL765" s="162"/>
      <c r="AM765" s="162"/>
      <c r="AN765" s="162"/>
      <c r="AO765" s="162"/>
      <c r="AP765" s="162"/>
      <c r="AQ765" s="162"/>
      <c r="AR765" s="710"/>
      <c r="AV765" s="82"/>
      <c r="AW765" s="947"/>
      <c r="AX765" s="947"/>
      <c r="AY765" s="947"/>
    </row>
    <row r="766" spans="31:51" x14ac:dyDescent="0.25">
      <c r="AE766" s="75"/>
      <c r="AF766" s="82"/>
      <c r="AG766" s="82"/>
      <c r="AH766" s="82"/>
      <c r="AI766" s="82"/>
      <c r="AJ766" s="166"/>
      <c r="AK766" s="82"/>
      <c r="AL766" s="162"/>
      <c r="AM766" s="162"/>
      <c r="AN766" s="162"/>
      <c r="AO766" s="162"/>
      <c r="AP766" s="162"/>
      <c r="AQ766" s="162"/>
      <c r="AR766" s="710"/>
      <c r="AV766" s="82"/>
      <c r="AW766" s="947"/>
      <c r="AX766" s="947"/>
      <c r="AY766" s="947"/>
    </row>
    <row r="767" spans="31:51" x14ac:dyDescent="0.25">
      <c r="AE767" s="75"/>
      <c r="AF767" s="82"/>
      <c r="AG767" s="82"/>
      <c r="AH767" s="82"/>
      <c r="AI767" s="82"/>
      <c r="AJ767" s="166"/>
      <c r="AK767" s="82"/>
      <c r="AL767" s="162"/>
      <c r="AM767" s="162"/>
      <c r="AN767" s="162"/>
      <c r="AO767" s="162"/>
      <c r="AP767" s="162"/>
      <c r="AQ767" s="162"/>
      <c r="AR767" s="710"/>
      <c r="AV767" s="82"/>
      <c r="AW767" s="947"/>
      <c r="AX767" s="947"/>
      <c r="AY767" s="947"/>
    </row>
    <row r="768" spans="31:51" x14ac:dyDescent="0.25">
      <c r="AE768" s="75"/>
      <c r="AF768" s="82"/>
      <c r="AG768" s="82"/>
      <c r="AH768" s="82"/>
      <c r="AI768" s="82"/>
      <c r="AJ768" s="166"/>
      <c r="AK768" s="82"/>
      <c r="AL768" s="162"/>
      <c r="AM768" s="162"/>
      <c r="AN768" s="162"/>
      <c r="AO768" s="162"/>
      <c r="AP768" s="162"/>
      <c r="AQ768" s="162"/>
      <c r="AR768" s="710"/>
      <c r="AV768" s="82"/>
      <c r="AW768" s="947"/>
      <c r="AX768" s="947"/>
      <c r="AY768" s="947"/>
    </row>
    <row r="769" spans="31:51" x14ac:dyDescent="0.25">
      <c r="AE769" s="75"/>
      <c r="AF769" s="82"/>
      <c r="AG769" s="82"/>
      <c r="AH769" s="82"/>
      <c r="AI769" s="82"/>
      <c r="AJ769" s="166"/>
      <c r="AK769" s="82"/>
      <c r="AL769" s="162"/>
      <c r="AM769" s="162"/>
      <c r="AN769" s="162"/>
      <c r="AO769" s="162"/>
      <c r="AP769" s="162"/>
      <c r="AQ769" s="162"/>
      <c r="AR769" s="710"/>
      <c r="AV769" s="82"/>
      <c r="AW769" s="947"/>
      <c r="AX769" s="947"/>
      <c r="AY769" s="947"/>
    </row>
    <row r="770" spans="31:51" x14ac:dyDescent="0.25">
      <c r="AE770" s="75"/>
      <c r="AF770" s="82"/>
      <c r="AG770" s="82"/>
      <c r="AH770" s="82"/>
      <c r="AI770" s="82"/>
      <c r="AJ770" s="166"/>
      <c r="AK770" s="82"/>
      <c r="AL770" s="162"/>
      <c r="AM770" s="162"/>
      <c r="AN770" s="162"/>
      <c r="AO770" s="162"/>
      <c r="AP770" s="162"/>
      <c r="AQ770" s="162"/>
      <c r="AR770" s="710"/>
      <c r="AV770" s="82"/>
      <c r="AW770" s="947"/>
      <c r="AX770" s="947"/>
      <c r="AY770" s="947"/>
    </row>
    <row r="771" spans="31:51" x14ac:dyDescent="0.25">
      <c r="AE771" s="75"/>
      <c r="AF771" s="82"/>
      <c r="AG771" s="82"/>
      <c r="AH771" s="82"/>
      <c r="AI771" s="82"/>
      <c r="AJ771" s="166"/>
      <c r="AK771" s="82"/>
      <c r="AL771" s="162"/>
      <c r="AM771" s="162"/>
      <c r="AN771" s="162"/>
      <c r="AO771" s="162"/>
      <c r="AP771" s="162"/>
      <c r="AQ771" s="162"/>
      <c r="AR771" s="710"/>
      <c r="AV771" s="82"/>
      <c r="AW771" s="947"/>
      <c r="AX771" s="947"/>
      <c r="AY771" s="947"/>
    </row>
    <row r="772" spans="31:51" x14ac:dyDescent="0.25">
      <c r="AE772" s="75"/>
      <c r="AF772" s="82"/>
      <c r="AG772" s="82"/>
      <c r="AH772" s="82"/>
      <c r="AI772" s="82"/>
      <c r="AJ772" s="166"/>
      <c r="AK772" s="82"/>
      <c r="AL772" s="162"/>
      <c r="AM772" s="162"/>
      <c r="AN772" s="162"/>
      <c r="AO772" s="162"/>
      <c r="AP772" s="162"/>
      <c r="AQ772" s="162"/>
      <c r="AR772" s="710"/>
      <c r="AV772" s="82"/>
      <c r="AW772" s="947"/>
      <c r="AX772" s="947"/>
      <c r="AY772" s="947"/>
    </row>
    <row r="773" spans="31:51" x14ac:dyDescent="0.25">
      <c r="AE773" s="75"/>
      <c r="AF773" s="82"/>
      <c r="AG773" s="82"/>
      <c r="AH773" s="82"/>
      <c r="AI773" s="82"/>
      <c r="AJ773" s="166"/>
      <c r="AK773" s="82"/>
      <c r="AL773" s="162"/>
      <c r="AM773" s="162"/>
      <c r="AN773" s="162"/>
      <c r="AO773" s="162"/>
      <c r="AP773" s="162"/>
      <c r="AQ773" s="162"/>
      <c r="AR773" s="710"/>
      <c r="AV773" s="82"/>
      <c r="AW773" s="947"/>
      <c r="AX773" s="947"/>
      <c r="AY773" s="947"/>
    </row>
    <row r="774" spans="31:51" x14ac:dyDescent="0.25">
      <c r="AE774" s="75"/>
      <c r="AF774" s="82"/>
      <c r="AG774" s="82"/>
      <c r="AH774" s="82"/>
      <c r="AI774" s="82"/>
      <c r="AJ774" s="166"/>
      <c r="AK774" s="82"/>
      <c r="AL774" s="162"/>
      <c r="AM774" s="162"/>
      <c r="AN774" s="162"/>
      <c r="AO774" s="162"/>
      <c r="AP774" s="162"/>
      <c r="AQ774" s="162"/>
      <c r="AR774" s="710"/>
      <c r="AV774" s="82"/>
      <c r="AW774" s="947"/>
      <c r="AX774" s="947"/>
      <c r="AY774" s="947"/>
    </row>
    <row r="775" spans="31:51" x14ac:dyDescent="0.25">
      <c r="AE775" s="75"/>
      <c r="AF775" s="82"/>
      <c r="AG775" s="82"/>
      <c r="AH775" s="82"/>
      <c r="AI775" s="82"/>
      <c r="AJ775" s="166"/>
      <c r="AK775" s="82"/>
      <c r="AL775" s="162"/>
      <c r="AM775" s="162"/>
      <c r="AN775" s="162"/>
      <c r="AO775" s="162"/>
      <c r="AP775" s="162"/>
      <c r="AQ775" s="162"/>
      <c r="AR775" s="710"/>
      <c r="AV775" s="82"/>
      <c r="AW775" s="947"/>
      <c r="AX775" s="947"/>
      <c r="AY775" s="947"/>
    </row>
    <row r="776" spans="31:51" x14ac:dyDescent="0.25">
      <c r="AE776" s="75"/>
      <c r="AF776" s="82"/>
      <c r="AG776" s="82"/>
      <c r="AH776" s="82"/>
      <c r="AI776" s="82"/>
      <c r="AJ776" s="166"/>
      <c r="AK776" s="82"/>
      <c r="AL776" s="162"/>
      <c r="AM776" s="162"/>
      <c r="AN776" s="162"/>
      <c r="AO776" s="162"/>
      <c r="AP776" s="162"/>
      <c r="AQ776" s="162"/>
      <c r="AR776" s="710"/>
      <c r="AV776" s="82"/>
      <c r="AW776" s="947"/>
      <c r="AX776" s="947"/>
      <c r="AY776" s="947"/>
    </row>
    <row r="777" spans="31:51" x14ac:dyDescent="0.25">
      <c r="AE777" s="75"/>
      <c r="AF777" s="82"/>
      <c r="AG777" s="82"/>
      <c r="AH777" s="82"/>
      <c r="AI777" s="82"/>
      <c r="AJ777" s="166"/>
      <c r="AK777" s="82"/>
      <c r="AL777" s="162"/>
      <c r="AM777" s="162"/>
      <c r="AN777" s="162"/>
      <c r="AO777" s="162"/>
      <c r="AP777" s="162"/>
      <c r="AQ777" s="162"/>
      <c r="AR777" s="710"/>
      <c r="AV777" s="82"/>
      <c r="AW777" s="947"/>
      <c r="AX777" s="947"/>
      <c r="AY777" s="947"/>
    </row>
    <row r="778" spans="31:51" x14ac:dyDescent="0.25">
      <c r="AE778" s="75"/>
      <c r="AF778" s="82"/>
      <c r="AG778" s="82"/>
      <c r="AH778" s="82"/>
      <c r="AI778" s="82"/>
      <c r="AJ778" s="166"/>
      <c r="AK778" s="82"/>
      <c r="AL778" s="162"/>
      <c r="AM778" s="162"/>
      <c r="AN778" s="162"/>
      <c r="AO778" s="162"/>
      <c r="AP778" s="162"/>
      <c r="AQ778" s="162"/>
      <c r="AR778" s="710"/>
      <c r="AV778" s="82"/>
      <c r="AW778" s="947"/>
      <c r="AX778" s="947"/>
      <c r="AY778" s="947"/>
    </row>
    <row r="779" spans="31:51" x14ac:dyDescent="0.25">
      <c r="AE779" s="75"/>
      <c r="AF779" s="82"/>
      <c r="AG779" s="82"/>
      <c r="AH779" s="82"/>
      <c r="AI779" s="82"/>
      <c r="AJ779" s="166"/>
      <c r="AK779" s="82"/>
      <c r="AL779" s="162"/>
      <c r="AM779" s="162"/>
      <c r="AN779" s="162"/>
      <c r="AO779" s="162"/>
      <c r="AP779" s="162"/>
      <c r="AQ779" s="162"/>
      <c r="AR779" s="710"/>
      <c r="AV779" s="82"/>
      <c r="AW779" s="947"/>
      <c r="AX779" s="947"/>
      <c r="AY779" s="947"/>
    </row>
    <row r="780" spans="31:51" x14ac:dyDescent="0.25">
      <c r="AE780" s="75"/>
      <c r="AF780" s="82"/>
      <c r="AG780" s="82"/>
      <c r="AH780" s="82"/>
      <c r="AI780" s="82"/>
      <c r="AJ780" s="166"/>
      <c r="AK780" s="82"/>
      <c r="AL780" s="162"/>
      <c r="AM780" s="162"/>
      <c r="AN780" s="162"/>
      <c r="AO780" s="162"/>
      <c r="AP780" s="162"/>
      <c r="AQ780" s="162"/>
      <c r="AR780" s="710"/>
      <c r="AV780" s="82"/>
      <c r="AW780" s="947"/>
      <c r="AX780" s="947"/>
      <c r="AY780" s="947"/>
    </row>
    <row r="781" spans="31:51" x14ac:dyDescent="0.25">
      <c r="AE781" s="75"/>
      <c r="AF781" s="82"/>
      <c r="AG781" s="82"/>
      <c r="AH781" s="82"/>
      <c r="AI781" s="82"/>
      <c r="AJ781" s="166"/>
      <c r="AK781" s="82"/>
      <c r="AL781" s="162"/>
      <c r="AM781" s="162"/>
      <c r="AN781" s="162"/>
      <c r="AO781" s="162"/>
      <c r="AP781" s="162"/>
      <c r="AQ781" s="162"/>
      <c r="AR781" s="710"/>
      <c r="AV781" s="82"/>
      <c r="AW781" s="947"/>
      <c r="AX781" s="947"/>
      <c r="AY781" s="947"/>
    </row>
    <row r="782" spans="31:51" x14ac:dyDescent="0.25">
      <c r="AE782" s="75"/>
      <c r="AF782" s="82"/>
      <c r="AG782" s="82"/>
      <c r="AH782" s="82"/>
      <c r="AI782" s="82"/>
      <c r="AJ782" s="166"/>
      <c r="AK782" s="82"/>
      <c r="AL782" s="162"/>
      <c r="AM782" s="162"/>
      <c r="AN782" s="162"/>
      <c r="AO782" s="162"/>
      <c r="AP782" s="162"/>
      <c r="AQ782" s="162"/>
      <c r="AR782" s="710"/>
      <c r="AV782" s="82"/>
      <c r="AW782" s="947"/>
      <c r="AX782" s="947"/>
      <c r="AY782" s="947"/>
    </row>
    <row r="783" spans="31:51" x14ac:dyDescent="0.25">
      <c r="AE783" s="75"/>
      <c r="AF783" s="82"/>
      <c r="AG783" s="82"/>
      <c r="AH783" s="82"/>
      <c r="AI783" s="82"/>
      <c r="AJ783" s="166"/>
      <c r="AK783" s="82"/>
      <c r="AL783" s="162"/>
      <c r="AM783" s="162"/>
      <c r="AN783" s="162"/>
      <c r="AO783" s="162"/>
      <c r="AP783" s="162"/>
      <c r="AQ783" s="162"/>
      <c r="AR783" s="710"/>
      <c r="AV783" s="82"/>
      <c r="AW783" s="947"/>
      <c r="AX783" s="947"/>
      <c r="AY783" s="947"/>
    </row>
    <row r="784" spans="31:51" x14ac:dyDescent="0.25">
      <c r="AE784" s="75"/>
      <c r="AF784" s="82"/>
      <c r="AG784" s="82"/>
      <c r="AH784" s="82"/>
      <c r="AI784" s="82"/>
      <c r="AJ784" s="166"/>
      <c r="AK784" s="82"/>
      <c r="AL784" s="162"/>
      <c r="AM784" s="162"/>
      <c r="AN784" s="162"/>
      <c r="AO784" s="162"/>
      <c r="AP784" s="162"/>
      <c r="AQ784" s="162"/>
      <c r="AR784" s="710"/>
      <c r="AV784" s="82"/>
      <c r="AW784" s="947"/>
      <c r="AX784" s="947"/>
      <c r="AY784" s="947"/>
    </row>
    <row r="785" spans="31:51" x14ac:dyDescent="0.25">
      <c r="AE785" s="75"/>
      <c r="AF785" s="82"/>
      <c r="AG785" s="82"/>
      <c r="AH785" s="82"/>
      <c r="AI785" s="82"/>
      <c r="AJ785" s="166"/>
      <c r="AK785" s="82"/>
      <c r="AL785" s="162"/>
      <c r="AM785" s="162"/>
      <c r="AN785" s="162"/>
      <c r="AO785" s="162"/>
      <c r="AP785" s="162"/>
      <c r="AQ785" s="162"/>
      <c r="AR785" s="710"/>
      <c r="AV785" s="82"/>
      <c r="AW785" s="947"/>
      <c r="AX785" s="947"/>
      <c r="AY785" s="947"/>
    </row>
    <row r="786" spans="31:51" x14ac:dyDescent="0.25">
      <c r="AE786" s="75"/>
      <c r="AF786" s="82"/>
      <c r="AG786" s="82"/>
      <c r="AH786" s="82"/>
      <c r="AI786" s="82"/>
      <c r="AJ786" s="166"/>
      <c r="AK786" s="82"/>
      <c r="AL786" s="162"/>
      <c r="AM786" s="162"/>
      <c r="AN786" s="162"/>
      <c r="AO786" s="162"/>
      <c r="AP786" s="162"/>
      <c r="AQ786" s="162"/>
      <c r="AR786" s="710"/>
      <c r="AV786" s="82"/>
      <c r="AW786" s="947"/>
      <c r="AX786" s="947"/>
      <c r="AY786" s="947"/>
    </row>
    <row r="787" spans="31:51" x14ac:dyDescent="0.25">
      <c r="AE787" s="75"/>
      <c r="AF787" s="82"/>
      <c r="AG787" s="82"/>
      <c r="AH787" s="82"/>
      <c r="AI787" s="82"/>
      <c r="AJ787" s="166"/>
      <c r="AK787" s="82"/>
      <c r="AL787" s="162"/>
      <c r="AM787" s="162"/>
      <c r="AN787" s="162"/>
      <c r="AO787" s="162"/>
      <c r="AP787" s="162"/>
      <c r="AQ787" s="162"/>
      <c r="AR787" s="710"/>
      <c r="AV787" s="82"/>
      <c r="AW787" s="947"/>
      <c r="AX787" s="947"/>
      <c r="AY787" s="947"/>
    </row>
    <row r="788" spans="31:51" x14ac:dyDescent="0.25">
      <c r="AE788" s="75"/>
      <c r="AF788" s="82"/>
      <c r="AG788" s="82"/>
      <c r="AH788" s="82"/>
      <c r="AI788" s="82"/>
      <c r="AJ788" s="166"/>
      <c r="AK788" s="82"/>
      <c r="AL788" s="162"/>
      <c r="AM788" s="162"/>
      <c r="AN788" s="162"/>
      <c r="AO788" s="162"/>
      <c r="AP788" s="162"/>
      <c r="AQ788" s="162"/>
      <c r="AR788" s="710"/>
      <c r="AV788" s="82"/>
      <c r="AW788" s="947"/>
      <c r="AX788" s="947"/>
      <c r="AY788" s="947"/>
    </row>
    <row r="789" spans="31:51" x14ac:dyDescent="0.25">
      <c r="AE789" s="75"/>
      <c r="AF789" s="82"/>
      <c r="AG789" s="82"/>
      <c r="AH789" s="82"/>
      <c r="AI789" s="82"/>
      <c r="AJ789" s="166"/>
      <c r="AK789" s="82"/>
      <c r="AL789" s="162"/>
      <c r="AM789" s="162"/>
      <c r="AN789" s="162"/>
      <c r="AO789" s="162"/>
      <c r="AP789" s="162"/>
      <c r="AQ789" s="162"/>
      <c r="AR789" s="710"/>
      <c r="AV789" s="82"/>
      <c r="AW789" s="947"/>
      <c r="AX789" s="947"/>
      <c r="AY789" s="947"/>
    </row>
    <row r="790" spans="31:51" x14ac:dyDescent="0.25">
      <c r="AE790" s="75"/>
      <c r="AF790" s="82"/>
      <c r="AG790" s="82"/>
      <c r="AH790" s="82"/>
      <c r="AI790" s="82"/>
      <c r="AJ790" s="166"/>
      <c r="AK790" s="82"/>
      <c r="AL790" s="162"/>
      <c r="AM790" s="162"/>
      <c r="AN790" s="162"/>
      <c r="AO790" s="162"/>
      <c r="AP790" s="162"/>
      <c r="AQ790" s="162"/>
      <c r="AR790" s="710"/>
      <c r="AV790" s="82"/>
      <c r="AW790" s="947"/>
      <c r="AX790" s="947"/>
      <c r="AY790" s="947"/>
    </row>
    <row r="791" spans="31:51" x14ac:dyDescent="0.25">
      <c r="AE791" s="75"/>
      <c r="AF791" s="82"/>
      <c r="AG791" s="82"/>
      <c r="AH791" s="82"/>
      <c r="AI791" s="82"/>
      <c r="AJ791" s="166"/>
      <c r="AK791" s="82"/>
      <c r="AL791" s="162"/>
      <c r="AM791" s="162"/>
      <c r="AN791" s="162"/>
      <c r="AO791" s="162"/>
      <c r="AP791" s="162"/>
      <c r="AQ791" s="162"/>
      <c r="AR791" s="710"/>
      <c r="AV791" s="82"/>
      <c r="AW791" s="947"/>
      <c r="AX791" s="947"/>
      <c r="AY791" s="947"/>
    </row>
    <row r="792" spans="31:51" x14ac:dyDescent="0.25">
      <c r="AE792" s="75"/>
      <c r="AF792" s="82"/>
      <c r="AG792" s="82"/>
      <c r="AH792" s="82"/>
      <c r="AI792" s="82"/>
      <c r="AJ792" s="166"/>
      <c r="AK792" s="82"/>
      <c r="AL792" s="162"/>
      <c r="AM792" s="162"/>
      <c r="AN792" s="162"/>
      <c r="AO792" s="162"/>
      <c r="AP792" s="162"/>
      <c r="AQ792" s="162"/>
      <c r="AR792" s="710"/>
      <c r="AV792" s="82"/>
      <c r="AW792" s="947"/>
      <c r="AX792" s="947"/>
      <c r="AY792" s="947"/>
    </row>
    <row r="793" spans="31:51" x14ac:dyDescent="0.25">
      <c r="AE793" s="75"/>
      <c r="AF793" s="82"/>
      <c r="AG793" s="82"/>
      <c r="AH793" s="82"/>
      <c r="AI793" s="82"/>
      <c r="AJ793" s="166"/>
      <c r="AK793" s="82"/>
      <c r="AL793" s="162"/>
      <c r="AM793" s="162"/>
      <c r="AN793" s="162"/>
      <c r="AO793" s="162"/>
      <c r="AP793" s="162"/>
      <c r="AQ793" s="162"/>
      <c r="AR793" s="710"/>
      <c r="AV793" s="82"/>
      <c r="AW793" s="947"/>
      <c r="AX793" s="947"/>
      <c r="AY793" s="947"/>
    </row>
    <row r="794" spans="31:51" x14ac:dyDescent="0.25">
      <c r="AE794" s="75"/>
      <c r="AF794" s="82"/>
      <c r="AG794" s="82"/>
      <c r="AH794" s="82"/>
      <c r="AI794" s="82"/>
      <c r="AJ794" s="166"/>
      <c r="AK794" s="82"/>
      <c r="AL794" s="162"/>
      <c r="AM794" s="162"/>
      <c r="AN794" s="162"/>
      <c r="AO794" s="162"/>
      <c r="AP794" s="162"/>
      <c r="AQ794" s="162"/>
      <c r="AR794" s="710"/>
      <c r="AV794" s="82"/>
      <c r="AW794" s="947"/>
      <c r="AX794" s="947"/>
      <c r="AY794" s="947"/>
    </row>
    <row r="795" spans="31:51" x14ac:dyDescent="0.25">
      <c r="AE795" s="75"/>
      <c r="AF795" s="82"/>
      <c r="AG795" s="82"/>
      <c r="AH795" s="82"/>
      <c r="AI795" s="82"/>
      <c r="AJ795" s="166"/>
      <c r="AK795" s="82"/>
      <c r="AL795" s="162"/>
      <c r="AM795" s="162"/>
      <c r="AN795" s="162"/>
      <c r="AO795" s="162"/>
      <c r="AP795" s="162"/>
      <c r="AQ795" s="162"/>
      <c r="AR795" s="710"/>
      <c r="AV795" s="82"/>
      <c r="AW795" s="947"/>
      <c r="AX795" s="947"/>
      <c r="AY795" s="947"/>
    </row>
    <row r="796" spans="31:51" x14ac:dyDescent="0.25">
      <c r="AE796" s="75"/>
      <c r="AF796" s="82"/>
      <c r="AG796" s="82"/>
      <c r="AH796" s="82"/>
      <c r="AI796" s="82"/>
      <c r="AJ796" s="166"/>
      <c r="AK796" s="82"/>
      <c r="AL796" s="162"/>
      <c r="AM796" s="162"/>
      <c r="AN796" s="162"/>
      <c r="AO796" s="162"/>
      <c r="AP796" s="162"/>
      <c r="AQ796" s="162"/>
      <c r="AR796" s="710"/>
      <c r="AV796" s="82"/>
      <c r="AW796" s="947"/>
      <c r="AX796" s="947"/>
      <c r="AY796" s="947"/>
    </row>
    <row r="797" spans="31:51" x14ac:dyDescent="0.25">
      <c r="AE797" s="75"/>
      <c r="AF797" s="82"/>
      <c r="AG797" s="82"/>
      <c r="AH797" s="82"/>
      <c r="AI797" s="82"/>
      <c r="AJ797" s="166"/>
      <c r="AK797" s="82"/>
      <c r="AL797" s="162"/>
      <c r="AM797" s="162"/>
      <c r="AN797" s="162"/>
      <c r="AO797" s="162"/>
      <c r="AP797" s="162"/>
      <c r="AQ797" s="162"/>
      <c r="AR797" s="710"/>
      <c r="AV797" s="82"/>
      <c r="AW797" s="947"/>
      <c r="AX797" s="947"/>
      <c r="AY797" s="947"/>
    </row>
    <row r="798" spans="31:51" x14ac:dyDescent="0.25">
      <c r="AE798" s="75"/>
      <c r="AF798" s="82"/>
      <c r="AG798" s="82"/>
      <c r="AH798" s="82"/>
      <c r="AI798" s="82"/>
      <c r="AJ798" s="166"/>
      <c r="AK798" s="82"/>
      <c r="AL798" s="162"/>
      <c r="AM798" s="162"/>
      <c r="AN798" s="162"/>
      <c r="AO798" s="162"/>
      <c r="AP798" s="162"/>
      <c r="AQ798" s="162"/>
      <c r="AR798" s="710"/>
      <c r="AV798" s="82"/>
      <c r="AW798" s="947"/>
      <c r="AX798" s="947"/>
      <c r="AY798" s="947"/>
    </row>
    <row r="799" spans="31:51" x14ac:dyDescent="0.25">
      <c r="AE799" s="75"/>
      <c r="AF799" s="82"/>
      <c r="AG799" s="82"/>
      <c r="AH799" s="82"/>
      <c r="AI799" s="82"/>
      <c r="AJ799" s="166"/>
      <c r="AK799" s="82"/>
      <c r="AL799" s="162"/>
      <c r="AM799" s="162"/>
      <c r="AN799" s="162"/>
      <c r="AO799" s="162"/>
      <c r="AP799" s="162"/>
      <c r="AQ799" s="162"/>
      <c r="AR799" s="710"/>
      <c r="AV799" s="82"/>
      <c r="AW799" s="947"/>
      <c r="AX799" s="947"/>
      <c r="AY799" s="947"/>
    </row>
    <row r="800" spans="31:51" x14ac:dyDescent="0.25">
      <c r="AE800" s="75"/>
      <c r="AF800" s="82"/>
      <c r="AG800" s="82"/>
      <c r="AH800" s="82"/>
      <c r="AI800" s="82"/>
      <c r="AJ800" s="166"/>
      <c r="AK800" s="82"/>
      <c r="AL800" s="162"/>
      <c r="AM800" s="162"/>
      <c r="AN800" s="162"/>
      <c r="AO800" s="162"/>
      <c r="AP800" s="162"/>
      <c r="AQ800" s="162"/>
      <c r="AR800" s="710"/>
      <c r="AV800" s="82"/>
      <c r="AW800" s="947"/>
      <c r="AX800" s="947"/>
      <c r="AY800" s="947"/>
    </row>
    <row r="801" spans="31:51" x14ac:dyDescent="0.25">
      <c r="AE801" s="75"/>
      <c r="AF801" s="82"/>
      <c r="AG801" s="82"/>
      <c r="AH801" s="82"/>
      <c r="AI801" s="82"/>
      <c r="AJ801" s="166"/>
      <c r="AK801" s="82"/>
      <c r="AL801" s="162"/>
      <c r="AM801" s="162"/>
      <c r="AN801" s="162"/>
      <c r="AO801" s="162"/>
      <c r="AP801" s="162"/>
      <c r="AQ801" s="162"/>
      <c r="AR801" s="710"/>
      <c r="AV801" s="82"/>
      <c r="AW801" s="947"/>
      <c r="AX801" s="947"/>
      <c r="AY801" s="947"/>
    </row>
    <row r="802" spans="31:51" x14ac:dyDescent="0.25">
      <c r="AE802" s="75"/>
      <c r="AF802" s="82"/>
      <c r="AG802" s="82"/>
      <c r="AH802" s="82"/>
      <c r="AI802" s="82"/>
      <c r="AJ802" s="166"/>
      <c r="AK802" s="82"/>
      <c r="AL802" s="162"/>
      <c r="AM802" s="162"/>
      <c r="AN802" s="162"/>
      <c r="AO802" s="162"/>
      <c r="AP802" s="162"/>
      <c r="AQ802" s="162"/>
      <c r="AR802" s="710"/>
      <c r="AV802" s="82"/>
      <c r="AW802" s="947"/>
      <c r="AX802" s="947"/>
      <c r="AY802" s="947"/>
    </row>
    <row r="803" spans="31:51" x14ac:dyDescent="0.25">
      <c r="AE803" s="75"/>
      <c r="AF803" s="82"/>
      <c r="AG803" s="82"/>
      <c r="AH803" s="82"/>
      <c r="AI803" s="82"/>
      <c r="AJ803" s="166"/>
      <c r="AK803" s="82"/>
      <c r="AL803" s="162"/>
      <c r="AM803" s="162"/>
      <c r="AN803" s="162"/>
      <c r="AO803" s="162"/>
      <c r="AP803" s="162"/>
      <c r="AQ803" s="162"/>
      <c r="AR803" s="710"/>
      <c r="AV803" s="82"/>
      <c r="AW803" s="947"/>
      <c r="AX803" s="947"/>
      <c r="AY803" s="947"/>
    </row>
    <row r="804" spans="31:51" x14ac:dyDescent="0.25">
      <c r="AE804" s="75"/>
      <c r="AF804" s="82"/>
      <c r="AG804" s="82"/>
      <c r="AH804" s="82"/>
      <c r="AI804" s="82"/>
      <c r="AJ804" s="166"/>
      <c r="AK804" s="82"/>
      <c r="AL804" s="162"/>
      <c r="AM804" s="162"/>
      <c r="AN804" s="162"/>
      <c r="AO804" s="162"/>
      <c r="AP804" s="162"/>
      <c r="AQ804" s="162"/>
      <c r="AR804" s="710"/>
      <c r="AV804" s="82"/>
      <c r="AW804" s="947"/>
      <c r="AX804" s="947"/>
      <c r="AY804" s="947"/>
    </row>
    <row r="805" spans="31:51" x14ac:dyDescent="0.25">
      <c r="AE805" s="75"/>
      <c r="AF805" s="82"/>
      <c r="AG805" s="82"/>
      <c r="AH805" s="82"/>
      <c r="AI805" s="82"/>
      <c r="AJ805" s="166"/>
      <c r="AK805" s="82"/>
      <c r="AL805" s="162"/>
      <c r="AM805" s="162"/>
      <c r="AN805" s="162"/>
      <c r="AO805" s="162"/>
      <c r="AP805" s="162"/>
      <c r="AQ805" s="162"/>
      <c r="AR805" s="710"/>
      <c r="AV805" s="82"/>
      <c r="AW805" s="947"/>
      <c r="AX805" s="947"/>
      <c r="AY805" s="947"/>
    </row>
    <row r="806" spans="31:51" x14ac:dyDescent="0.25">
      <c r="AE806" s="75"/>
      <c r="AF806" s="82"/>
      <c r="AG806" s="82"/>
      <c r="AH806" s="82"/>
      <c r="AI806" s="82"/>
      <c r="AJ806" s="166"/>
      <c r="AK806" s="82"/>
      <c r="AL806" s="162"/>
      <c r="AM806" s="162"/>
      <c r="AN806" s="162"/>
      <c r="AO806" s="162"/>
      <c r="AP806" s="162"/>
      <c r="AQ806" s="162"/>
      <c r="AR806" s="710"/>
      <c r="AV806" s="82"/>
      <c r="AW806" s="947"/>
      <c r="AX806" s="947"/>
      <c r="AY806" s="947"/>
    </row>
    <row r="807" spans="31:51" x14ac:dyDescent="0.25">
      <c r="AE807" s="75"/>
      <c r="AF807" s="82"/>
      <c r="AG807" s="82"/>
      <c r="AH807" s="82"/>
      <c r="AI807" s="82"/>
      <c r="AJ807" s="166"/>
      <c r="AK807" s="82"/>
      <c r="AL807" s="162"/>
      <c r="AM807" s="162"/>
      <c r="AN807" s="162"/>
      <c r="AO807" s="162"/>
      <c r="AP807" s="162"/>
      <c r="AQ807" s="162"/>
      <c r="AR807" s="710"/>
      <c r="AV807" s="82"/>
      <c r="AW807" s="947"/>
      <c r="AX807" s="947"/>
      <c r="AY807" s="947"/>
    </row>
    <row r="808" spans="31:51" x14ac:dyDescent="0.25">
      <c r="AE808" s="75"/>
      <c r="AF808" s="82"/>
      <c r="AG808" s="82"/>
      <c r="AH808" s="82"/>
      <c r="AI808" s="82"/>
      <c r="AJ808" s="166"/>
      <c r="AK808" s="82"/>
      <c r="AL808" s="162"/>
      <c r="AM808" s="162"/>
      <c r="AN808" s="162"/>
      <c r="AO808" s="162"/>
      <c r="AP808" s="162"/>
      <c r="AQ808" s="162"/>
      <c r="AR808" s="710"/>
      <c r="AV808" s="82"/>
      <c r="AW808" s="947"/>
      <c r="AX808" s="947"/>
      <c r="AY808" s="947"/>
    </row>
    <row r="809" spans="31:51" x14ac:dyDescent="0.25">
      <c r="AE809" s="75"/>
      <c r="AF809" s="82"/>
      <c r="AG809" s="82"/>
      <c r="AH809" s="82"/>
      <c r="AI809" s="82"/>
      <c r="AJ809" s="166"/>
      <c r="AK809" s="82"/>
      <c r="AL809" s="162"/>
      <c r="AM809" s="162"/>
      <c r="AN809" s="162"/>
      <c r="AO809" s="162"/>
      <c r="AP809" s="162"/>
      <c r="AQ809" s="162"/>
      <c r="AR809" s="710"/>
      <c r="AV809" s="82"/>
      <c r="AW809" s="947"/>
      <c r="AX809" s="947"/>
      <c r="AY809" s="947"/>
    </row>
    <row r="810" spans="31:51" x14ac:dyDescent="0.25">
      <c r="AE810" s="75"/>
      <c r="AF810" s="82"/>
      <c r="AG810" s="82"/>
      <c r="AH810" s="82"/>
      <c r="AI810" s="82"/>
      <c r="AJ810" s="166"/>
      <c r="AK810" s="82"/>
      <c r="AL810" s="162"/>
      <c r="AM810" s="162"/>
      <c r="AN810" s="162"/>
      <c r="AO810" s="162"/>
      <c r="AP810" s="162"/>
      <c r="AQ810" s="162"/>
      <c r="AR810" s="710"/>
      <c r="AV810" s="82"/>
      <c r="AW810" s="947"/>
      <c r="AX810" s="947"/>
      <c r="AY810" s="947"/>
    </row>
    <row r="811" spans="31:51" x14ac:dyDescent="0.25">
      <c r="AE811" s="75"/>
      <c r="AF811" s="82"/>
      <c r="AG811" s="82"/>
      <c r="AH811" s="82"/>
      <c r="AI811" s="82"/>
      <c r="AJ811" s="166"/>
      <c r="AK811" s="82"/>
      <c r="AL811" s="162"/>
      <c r="AM811" s="162"/>
      <c r="AN811" s="162"/>
      <c r="AO811" s="162"/>
      <c r="AP811" s="162"/>
      <c r="AQ811" s="162"/>
      <c r="AR811" s="710"/>
      <c r="AV811" s="82"/>
      <c r="AW811" s="947"/>
      <c r="AX811" s="947"/>
      <c r="AY811" s="947"/>
    </row>
    <row r="812" spans="31:51" x14ac:dyDescent="0.25">
      <c r="AE812" s="75"/>
      <c r="AF812" s="82"/>
      <c r="AG812" s="82"/>
      <c r="AH812" s="82"/>
      <c r="AI812" s="82"/>
      <c r="AJ812" s="166"/>
      <c r="AK812" s="82"/>
      <c r="AL812" s="162"/>
      <c r="AM812" s="162"/>
      <c r="AN812" s="162"/>
      <c r="AO812" s="162"/>
      <c r="AP812" s="162"/>
      <c r="AQ812" s="162"/>
      <c r="AR812" s="710"/>
      <c r="AV812" s="82"/>
      <c r="AW812" s="947"/>
      <c r="AX812" s="947"/>
      <c r="AY812" s="947"/>
    </row>
    <row r="813" spans="31:51" x14ac:dyDescent="0.25">
      <c r="AE813" s="75"/>
      <c r="AF813" s="82"/>
      <c r="AG813" s="82"/>
      <c r="AH813" s="82"/>
      <c r="AI813" s="82"/>
      <c r="AJ813" s="166"/>
      <c r="AK813" s="82"/>
      <c r="AL813" s="162"/>
      <c r="AM813" s="162"/>
      <c r="AN813" s="162"/>
      <c r="AO813" s="162"/>
      <c r="AP813" s="162"/>
      <c r="AQ813" s="162"/>
      <c r="AR813" s="710"/>
      <c r="AV813" s="82"/>
      <c r="AW813" s="947"/>
      <c r="AX813" s="947"/>
      <c r="AY813" s="947"/>
    </row>
    <row r="814" spans="31:51" x14ac:dyDescent="0.25">
      <c r="AE814" s="75"/>
      <c r="AF814" s="82"/>
      <c r="AG814" s="82"/>
      <c r="AH814" s="82"/>
      <c r="AI814" s="82"/>
      <c r="AJ814" s="166"/>
      <c r="AK814" s="82"/>
      <c r="AL814" s="162"/>
      <c r="AM814" s="162"/>
      <c r="AN814" s="162"/>
      <c r="AO814" s="162"/>
      <c r="AP814" s="162"/>
      <c r="AQ814" s="162"/>
      <c r="AR814" s="710"/>
      <c r="AV814" s="82"/>
      <c r="AW814" s="947"/>
      <c r="AX814" s="947"/>
      <c r="AY814" s="947"/>
    </row>
    <row r="815" spans="31:51" x14ac:dyDescent="0.25">
      <c r="AE815" s="75"/>
      <c r="AF815" s="82"/>
      <c r="AG815" s="82"/>
      <c r="AH815" s="82"/>
      <c r="AI815" s="82"/>
      <c r="AJ815" s="166"/>
      <c r="AK815" s="82"/>
      <c r="AL815" s="162"/>
      <c r="AM815" s="162"/>
      <c r="AN815" s="162"/>
      <c r="AO815" s="162"/>
      <c r="AP815" s="162"/>
      <c r="AQ815" s="162"/>
      <c r="AR815" s="710"/>
      <c r="AV815" s="82"/>
      <c r="AW815" s="947"/>
      <c r="AX815" s="947"/>
      <c r="AY815" s="947"/>
    </row>
    <row r="816" spans="31:51" x14ac:dyDescent="0.25">
      <c r="AE816" s="75"/>
      <c r="AF816" s="82"/>
      <c r="AG816" s="82"/>
      <c r="AH816" s="82"/>
      <c r="AI816" s="82"/>
      <c r="AJ816" s="166"/>
      <c r="AK816" s="82"/>
      <c r="AL816" s="162"/>
      <c r="AM816" s="162"/>
      <c r="AN816" s="162"/>
      <c r="AO816" s="162"/>
      <c r="AP816" s="162"/>
      <c r="AQ816" s="162"/>
      <c r="AR816" s="710"/>
      <c r="AV816" s="82"/>
      <c r="AW816" s="947"/>
      <c r="AX816" s="947"/>
      <c r="AY816" s="947"/>
    </row>
    <row r="817" spans="31:51" x14ac:dyDescent="0.25">
      <c r="AE817" s="75"/>
      <c r="AF817" s="82"/>
      <c r="AG817" s="82"/>
      <c r="AH817" s="82"/>
      <c r="AI817" s="82"/>
      <c r="AJ817" s="166"/>
      <c r="AK817" s="82"/>
      <c r="AL817" s="162"/>
      <c r="AM817" s="162"/>
      <c r="AN817" s="162"/>
      <c r="AO817" s="162"/>
      <c r="AP817" s="162"/>
      <c r="AQ817" s="162"/>
      <c r="AR817" s="710"/>
      <c r="AV817" s="82"/>
      <c r="AW817" s="947"/>
      <c r="AX817" s="947"/>
      <c r="AY817" s="947"/>
    </row>
    <row r="818" spans="31:51" x14ac:dyDescent="0.25">
      <c r="AE818" s="75"/>
      <c r="AF818" s="82"/>
      <c r="AG818" s="82"/>
      <c r="AH818" s="82"/>
      <c r="AI818" s="82"/>
      <c r="AJ818" s="166"/>
      <c r="AK818" s="82"/>
      <c r="AL818" s="162"/>
      <c r="AM818" s="162"/>
      <c r="AN818" s="162"/>
      <c r="AO818" s="162"/>
      <c r="AP818" s="162"/>
      <c r="AQ818" s="162"/>
      <c r="AR818" s="710"/>
      <c r="AV818" s="82"/>
      <c r="AW818" s="947"/>
      <c r="AX818" s="947"/>
      <c r="AY818" s="947"/>
    </row>
    <row r="819" spans="31:51" x14ac:dyDescent="0.25">
      <c r="AE819" s="75"/>
      <c r="AF819" s="82"/>
      <c r="AG819" s="82"/>
      <c r="AH819" s="82"/>
      <c r="AI819" s="82"/>
      <c r="AJ819" s="166"/>
      <c r="AK819" s="82"/>
      <c r="AL819" s="162"/>
      <c r="AM819" s="162"/>
      <c r="AN819" s="162"/>
      <c r="AO819" s="162"/>
      <c r="AP819" s="162"/>
      <c r="AQ819" s="162"/>
      <c r="AR819" s="710"/>
      <c r="AV819" s="82"/>
      <c r="AW819" s="947"/>
      <c r="AX819" s="947"/>
      <c r="AY819" s="947"/>
    </row>
    <row r="820" spans="31:51" x14ac:dyDescent="0.25">
      <c r="AE820" s="75"/>
      <c r="AF820" s="82"/>
      <c r="AG820" s="82"/>
      <c r="AH820" s="82"/>
      <c r="AI820" s="82"/>
      <c r="AJ820" s="166"/>
      <c r="AK820" s="82"/>
      <c r="AL820" s="162"/>
      <c r="AM820" s="162"/>
      <c r="AN820" s="162"/>
      <c r="AO820" s="162"/>
      <c r="AP820" s="162"/>
      <c r="AQ820" s="162"/>
      <c r="AR820" s="710"/>
      <c r="AV820" s="82"/>
      <c r="AW820" s="947"/>
      <c r="AX820" s="947"/>
      <c r="AY820" s="947"/>
    </row>
    <row r="821" spans="31:51" x14ac:dyDescent="0.25">
      <c r="AE821" s="75"/>
      <c r="AF821" s="82"/>
      <c r="AG821" s="82"/>
      <c r="AH821" s="82"/>
      <c r="AI821" s="82"/>
      <c r="AJ821" s="166"/>
      <c r="AK821" s="82"/>
      <c r="AL821" s="162"/>
      <c r="AM821" s="162"/>
      <c r="AN821" s="162"/>
      <c r="AO821" s="162"/>
      <c r="AP821" s="162"/>
      <c r="AQ821" s="162"/>
      <c r="AR821" s="710"/>
      <c r="AV821" s="82"/>
      <c r="AW821" s="947"/>
      <c r="AX821" s="947"/>
      <c r="AY821" s="947"/>
    </row>
    <row r="822" spans="31:51" x14ac:dyDescent="0.25">
      <c r="AE822" s="75"/>
      <c r="AF822" s="82"/>
      <c r="AG822" s="82"/>
      <c r="AH822" s="82"/>
      <c r="AI822" s="82"/>
      <c r="AJ822" s="166"/>
      <c r="AK822" s="82"/>
      <c r="AL822" s="162"/>
      <c r="AM822" s="162"/>
      <c r="AN822" s="162"/>
      <c r="AO822" s="162"/>
      <c r="AP822" s="162"/>
      <c r="AQ822" s="162"/>
      <c r="AR822" s="710"/>
      <c r="AV822" s="82"/>
      <c r="AW822" s="947"/>
      <c r="AX822" s="947"/>
      <c r="AY822" s="947"/>
    </row>
    <row r="823" spans="31:51" x14ac:dyDescent="0.25">
      <c r="AE823" s="75"/>
      <c r="AF823" s="82"/>
      <c r="AG823" s="82"/>
      <c r="AH823" s="82"/>
      <c r="AI823" s="82"/>
      <c r="AJ823" s="166"/>
      <c r="AK823" s="82"/>
      <c r="AL823" s="162"/>
      <c r="AM823" s="162"/>
      <c r="AN823" s="162"/>
      <c r="AO823" s="162"/>
      <c r="AP823" s="162"/>
      <c r="AQ823" s="162"/>
      <c r="AR823" s="710"/>
      <c r="AV823" s="82"/>
      <c r="AW823" s="947"/>
      <c r="AX823" s="947"/>
      <c r="AY823" s="947"/>
    </row>
    <row r="824" spans="31:51" x14ac:dyDescent="0.25">
      <c r="AE824" s="75"/>
      <c r="AF824" s="82"/>
      <c r="AG824" s="82"/>
      <c r="AH824" s="82"/>
      <c r="AI824" s="82"/>
      <c r="AJ824" s="166"/>
      <c r="AK824" s="82"/>
      <c r="AL824" s="162"/>
      <c r="AM824" s="162"/>
      <c r="AN824" s="162"/>
      <c r="AO824" s="162"/>
      <c r="AP824" s="162"/>
      <c r="AQ824" s="162"/>
      <c r="AR824" s="710"/>
      <c r="AV824" s="82"/>
      <c r="AW824" s="947"/>
      <c r="AX824" s="947"/>
      <c r="AY824" s="947"/>
    </row>
    <row r="825" spans="31:51" x14ac:dyDescent="0.25">
      <c r="AE825" s="75"/>
      <c r="AF825" s="82"/>
      <c r="AG825" s="82"/>
      <c r="AH825" s="82"/>
      <c r="AI825" s="82"/>
      <c r="AJ825" s="166"/>
      <c r="AK825" s="82"/>
      <c r="AL825" s="162"/>
      <c r="AM825" s="162"/>
      <c r="AN825" s="162"/>
      <c r="AO825" s="162"/>
      <c r="AP825" s="162"/>
      <c r="AQ825" s="162"/>
      <c r="AR825" s="710"/>
      <c r="AV825" s="82"/>
      <c r="AW825" s="947"/>
      <c r="AX825" s="947"/>
      <c r="AY825" s="947"/>
    </row>
    <row r="826" spans="31:51" x14ac:dyDescent="0.25">
      <c r="AE826" s="75"/>
      <c r="AF826" s="82"/>
      <c r="AG826" s="82"/>
      <c r="AH826" s="82"/>
      <c r="AI826" s="82"/>
      <c r="AJ826" s="166"/>
      <c r="AK826" s="82"/>
      <c r="AL826" s="162"/>
      <c r="AM826" s="162"/>
      <c r="AN826" s="162"/>
      <c r="AO826" s="162"/>
      <c r="AP826" s="162"/>
      <c r="AQ826" s="162"/>
      <c r="AR826" s="710"/>
      <c r="AV826" s="82"/>
      <c r="AW826" s="947"/>
      <c r="AX826" s="947"/>
      <c r="AY826" s="947"/>
    </row>
    <row r="827" spans="31:51" x14ac:dyDescent="0.25">
      <c r="AE827" s="75"/>
      <c r="AF827" s="82"/>
      <c r="AG827" s="82"/>
      <c r="AH827" s="82"/>
      <c r="AI827" s="82"/>
      <c r="AJ827" s="166"/>
      <c r="AK827" s="82"/>
      <c r="AL827" s="162"/>
      <c r="AM827" s="162"/>
      <c r="AN827" s="162"/>
      <c r="AO827" s="162"/>
      <c r="AP827" s="162"/>
      <c r="AQ827" s="162"/>
      <c r="AR827" s="710"/>
      <c r="AV827" s="82"/>
      <c r="AW827" s="947"/>
      <c r="AX827" s="947"/>
      <c r="AY827" s="947"/>
    </row>
    <row r="828" spans="31:51" x14ac:dyDescent="0.25">
      <c r="AE828" s="75"/>
      <c r="AF828" s="82"/>
      <c r="AG828" s="82"/>
      <c r="AH828" s="82"/>
      <c r="AI828" s="82"/>
      <c r="AJ828" s="166"/>
      <c r="AK828" s="82"/>
      <c r="AL828" s="162"/>
      <c r="AM828" s="162"/>
      <c r="AN828" s="162"/>
      <c r="AO828" s="162"/>
      <c r="AP828" s="162"/>
      <c r="AQ828" s="162"/>
      <c r="AR828" s="710"/>
      <c r="AV828" s="82"/>
      <c r="AW828" s="947"/>
      <c r="AX828" s="947"/>
      <c r="AY828" s="947"/>
    </row>
    <row r="829" spans="31:51" x14ac:dyDescent="0.25">
      <c r="AE829" s="75"/>
      <c r="AF829" s="82"/>
      <c r="AG829" s="82"/>
      <c r="AH829" s="82"/>
      <c r="AI829" s="82"/>
      <c r="AJ829" s="166"/>
      <c r="AK829" s="82"/>
      <c r="AL829" s="162"/>
      <c r="AM829" s="162"/>
      <c r="AN829" s="162"/>
      <c r="AO829" s="162"/>
      <c r="AP829" s="162"/>
      <c r="AQ829" s="162"/>
      <c r="AR829" s="710"/>
      <c r="AV829" s="82"/>
      <c r="AW829" s="947"/>
      <c r="AX829" s="947"/>
      <c r="AY829" s="947"/>
    </row>
    <row r="830" spans="31:51" x14ac:dyDescent="0.25">
      <c r="AE830" s="75"/>
      <c r="AF830" s="82"/>
      <c r="AG830" s="82"/>
      <c r="AH830" s="82"/>
      <c r="AI830" s="82"/>
      <c r="AJ830" s="166"/>
      <c r="AK830" s="82"/>
      <c r="AL830" s="162"/>
      <c r="AM830" s="162"/>
      <c r="AN830" s="162"/>
      <c r="AO830" s="162"/>
      <c r="AP830" s="162"/>
      <c r="AQ830" s="162"/>
      <c r="AR830" s="710"/>
      <c r="AV830" s="82"/>
      <c r="AW830" s="947"/>
      <c r="AX830" s="947"/>
      <c r="AY830" s="947"/>
    </row>
    <row r="831" spans="31:51" x14ac:dyDescent="0.25">
      <c r="AE831" s="75"/>
      <c r="AF831" s="82"/>
      <c r="AG831" s="82"/>
      <c r="AH831" s="82"/>
      <c r="AI831" s="82"/>
      <c r="AJ831" s="166"/>
      <c r="AK831" s="82"/>
      <c r="AL831" s="162"/>
      <c r="AM831" s="162"/>
      <c r="AN831" s="162"/>
      <c r="AO831" s="162"/>
      <c r="AP831" s="162"/>
      <c r="AQ831" s="162"/>
      <c r="AR831" s="710"/>
      <c r="AV831" s="82"/>
      <c r="AW831" s="947"/>
      <c r="AX831" s="947"/>
      <c r="AY831" s="947"/>
    </row>
    <row r="832" spans="31:51" x14ac:dyDescent="0.25">
      <c r="AE832" s="75"/>
      <c r="AF832" s="82"/>
      <c r="AG832" s="82"/>
      <c r="AH832" s="82"/>
      <c r="AI832" s="82"/>
      <c r="AJ832" s="166"/>
      <c r="AK832" s="82"/>
      <c r="AL832" s="162"/>
      <c r="AM832" s="162"/>
      <c r="AN832" s="162"/>
      <c r="AO832" s="162"/>
      <c r="AP832" s="162"/>
      <c r="AQ832" s="162"/>
      <c r="AR832" s="710"/>
      <c r="AV832" s="82"/>
      <c r="AW832" s="947"/>
      <c r="AX832" s="947"/>
      <c r="AY832" s="947"/>
    </row>
    <row r="833" spans="31:51" x14ac:dyDescent="0.25">
      <c r="AE833" s="75"/>
      <c r="AF833" s="82"/>
      <c r="AG833" s="82"/>
      <c r="AH833" s="82"/>
      <c r="AI833" s="82"/>
      <c r="AJ833" s="166"/>
      <c r="AK833" s="82"/>
      <c r="AL833" s="162"/>
      <c r="AM833" s="162"/>
      <c r="AN833" s="162"/>
      <c r="AO833" s="162"/>
      <c r="AP833" s="162"/>
      <c r="AQ833" s="162"/>
      <c r="AR833" s="710"/>
      <c r="AV833" s="82"/>
      <c r="AW833" s="947"/>
      <c r="AX833" s="947"/>
      <c r="AY833" s="947"/>
    </row>
    <row r="834" spans="31:51" x14ac:dyDescent="0.25">
      <c r="AE834" s="75"/>
      <c r="AF834" s="82"/>
      <c r="AG834" s="82"/>
      <c r="AH834" s="82"/>
      <c r="AI834" s="82"/>
      <c r="AJ834" s="166"/>
      <c r="AK834" s="82"/>
      <c r="AL834" s="162"/>
      <c r="AM834" s="162"/>
      <c r="AN834" s="162"/>
      <c r="AO834" s="162"/>
      <c r="AP834" s="162"/>
      <c r="AQ834" s="162"/>
      <c r="AR834" s="710"/>
      <c r="AV834" s="82"/>
      <c r="AW834" s="947"/>
      <c r="AX834" s="947"/>
      <c r="AY834" s="947"/>
    </row>
    <row r="835" spans="31:51" x14ac:dyDescent="0.25">
      <c r="AE835" s="75"/>
      <c r="AF835" s="82"/>
      <c r="AG835" s="82"/>
      <c r="AH835" s="82"/>
      <c r="AI835" s="82"/>
      <c r="AJ835" s="166"/>
      <c r="AK835" s="82"/>
      <c r="AL835" s="162"/>
      <c r="AM835" s="162"/>
      <c r="AN835" s="162"/>
      <c r="AO835" s="162"/>
      <c r="AP835" s="162"/>
      <c r="AQ835" s="162"/>
      <c r="AR835" s="710"/>
      <c r="AV835" s="82"/>
      <c r="AW835" s="947"/>
      <c r="AX835" s="947"/>
      <c r="AY835" s="947"/>
    </row>
    <row r="836" spans="31:51" x14ac:dyDescent="0.25">
      <c r="AE836" s="75"/>
      <c r="AF836" s="82"/>
      <c r="AG836" s="82"/>
      <c r="AH836" s="82"/>
      <c r="AI836" s="82"/>
      <c r="AJ836" s="166"/>
      <c r="AK836" s="82"/>
      <c r="AL836" s="162"/>
      <c r="AM836" s="162"/>
      <c r="AN836" s="162"/>
      <c r="AO836" s="162"/>
      <c r="AP836" s="162"/>
      <c r="AQ836" s="162"/>
      <c r="AR836" s="710"/>
      <c r="AV836" s="82"/>
      <c r="AW836" s="947"/>
      <c r="AX836" s="947"/>
      <c r="AY836" s="947"/>
    </row>
    <row r="837" spans="31:51" x14ac:dyDescent="0.25">
      <c r="AE837" s="75"/>
      <c r="AF837" s="82"/>
      <c r="AG837" s="82"/>
      <c r="AH837" s="82"/>
      <c r="AI837" s="82"/>
      <c r="AJ837" s="166"/>
      <c r="AK837" s="82"/>
      <c r="AL837" s="162"/>
      <c r="AM837" s="162"/>
      <c r="AN837" s="162"/>
      <c r="AO837" s="162"/>
      <c r="AP837" s="162"/>
      <c r="AQ837" s="162"/>
      <c r="AR837" s="710"/>
      <c r="AV837" s="82"/>
      <c r="AW837" s="947"/>
      <c r="AX837" s="947"/>
      <c r="AY837" s="947"/>
    </row>
    <row r="838" spans="31:51" x14ac:dyDescent="0.25">
      <c r="AE838" s="75"/>
      <c r="AF838" s="82"/>
      <c r="AG838" s="82"/>
      <c r="AH838" s="82"/>
      <c r="AI838" s="82"/>
      <c r="AJ838" s="166"/>
      <c r="AK838" s="82"/>
      <c r="AL838" s="162"/>
      <c r="AM838" s="162"/>
      <c r="AN838" s="162"/>
      <c r="AO838" s="162"/>
      <c r="AP838" s="162"/>
      <c r="AQ838" s="162"/>
      <c r="AR838" s="710"/>
      <c r="AV838" s="82"/>
      <c r="AW838" s="947"/>
      <c r="AX838" s="947"/>
      <c r="AY838" s="947"/>
    </row>
    <row r="839" spans="31:51" x14ac:dyDescent="0.25">
      <c r="AE839" s="75"/>
      <c r="AF839" s="82"/>
      <c r="AG839" s="82"/>
      <c r="AH839" s="82"/>
      <c r="AI839" s="82"/>
      <c r="AJ839" s="166"/>
      <c r="AK839" s="82"/>
      <c r="AL839" s="162"/>
      <c r="AM839" s="162"/>
      <c r="AN839" s="162"/>
      <c r="AO839" s="162"/>
      <c r="AP839" s="162"/>
      <c r="AQ839" s="162"/>
      <c r="AR839" s="710"/>
      <c r="AV839" s="82"/>
      <c r="AW839" s="947"/>
      <c r="AX839" s="947"/>
      <c r="AY839" s="947"/>
    </row>
    <row r="840" spans="31:51" x14ac:dyDescent="0.25">
      <c r="AE840" s="75"/>
      <c r="AF840" s="82"/>
      <c r="AG840" s="82"/>
      <c r="AH840" s="82"/>
      <c r="AI840" s="82"/>
      <c r="AJ840" s="166"/>
      <c r="AK840" s="82"/>
      <c r="AL840" s="162"/>
      <c r="AM840" s="162"/>
      <c r="AN840" s="162"/>
      <c r="AO840" s="162"/>
      <c r="AP840" s="162"/>
      <c r="AQ840" s="162"/>
      <c r="AR840" s="710"/>
      <c r="AV840" s="82"/>
      <c r="AW840" s="947"/>
      <c r="AX840" s="947"/>
      <c r="AY840" s="947"/>
    </row>
    <row r="841" spans="31:51" x14ac:dyDescent="0.25">
      <c r="AE841" s="75"/>
      <c r="AF841" s="82"/>
      <c r="AG841" s="82"/>
      <c r="AH841" s="82"/>
      <c r="AI841" s="82"/>
      <c r="AJ841" s="166"/>
      <c r="AK841" s="82"/>
      <c r="AL841" s="162"/>
      <c r="AM841" s="162"/>
      <c r="AN841" s="162"/>
      <c r="AO841" s="162"/>
      <c r="AP841" s="162"/>
      <c r="AQ841" s="162"/>
      <c r="AR841" s="710"/>
      <c r="AV841" s="82"/>
      <c r="AW841" s="947"/>
      <c r="AX841" s="947"/>
      <c r="AY841" s="947"/>
    </row>
    <row r="842" spans="31:51" x14ac:dyDescent="0.25">
      <c r="AE842" s="75"/>
      <c r="AF842" s="82"/>
      <c r="AG842" s="82"/>
      <c r="AH842" s="82"/>
      <c r="AI842" s="82"/>
      <c r="AJ842" s="166"/>
      <c r="AK842" s="82"/>
      <c r="AL842" s="162"/>
      <c r="AM842" s="162"/>
      <c r="AN842" s="162"/>
      <c r="AO842" s="162"/>
      <c r="AP842" s="162"/>
      <c r="AQ842" s="162"/>
      <c r="AR842" s="710"/>
      <c r="AV842" s="82"/>
      <c r="AW842" s="947"/>
      <c r="AX842" s="947"/>
      <c r="AY842" s="947"/>
    </row>
    <row r="843" spans="31:51" x14ac:dyDescent="0.25">
      <c r="AE843" s="75"/>
      <c r="AF843" s="82"/>
      <c r="AG843" s="82"/>
      <c r="AH843" s="82"/>
      <c r="AI843" s="82"/>
      <c r="AJ843" s="166"/>
      <c r="AK843" s="82"/>
      <c r="AL843" s="162"/>
      <c r="AM843" s="162"/>
      <c r="AN843" s="162"/>
      <c r="AO843" s="162"/>
      <c r="AP843" s="162"/>
      <c r="AQ843" s="162"/>
      <c r="AR843" s="710"/>
      <c r="AV843" s="82"/>
      <c r="AW843" s="947"/>
      <c r="AX843" s="947"/>
      <c r="AY843" s="947"/>
    </row>
    <row r="844" spans="31:51" x14ac:dyDescent="0.25">
      <c r="AE844" s="75"/>
      <c r="AF844" s="82"/>
      <c r="AG844" s="82"/>
      <c r="AH844" s="82"/>
      <c r="AI844" s="82"/>
      <c r="AJ844" s="166"/>
      <c r="AK844" s="82"/>
      <c r="AL844" s="162"/>
      <c r="AM844" s="162"/>
      <c r="AN844" s="162"/>
      <c r="AO844" s="162"/>
      <c r="AP844" s="162"/>
      <c r="AQ844" s="162"/>
      <c r="AR844" s="710"/>
      <c r="AV844" s="82"/>
      <c r="AW844" s="947"/>
      <c r="AX844" s="947"/>
      <c r="AY844" s="947"/>
    </row>
    <row r="845" spans="31:51" x14ac:dyDescent="0.25">
      <c r="AE845" s="75"/>
      <c r="AF845" s="82"/>
      <c r="AG845" s="82"/>
      <c r="AH845" s="82"/>
      <c r="AI845" s="82"/>
      <c r="AJ845" s="166"/>
      <c r="AK845" s="82"/>
      <c r="AL845" s="162"/>
      <c r="AM845" s="162"/>
      <c r="AN845" s="162"/>
      <c r="AO845" s="162"/>
      <c r="AP845" s="162"/>
      <c r="AQ845" s="162"/>
      <c r="AR845" s="710"/>
      <c r="AV845" s="82"/>
      <c r="AW845" s="947"/>
      <c r="AX845" s="947"/>
      <c r="AY845" s="947"/>
    </row>
    <row r="846" spans="31:51" x14ac:dyDescent="0.25">
      <c r="AE846" s="75"/>
      <c r="AF846" s="82"/>
      <c r="AG846" s="82"/>
      <c r="AH846" s="82"/>
      <c r="AI846" s="82"/>
      <c r="AJ846" s="166"/>
      <c r="AK846" s="82"/>
      <c r="AL846" s="162"/>
      <c r="AM846" s="162"/>
      <c r="AN846" s="162"/>
      <c r="AO846" s="162"/>
      <c r="AP846" s="162"/>
      <c r="AQ846" s="162"/>
      <c r="AR846" s="710"/>
      <c r="AV846" s="82"/>
      <c r="AW846" s="947"/>
      <c r="AX846" s="947"/>
      <c r="AY846" s="947"/>
    </row>
    <row r="847" spans="31:51" x14ac:dyDescent="0.25">
      <c r="AE847" s="75"/>
      <c r="AF847" s="82"/>
      <c r="AG847" s="82"/>
      <c r="AH847" s="82"/>
      <c r="AI847" s="82"/>
      <c r="AJ847" s="166"/>
      <c r="AK847" s="82"/>
      <c r="AL847" s="162"/>
      <c r="AM847" s="162"/>
      <c r="AN847" s="162"/>
      <c r="AO847" s="162"/>
      <c r="AP847" s="162"/>
      <c r="AQ847" s="162"/>
      <c r="AR847" s="710"/>
      <c r="AV847" s="82"/>
      <c r="AW847" s="947"/>
      <c r="AX847" s="947"/>
      <c r="AY847" s="947"/>
    </row>
    <row r="848" spans="31:51" x14ac:dyDescent="0.25">
      <c r="AE848" s="75"/>
      <c r="AF848" s="82"/>
      <c r="AG848" s="82"/>
      <c r="AH848" s="82"/>
      <c r="AI848" s="82"/>
      <c r="AJ848" s="166"/>
      <c r="AK848" s="82"/>
      <c r="AL848" s="162"/>
      <c r="AM848" s="162"/>
      <c r="AN848" s="162"/>
      <c r="AO848" s="162"/>
      <c r="AP848" s="162"/>
      <c r="AQ848" s="162"/>
      <c r="AR848" s="710"/>
      <c r="AV848" s="82"/>
      <c r="AW848" s="947"/>
      <c r="AX848" s="947"/>
      <c r="AY848" s="947"/>
    </row>
    <row r="849" spans="31:51" x14ac:dyDescent="0.25">
      <c r="AE849" s="75"/>
      <c r="AF849" s="82"/>
      <c r="AG849" s="82"/>
      <c r="AH849" s="82"/>
      <c r="AI849" s="82"/>
      <c r="AJ849" s="166"/>
      <c r="AK849" s="82"/>
      <c r="AL849" s="162"/>
      <c r="AM849" s="162"/>
      <c r="AN849" s="162"/>
      <c r="AO849" s="162"/>
      <c r="AP849" s="162"/>
      <c r="AQ849" s="162"/>
      <c r="AR849" s="710"/>
      <c r="AV849" s="82"/>
      <c r="AW849" s="947"/>
      <c r="AX849" s="947"/>
      <c r="AY849" s="947"/>
    </row>
    <row r="850" spans="31:51" x14ac:dyDescent="0.25">
      <c r="AE850" s="75"/>
      <c r="AF850" s="82"/>
      <c r="AG850" s="82"/>
      <c r="AH850" s="82"/>
      <c r="AI850" s="82"/>
      <c r="AJ850" s="166"/>
      <c r="AK850" s="82"/>
      <c r="AL850" s="162"/>
      <c r="AM850" s="162"/>
      <c r="AN850" s="162"/>
      <c r="AO850" s="162"/>
      <c r="AP850" s="162"/>
      <c r="AQ850" s="162"/>
      <c r="AR850" s="710"/>
      <c r="AV850" s="82"/>
      <c r="AW850" s="947"/>
      <c r="AX850" s="947"/>
      <c r="AY850" s="947"/>
    </row>
    <row r="851" spans="31:51" x14ac:dyDescent="0.25">
      <c r="AE851" s="75"/>
      <c r="AF851" s="82"/>
      <c r="AG851" s="82"/>
      <c r="AH851" s="82"/>
      <c r="AI851" s="82"/>
      <c r="AJ851" s="166"/>
      <c r="AK851" s="82"/>
      <c r="AL851" s="162"/>
      <c r="AM851" s="162"/>
      <c r="AN851" s="162"/>
      <c r="AO851" s="162"/>
      <c r="AP851" s="162"/>
      <c r="AQ851" s="162"/>
      <c r="AR851" s="710"/>
      <c r="AV851" s="82"/>
      <c r="AW851" s="947"/>
      <c r="AX851" s="947"/>
      <c r="AY851" s="947"/>
    </row>
    <row r="852" spans="31:51" x14ac:dyDescent="0.25">
      <c r="AE852" s="75"/>
      <c r="AF852" s="82"/>
      <c r="AG852" s="82"/>
      <c r="AH852" s="82"/>
      <c r="AI852" s="82"/>
      <c r="AJ852" s="166"/>
      <c r="AK852" s="82"/>
      <c r="AL852" s="162"/>
      <c r="AM852" s="162"/>
      <c r="AN852" s="162"/>
      <c r="AO852" s="162"/>
      <c r="AP852" s="162"/>
      <c r="AQ852" s="162"/>
      <c r="AR852" s="710"/>
      <c r="AV852" s="82"/>
      <c r="AW852" s="947"/>
      <c r="AX852" s="947"/>
      <c r="AY852" s="947"/>
    </row>
    <row r="853" spans="31:51" x14ac:dyDescent="0.25">
      <c r="AE853" s="75"/>
      <c r="AF853" s="82"/>
      <c r="AG853" s="82"/>
      <c r="AH853" s="82"/>
      <c r="AI853" s="82"/>
      <c r="AJ853" s="166"/>
      <c r="AK853" s="82"/>
      <c r="AL853" s="162"/>
      <c r="AM853" s="162"/>
      <c r="AN853" s="162"/>
      <c r="AO853" s="162"/>
      <c r="AP853" s="162"/>
      <c r="AQ853" s="162"/>
      <c r="AR853" s="710"/>
      <c r="AV853" s="82"/>
      <c r="AW853" s="947"/>
      <c r="AX853" s="947"/>
      <c r="AY853" s="947"/>
    </row>
    <row r="854" spans="31:51" x14ac:dyDescent="0.25">
      <c r="AE854" s="75"/>
      <c r="AF854" s="82"/>
      <c r="AG854" s="82"/>
      <c r="AH854" s="82"/>
      <c r="AI854" s="82"/>
      <c r="AJ854" s="166"/>
      <c r="AK854" s="82"/>
      <c r="AL854" s="162"/>
      <c r="AM854" s="162"/>
      <c r="AN854" s="162"/>
      <c r="AO854" s="162"/>
      <c r="AP854" s="162"/>
      <c r="AQ854" s="162"/>
      <c r="AR854" s="710"/>
      <c r="AV854" s="82"/>
      <c r="AW854" s="947"/>
      <c r="AX854" s="947"/>
      <c r="AY854" s="947"/>
    </row>
    <row r="855" spans="31:51" x14ac:dyDescent="0.25">
      <c r="AE855" s="75"/>
      <c r="AF855" s="82"/>
      <c r="AG855" s="82"/>
      <c r="AH855" s="82"/>
      <c r="AI855" s="82"/>
      <c r="AJ855" s="166"/>
      <c r="AK855" s="82"/>
      <c r="AL855" s="162"/>
      <c r="AM855" s="162"/>
      <c r="AN855" s="162"/>
      <c r="AO855" s="162"/>
      <c r="AP855" s="162"/>
      <c r="AQ855" s="162"/>
      <c r="AR855" s="710"/>
      <c r="AV855" s="82"/>
      <c r="AW855" s="947"/>
      <c r="AX855" s="947"/>
      <c r="AY855" s="947"/>
    </row>
    <row r="856" spans="31:51" x14ac:dyDescent="0.25">
      <c r="AE856" s="75"/>
      <c r="AF856" s="82"/>
      <c r="AG856" s="82"/>
      <c r="AH856" s="82"/>
      <c r="AI856" s="82"/>
      <c r="AJ856" s="166"/>
      <c r="AK856" s="82"/>
      <c r="AL856" s="162"/>
      <c r="AM856" s="162"/>
      <c r="AN856" s="162"/>
      <c r="AO856" s="162"/>
      <c r="AP856" s="162"/>
      <c r="AQ856" s="162"/>
      <c r="AR856" s="710"/>
      <c r="AV856" s="82"/>
      <c r="AW856" s="947"/>
      <c r="AX856" s="947"/>
      <c r="AY856" s="947"/>
    </row>
    <row r="857" spans="31:51" x14ac:dyDescent="0.25">
      <c r="AE857" s="75"/>
      <c r="AF857" s="82"/>
      <c r="AG857" s="82"/>
      <c r="AH857" s="82"/>
      <c r="AI857" s="82"/>
      <c r="AJ857" s="166"/>
      <c r="AK857" s="82"/>
      <c r="AL857" s="162"/>
      <c r="AM857" s="162"/>
      <c r="AN857" s="162"/>
      <c r="AO857" s="162"/>
      <c r="AP857" s="162"/>
      <c r="AQ857" s="162"/>
      <c r="AR857" s="710"/>
      <c r="AV857" s="82"/>
      <c r="AW857" s="947"/>
      <c r="AX857" s="947"/>
      <c r="AY857" s="947"/>
    </row>
    <row r="858" spans="31:51" x14ac:dyDescent="0.25">
      <c r="AE858" s="75"/>
      <c r="AF858" s="82"/>
      <c r="AG858" s="82"/>
      <c r="AH858" s="82"/>
      <c r="AI858" s="82"/>
      <c r="AJ858" s="166"/>
      <c r="AK858" s="82"/>
      <c r="AL858" s="162"/>
      <c r="AM858" s="162"/>
      <c r="AN858" s="162"/>
      <c r="AO858" s="162"/>
      <c r="AP858" s="162"/>
      <c r="AQ858" s="162"/>
      <c r="AR858" s="710"/>
      <c r="AV858" s="82"/>
      <c r="AW858" s="947"/>
      <c r="AX858" s="947"/>
      <c r="AY858" s="947"/>
    </row>
    <row r="859" spans="31:51" x14ac:dyDescent="0.25">
      <c r="AE859" s="75"/>
      <c r="AF859" s="82"/>
      <c r="AG859" s="82"/>
      <c r="AH859" s="82"/>
      <c r="AI859" s="82"/>
      <c r="AJ859" s="166"/>
      <c r="AK859" s="82"/>
      <c r="AL859" s="162"/>
      <c r="AM859" s="162"/>
      <c r="AN859" s="162"/>
      <c r="AO859" s="162"/>
      <c r="AP859" s="162"/>
      <c r="AQ859" s="162"/>
      <c r="AR859" s="710"/>
      <c r="AV859" s="82"/>
      <c r="AW859" s="947"/>
      <c r="AX859" s="947"/>
      <c r="AY859" s="947"/>
    </row>
    <row r="860" spans="31:51" x14ac:dyDescent="0.25">
      <c r="AE860" s="75"/>
      <c r="AF860" s="82"/>
      <c r="AG860" s="82"/>
      <c r="AH860" s="82"/>
      <c r="AI860" s="82"/>
      <c r="AJ860" s="166"/>
      <c r="AK860" s="82"/>
      <c r="AL860" s="162"/>
      <c r="AM860" s="162"/>
      <c r="AN860" s="162"/>
      <c r="AO860" s="162"/>
      <c r="AP860" s="162"/>
      <c r="AQ860" s="162"/>
      <c r="AR860" s="710"/>
      <c r="AV860" s="82"/>
      <c r="AW860" s="947"/>
      <c r="AX860" s="947"/>
      <c r="AY860" s="947"/>
    </row>
    <row r="861" spans="31:51" x14ac:dyDescent="0.25">
      <c r="AE861" s="75"/>
      <c r="AF861" s="82"/>
      <c r="AG861" s="82"/>
      <c r="AH861" s="82"/>
      <c r="AI861" s="82"/>
      <c r="AJ861" s="166"/>
      <c r="AK861" s="82"/>
      <c r="AL861" s="162"/>
      <c r="AM861" s="162"/>
      <c r="AN861" s="162"/>
      <c r="AO861" s="162"/>
      <c r="AP861" s="162"/>
      <c r="AQ861" s="162"/>
      <c r="AR861" s="710"/>
      <c r="AV861" s="82"/>
      <c r="AW861" s="947"/>
      <c r="AX861" s="947"/>
      <c r="AY861" s="947"/>
    </row>
    <row r="862" spans="31:51" x14ac:dyDescent="0.25">
      <c r="AE862" s="75"/>
      <c r="AF862" s="82"/>
      <c r="AG862" s="82"/>
      <c r="AH862" s="82"/>
      <c r="AI862" s="82"/>
      <c r="AJ862" s="166"/>
      <c r="AK862" s="82"/>
      <c r="AL862" s="162"/>
      <c r="AM862" s="162"/>
      <c r="AN862" s="162"/>
      <c r="AO862" s="162"/>
      <c r="AP862" s="162"/>
      <c r="AQ862" s="162"/>
      <c r="AR862" s="710"/>
      <c r="AV862" s="82"/>
      <c r="AW862" s="947"/>
      <c r="AX862" s="947"/>
      <c r="AY862" s="947"/>
    </row>
    <row r="863" spans="31:51" x14ac:dyDescent="0.25">
      <c r="AE863" s="75"/>
      <c r="AF863" s="82"/>
      <c r="AG863" s="82"/>
      <c r="AH863" s="82"/>
      <c r="AI863" s="82"/>
      <c r="AJ863" s="166"/>
      <c r="AK863" s="82"/>
      <c r="AL863" s="162"/>
      <c r="AM863" s="162"/>
      <c r="AN863" s="162"/>
      <c r="AO863" s="162"/>
      <c r="AP863" s="162"/>
      <c r="AQ863" s="162"/>
      <c r="AR863" s="710"/>
      <c r="AV863" s="82"/>
      <c r="AW863" s="947"/>
      <c r="AX863" s="947"/>
      <c r="AY863" s="947"/>
    </row>
    <row r="864" spans="31:51" x14ac:dyDescent="0.25">
      <c r="AE864" s="75"/>
      <c r="AF864" s="82"/>
      <c r="AG864" s="82"/>
      <c r="AH864" s="82"/>
      <c r="AI864" s="82"/>
      <c r="AJ864" s="166"/>
      <c r="AK864" s="82"/>
      <c r="AL864" s="162"/>
      <c r="AM864" s="162"/>
      <c r="AN864" s="162"/>
      <c r="AO864" s="162"/>
      <c r="AP864" s="162"/>
      <c r="AQ864" s="162"/>
      <c r="AR864" s="710"/>
      <c r="AV864" s="82"/>
      <c r="AW864" s="947"/>
      <c r="AX864" s="947"/>
      <c r="AY864" s="947"/>
    </row>
    <row r="865" spans="31:51" x14ac:dyDescent="0.25">
      <c r="AE865" s="75"/>
      <c r="AF865" s="82"/>
      <c r="AG865" s="82"/>
      <c r="AH865" s="82"/>
      <c r="AI865" s="82"/>
      <c r="AJ865" s="166"/>
      <c r="AK865" s="82"/>
      <c r="AL865" s="162"/>
      <c r="AM865" s="162"/>
      <c r="AN865" s="162"/>
      <c r="AO865" s="162"/>
      <c r="AP865" s="162"/>
      <c r="AQ865" s="162"/>
      <c r="AR865" s="710"/>
      <c r="AV865" s="82"/>
      <c r="AW865" s="947"/>
      <c r="AX865" s="947"/>
      <c r="AY865" s="947"/>
    </row>
    <row r="866" spans="31:51" x14ac:dyDescent="0.25">
      <c r="AE866" s="75"/>
      <c r="AF866" s="82"/>
      <c r="AG866" s="82"/>
      <c r="AH866" s="82"/>
      <c r="AI866" s="82"/>
      <c r="AJ866" s="166"/>
      <c r="AK866" s="82"/>
      <c r="AL866" s="162"/>
      <c r="AM866" s="162"/>
      <c r="AN866" s="162"/>
      <c r="AO866" s="162"/>
      <c r="AP866" s="162"/>
      <c r="AQ866" s="162"/>
      <c r="AR866" s="710"/>
      <c r="AV866" s="82"/>
      <c r="AW866" s="947"/>
      <c r="AX866" s="947"/>
      <c r="AY866" s="947"/>
    </row>
    <row r="867" spans="31:51" x14ac:dyDescent="0.25">
      <c r="AE867" s="75"/>
      <c r="AF867" s="82"/>
      <c r="AG867" s="82"/>
      <c r="AH867" s="82"/>
      <c r="AI867" s="82"/>
      <c r="AJ867" s="166"/>
      <c r="AK867" s="82"/>
      <c r="AL867" s="162"/>
      <c r="AM867" s="162"/>
      <c r="AN867" s="162"/>
      <c r="AO867" s="162"/>
      <c r="AP867" s="162"/>
      <c r="AQ867" s="162"/>
      <c r="AR867" s="710"/>
      <c r="AV867" s="82"/>
      <c r="AW867" s="947"/>
      <c r="AX867" s="947"/>
      <c r="AY867" s="947"/>
    </row>
    <row r="868" spans="31:51" x14ac:dyDescent="0.25">
      <c r="AE868" s="75"/>
      <c r="AF868" s="82"/>
      <c r="AG868" s="82"/>
      <c r="AH868" s="82"/>
      <c r="AI868" s="82"/>
      <c r="AJ868" s="166"/>
      <c r="AK868" s="82"/>
      <c r="AL868" s="162"/>
      <c r="AM868" s="162"/>
      <c r="AN868" s="162"/>
      <c r="AO868" s="162"/>
      <c r="AP868" s="162"/>
      <c r="AQ868" s="162"/>
      <c r="AR868" s="710"/>
      <c r="AV868" s="82"/>
      <c r="AW868" s="947"/>
      <c r="AX868" s="947"/>
      <c r="AY868" s="947"/>
    </row>
    <row r="869" spans="31:51" x14ac:dyDescent="0.25">
      <c r="AE869" s="75"/>
      <c r="AF869" s="82"/>
      <c r="AG869" s="82"/>
      <c r="AH869" s="82"/>
      <c r="AI869" s="82"/>
      <c r="AJ869" s="166"/>
      <c r="AK869" s="82"/>
      <c r="AL869" s="162"/>
      <c r="AM869" s="162"/>
      <c r="AN869" s="162"/>
      <c r="AO869" s="162"/>
      <c r="AP869" s="162"/>
      <c r="AQ869" s="162"/>
      <c r="AR869" s="710"/>
      <c r="AV869" s="82"/>
      <c r="AW869" s="947"/>
      <c r="AX869" s="947"/>
      <c r="AY869" s="947"/>
    </row>
    <row r="870" spans="31:51" x14ac:dyDescent="0.25">
      <c r="AE870" s="75"/>
      <c r="AF870" s="82"/>
      <c r="AG870" s="82"/>
      <c r="AH870" s="82"/>
      <c r="AI870" s="82"/>
      <c r="AJ870" s="166"/>
      <c r="AK870" s="82"/>
      <c r="AL870" s="162"/>
      <c r="AM870" s="162"/>
      <c r="AN870" s="162"/>
      <c r="AO870" s="162"/>
      <c r="AP870" s="162"/>
      <c r="AQ870" s="162"/>
      <c r="AR870" s="710"/>
      <c r="AV870" s="82"/>
      <c r="AW870" s="947"/>
      <c r="AX870" s="947"/>
      <c r="AY870" s="947"/>
    </row>
    <row r="871" spans="31:51" x14ac:dyDescent="0.25">
      <c r="AE871" s="75"/>
      <c r="AF871" s="82"/>
      <c r="AG871" s="82"/>
      <c r="AH871" s="82"/>
      <c r="AI871" s="82"/>
      <c r="AJ871" s="166"/>
      <c r="AK871" s="82"/>
      <c r="AL871" s="162"/>
      <c r="AM871" s="162"/>
      <c r="AN871" s="162"/>
      <c r="AO871" s="162"/>
      <c r="AP871" s="162"/>
      <c r="AQ871" s="162"/>
      <c r="AR871" s="710"/>
      <c r="AV871" s="82"/>
      <c r="AW871" s="947"/>
      <c r="AX871" s="947"/>
      <c r="AY871" s="947"/>
    </row>
    <row r="872" spans="31:51" x14ac:dyDescent="0.25">
      <c r="AE872" s="75"/>
      <c r="AF872" s="82"/>
      <c r="AG872" s="82"/>
      <c r="AH872" s="82"/>
      <c r="AI872" s="82"/>
      <c r="AJ872" s="166"/>
      <c r="AK872" s="82"/>
      <c r="AL872" s="162"/>
      <c r="AM872" s="162"/>
      <c r="AN872" s="162"/>
      <c r="AO872" s="162"/>
      <c r="AP872" s="162"/>
      <c r="AQ872" s="162"/>
      <c r="AR872" s="710"/>
      <c r="AV872" s="82"/>
      <c r="AW872" s="947"/>
      <c r="AX872" s="947"/>
      <c r="AY872" s="947"/>
    </row>
    <row r="873" spans="31:51" x14ac:dyDescent="0.25">
      <c r="AE873" s="75"/>
      <c r="AF873" s="82"/>
      <c r="AG873" s="82"/>
      <c r="AH873" s="82"/>
      <c r="AI873" s="82"/>
      <c r="AJ873" s="166"/>
      <c r="AK873" s="82"/>
      <c r="AL873" s="162"/>
      <c r="AM873" s="162"/>
      <c r="AN873" s="162"/>
      <c r="AO873" s="162"/>
      <c r="AP873" s="162"/>
      <c r="AQ873" s="162"/>
      <c r="AR873" s="710"/>
      <c r="AV873" s="82"/>
      <c r="AW873" s="947"/>
      <c r="AX873" s="947"/>
      <c r="AY873" s="947"/>
    </row>
    <row r="874" spans="31:51" x14ac:dyDescent="0.25">
      <c r="AE874" s="75"/>
      <c r="AF874" s="82"/>
      <c r="AG874" s="82"/>
      <c r="AH874" s="82"/>
      <c r="AI874" s="82"/>
      <c r="AJ874" s="166"/>
      <c r="AK874" s="82"/>
      <c r="AL874" s="162"/>
      <c r="AM874" s="162"/>
      <c r="AN874" s="162"/>
      <c r="AO874" s="162"/>
      <c r="AP874" s="162"/>
      <c r="AQ874" s="162"/>
      <c r="AR874" s="710"/>
      <c r="AV874" s="82"/>
      <c r="AW874" s="947"/>
      <c r="AX874" s="947"/>
      <c r="AY874" s="947"/>
    </row>
    <row r="875" spans="31:51" x14ac:dyDescent="0.25">
      <c r="AE875" s="75"/>
      <c r="AF875" s="82"/>
      <c r="AG875" s="82"/>
      <c r="AH875" s="82"/>
      <c r="AI875" s="82"/>
      <c r="AJ875" s="166"/>
      <c r="AK875" s="82"/>
      <c r="AL875" s="162"/>
      <c r="AM875" s="162"/>
      <c r="AN875" s="162"/>
      <c r="AO875" s="162"/>
      <c r="AP875" s="162"/>
      <c r="AQ875" s="162"/>
      <c r="AR875" s="710"/>
      <c r="AV875" s="82"/>
      <c r="AW875" s="947"/>
      <c r="AX875" s="947"/>
      <c r="AY875" s="947"/>
    </row>
    <row r="876" spans="31:51" x14ac:dyDescent="0.25">
      <c r="AE876" s="75"/>
      <c r="AF876" s="82"/>
      <c r="AG876" s="82"/>
      <c r="AH876" s="82"/>
      <c r="AI876" s="82"/>
      <c r="AJ876" s="166"/>
      <c r="AK876" s="82"/>
      <c r="AL876" s="162"/>
      <c r="AM876" s="162"/>
      <c r="AN876" s="162"/>
      <c r="AO876" s="162"/>
      <c r="AP876" s="162"/>
      <c r="AQ876" s="162"/>
      <c r="AR876" s="710"/>
      <c r="AV876" s="82"/>
      <c r="AW876" s="947"/>
      <c r="AX876" s="947"/>
      <c r="AY876" s="947"/>
    </row>
    <row r="877" spans="31:51" x14ac:dyDescent="0.25">
      <c r="AE877" s="75"/>
      <c r="AF877" s="82"/>
      <c r="AG877" s="82"/>
      <c r="AH877" s="82"/>
      <c r="AI877" s="82"/>
      <c r="AJ877" s="166"/>
      <c r="AK877" s="82"/>
      <c r="AL877" s="162"/>
      <c r="AM877" s="162"/>
      <c r="AN877" s="162"/>
      <c r="AO877" s="162"/>
      <c r="AP877" s="162"/>
      <c r="AQ877" s="162"/>
      <c r="AR877" s="710"/>
      <c r="AV877" s="82"/>
      <c r="AW877" s="947"/>
      <c r="AX877" s="947"/>
      <c r="AY877" s="947"/>
    </row>
    <row r="878" spans="31:51" x14ac:dyDescent="0.25">
      <c r="AE878" s="75"/>
      <c r="AF878" s="82"/>
      <c r="AG878" s="82"/>
      <c r="AH878" s="82"/>
      <c r="AI878" s="82"/>
      <c r="AJ878" s="166"/>
      <c r="AK878" s="82"/>
      <c r="AL878" s="162"/>
      <c r="AM878" s="162"/>
      <c r="AN878" s="162"/>
      <c r="AO878" s="162"/>
      <c r="AP878" s="162"/>
      <c r="AQ878" s="162"/>
      <c r="AR878" s="710"/>
      <c r="AV878" s="82"/>
      <c r="AW878" s="947"/>
      <c r="AX878" s="947"/>
      <c r="AY878" s="947"/>
    </row>
    <row r="879" spans="31:51" x14ac:dyDescent="0.25">
      <c r="AE879" s="75"/>
      <c r="AF879" s="82"/>
      <c r="AG879" s="82"/>
      <c r="AH879" s="82"/>
      <c r="AI879" s="82"/>
      <c r="AJ879" s="166"/>
      <c r="AK879" s="82"/>
      <c r="AL879" s="162"/>
      <c r="AM879" s="162"/>
      <c r="AN879" s="162"/>
      <c r="AO879" s="162"/>
      <c r="AP879" s="162"/>
      <c r="AQ879" s="162"/>
      <c r="AR879" s="710"/>
      <c r="AV879" s="82"/>
      <c r="AW879" s="947"/>
      <c r="AX879" s="947"/>
      <c r="AY879" s="947"/>
    </row>
    <row r="880" spans="31:51" x14ac:dyDescent="0.25">
      <c r="AE880" s="75"/>
      <c r="AF880" s="82"/>
      <c r="AG880" s="82"/>
      <c r="AH880" s="82"/>
      <c r="AI880" s="82"/>
      <c r="AJ880" s="166"/>
      <c r="AK880" s="82"/>
      <c r="AL880" s="162"/>
      <c r="AM880" s="162"/>
      <c r="AN880" s="162"/>
      <c r="AO880" s="162"/>
      <c r="AP880" s="162"/>
      <c r="AQ880" s="162"/>
      <c r="AR880" s="710"/>
      <c r="AV880" s="82"/>
      <c r="AW880" s="947"/>
      <c r="AX880" s="947"/>
      <c r="AY880" s="947"/>
    </row>
    <row r="881" spans="31:51" x14ac:dyDescent="0.25">
      <c r="AE881" s="75"/>
      <c r="AF881" s="82"/>
      <c r="AG881" s="82"/>
      <c r="AH881" s="82"/>
      <c r="AI881" s="82"/>
      <c r="AJ881" s="166"/>
      <c r="AK881" s="82"/>
      <c r="AL881" s="162"/>
      <c r="AM881" s="162"/>
      <c r="AN881" s="162"/>
      <c r="AO881" s="162"/>
      <c r="AP881" s="162"/>
      <c r="AQ881" s="162"/>
      <c r="AR881" s="710"/>
      <c r="AV881" s="82"/>
      <c r="AW881" s="947"/>
      <c r="AX881" s="947"/>
      <c r="AY881" s="947"/>
    </row>
    <row r="882" spans="31:51" x14ac:dyDescent="0.25">
      <c r="AE882" s="75"/>
      <c r="AF882" s="82"/>
      <c r="AG882" s="82"/>
      <c r="AH882" s="82"/>
      <c r="AI882" s="82"/>
      <c r="AJ882" s="166"/>
      <c r="AK882" s="82"/>
      <c r="AL882" s="162"/>
      <c r="AM882" s="162"/>
      <c r="AN882" s="162"/>
      <c r="AO882" s="162"/>
      <c r="AP882" s="162"/>
      <c r="AQ882" s="162"/>
      <c r="AR882" s="710"/>
      <c r="AV882" s="82"/>
      <c r="AW882" s="947"/>
      <c r="AX882" s="947"/>
      <c r="AY882" s="947"/>
    </row>
    <row r="883" spans="31:51" x14ac:dyDescent="0.25">
      <c r="AE883" s="75"/>
      <c r="AF883" s="82"/>
      <c r="AG883" s="82"/>
      <c r="AH883" s="82"/>
      <c r="AI883" s="82"/>
      <c r="AJ883" s="166"/>
      <c r="AK883" s="82"/>
      <c r="AL883" s="162"/>
      <c r="AM883" s="162"/>
      <c r="AN883" s="162"/>
      <c r="AO883" s="162"/>
      <c r="AP883" s="162"/>
      <c r="AQ883" s="162"/>
      <c r="AR883" s="710"/>
      <c r="AV883" s="82"/>
      <c r="AW883" s="947"/>
      <c r="AX883" s="947"/>
      <c r="AY883" s="947"/>
    </row>
    <row r="884" spans="31:51" x14ac:dyDescent="0.25">
      <c r="AE884" s="75"/>
      <c r="AF884" s="82"/>
      <c r="AG884" s="82"/>
      <c r="AH884" s="82"/>
      <c r="AI884" s="82"/>
      <c r="AJ884" s="166"/>
      <c r="AK884" s="82"/>
      <c r="AL884" s="162"/>
      <c r="AM884" s="162"/>
      <c r="AN884" s="162"/>
      <c r="AO884" s="162"/>
      <c r="AP884" s="162"/>
      <c r="AQ884" s="162"/>
      <c r="AR884" s="710"/>
      <c r="AV884" s="82"/>
      <c r="AW884" s="947"/>
      <c r="AX884" s="947"/>
      <c r="AY884" s="947"/>
    </row>
    <row r="885" spans="31:51" x14ac:dyDescent="0.25">
      <c r="AE885" s="75"/>
      <c r="AF885" s="82"/>
      <c r="AG885" s="82"/>
      <c r="AH885" s="82"/>
      <c r="AI885" s="82"/>
      <c r="AJ885" s="166"/>
      <c r="AK885" s="82"/>
      <c r="AL885" s="162"/>
      <c r="AM885" s="162"/>
      <c r="AN885" s="162"/>
      <c r="AO885" s="162"/>
      <c r="AP885" s="162"/>
      <c r="AQ885" s="162"/>
      <c r="AR885" s="710"/>
      <c r="AV885" s="82"/>
      <c r="AW885" s="947"/>
      <c r="AX885" s="947"/>
      <c r="AY885" s="947"/>
    </row>
    <row r="886" spans="31:51" x14ac:dyDescent="0.25">
      <c r="AE886" s="75"/>
      <c r="AF886" s="82"/>
      <c r="AG886" s="82"/>
      <c r="AH886" s="82"/>
      <c r="AI886" s="82"/>
      <c r="AJ886" s="166"/>
      <c r="AK886" s="82"/>
      <c r="AL886" s="162"/>
      <c r="AM886" s="162"/>
      <c r="AN886" s="162"/>
      <c r="AO886" s="162"/>
      <c r="AP886" s="162"/>
      <c r="AQ886" s="162"/>
      <c r="AR886" s="710"/>
      <c r="AV886" s="82"/>
      <c r="AW886" s="947"/>
      <c r="AX886" s="947"/>
      <c r="AY886" s="947"/>
    </row>
    <row r="887" spans="31:51" x14ac:dyDescent="0.25">
      <c r="AE887" s="75"/>
      <c r="AF887" s="82"/>
      <c r="AG887" s="82"/>
      <c r="AH887" s="82"/>
      <c r="AI887" s="82"/>
      <c r="AJ887" s="166"/>
      <c r="AK887" s="82"/>
      <c r="AL887" s="162"/>
      <c r="AM887" s="162"/>
      <c r="AN887" s="162"/>
      <c r="AO887" s="162"/>
      <c r="AP887" s="162"/>
      <c r="AQ887" s="162"/>
      <c r="AR887" s="710"/>
      <c r="AV887" s="82"/>
      <c r="AW887" s="947"/>
      <c r="AX887" s="947"/>
      <c r="AY887" s="947"/>
    </row>
    <row r="888" spans="31:51" x14ac:dyDescent="0.25">
      <c r="AE888" s="75"/>
      <c r="AF888" s="82"/>
      <c r="AG888" s="82"/>
      <c r="AH888" s="82"/>
      <c r="AI888" s="82"/>
      <c r="AJ888" s="166"/>
      <c r="AK888" s="82"/>
      <c r="AL888" s="162"/>
      <c r="AM888" s="162"/>
      <c r="AN888" s="162"/>
      <c r="AO888" s="162"/>
      <c r="AP888" s="162"/>
      <c r="AQ888" s="162"/>
      <c r="AR888" s="710"/>
      <c r="AV888" s="82"/>
      <c r="AW888" s="947"/>
      <c r="AX888" s="947"/>
      <c r="AY888" s="947"/>
    </row>
    <row r="889" spans="31:51" x14ac:dyDescent="0.25">
      <c r="AE889" s="75"/>
      <c r="AF889" s="82"/>
      <c r="AG889" s="82"/>
      <c r="AH889" s="82"/>
      <c r="AI889" s="82"/>
      <c r="AJ889" s="166"/>
      <c r="AK889" s="82"/>
      <c r="AL889" s="162"/>
      <c r="AM889" s="162"/>
      <c r="AN889" s="162"/>
      <c r="AO889" s="162"/>
      <c r="AP889" s="162"/>
      <c r="AQ889" s="162"/>
      <c r="AR889" s="710"/>
      <c r="AV889" s="82"/>
      <c r="AW889" s="947"/>
      <c r="AX889" s="947"/>
      <c r="AY889" s="947"/>
    </row>
    <row r="890" spans="31:51" x14ac:dyDescent="0.25">
      <c r="AE890" s="75"/>
      <c r="AF890" s="82"/>
      <c r="AG890" s="82"/>
      <c r="AH890" s="82"/>
      <c r="AI890" s="82"/>
      <c r="AJ890" s="166"/>
      <c r="AK890" s="82"/>
      <c r="AL890" s="162"/>
      <c r="AM890" s="162"/>
      <c r="AN890" s="162"/>
      <c r="AO890" s="162"/>
      <c r="AP890" s="162"/>
      <c r="AQ890" s="162"/>
      <c r="AR890" s="710"/>
      <c r="AV890" s="82"/>
      <c r="AW890" s="947"/>
      <c r="AX890" s="947"/>
      <c r="AY890" s="947"/>
    </row>
    <row r="891" spans="31:51" x14ac:dyDescent="0.25">
      <c r="AE891" s="75"/>
      <c r="AF891" s="82"/>
      <c r="AG891" s="82"/>
      <c r="AH891" s="82"/>
      <c r="AI891" s="82"/>
      <c r="AJ891" s="166"/>
      <c r="AK891" s="82"/>
      <c r="AL891" s="162"/>
      <c r="AM891" s="162"/>
      <c r="AN891" s="162"/>
      <c r="AO891" s="162"/>
      <c r="AP891" s="162"/>
      <c r="AQ891" s="162"/>
      <c r="AR891" s="710"/>
      <c r="AV891" s="82"/>
      <c r="AW891" s="947"/>
      <c r="AX891" s="947"/>
      <c r="AY891" s="947"/>
    </row>
    <row r="892" spans="31:51" x14ac:dyDescent="0.25">
      <c r="AE892" s="75"/>
      <c r="AF892" s="82"/>
      <c r="AG892" s="82"/>
      <c r="AH892" s="82"/>
      <c r="AI892" s="82"/>
      <c r="AJ892" s="166"/>
      <c r="AK892" s="82"/>
      <c r="AL892" s="162"/>
      <c r="AM892" s="162"/>
      <c r="AN892" s="162"/>
      <c r="AO892" s="162"/>
      <c r="AP892" s="162"/>
      <c r="AQ892" s="162"/>
      <c r="AR892" s="710"/>
      <c r="AV892" s="82"/>
      <c r="AW892" s="947"/>
      <c r="AX892" s="947"/>
      <c r="AY892" s="947"/>
    </row>
    <row r="893" spans="31:51" x14ac:dyDescent="0.25">
      <c r="AE893" s="75"/>
      <c r="AF893" s="82"/>
      <c r="AG893" s="82"/>
      <c r="AH893" s="82"/>
      <c r="AI893" s="82"/>
      <c r="AJ893" s="166"/>
      <c r="AK893" s="82"/>
      <c r="AL893" s="162"/>
      <c r="AM893" s="162"/>
      <c r="AN893" s="162"/>
      <c r="AO893" s="162"/>
      <c r="AP893" s="162"/>
      <c r="AQ893" s="162"/>
      <c r="AR893" s="710"/>
      <c r="AV893" s="82"/>
      <c r="AW893" s="947"/>
      <c r="AX893" s="947"/>
      <c r="AY893" s="947"/>
    </row>
    <row r="894" spans="31:51" x14ac:dyDescent="0.25">
      <c r="AE894" s="75"/>
      <c r="AF894" s="82"/>
      <c r="AG894" s="82"/>
      <c r="AH894" s="82"/>
      <c r="AI894" s="82"/>
      <c r="AJ894" s="166"/>
      <c r="AK894" s="82"/>
      <c r="AL894" s="162"/>
      <c r="AM894" s="162"/>
      <c r="AN894" s="162"/>
      <c r="AO894" s="162"/>
      <c r="AP894" s="162"/>
      <c r="AQ894" s="162"/>
      <c r="AR894" s="710"/>
      <c r="AV894" s="82"/>
      <c r="AW894" s="947"/>
      <c r="AX894" s="947"/>
      <c r="AY894" s="947"/>
    </row>
    <row r="895" spans="31:51" x14ac:dyDescent="0.25">
      <c r="AE895" s="75"/>
      <c r="AF895" s="82"/>
      <c r="AG895" s="82"/>
      <c r="AH895" s="82"/>
      <c r="AI895" s="82"/>
      <c r="AJ895" s="166"/>
      <c r="AK895" s="82"/>
      <c r="AL895" s="162"/>
      <c r="AM895" s="162"/>
      <c r="AN895" s="162"/>
      <c r="AO895" s="162"/>
      <c r="AP895" s="162"/>
      <c r="AQ895" s="162"/>
      <c r="AR895" s="710"/>
      <c r="AV895" s="82"/>
      <c r="AW895" s="947"/>
      <c r="AX895" s="947"/>
      <c r="AY895" s="947"/>
    </row>
    <row r="896" spans="31:51" x14ac:dyDescent="0.25">
      <c r="AE896" s="75"/>
      <c r="AF896" s="82"/>
      <c r="AG896" s="82"/>
      <c r="AH896" s="82"/>
      <c r="AI896" s="82"/>
      <c r="AJ896" s="166"/>
      <c r="AK896" s="82"/>
      <c r="AL896" s="162"/>
      <c r="AM896" s="162"/>
      <c r="AN896" s="162"/>
      <c r="AO896" s="162"/>
      <c r="AP896" s="162"/>
      <c r="AQ896" s="162"/>
      <c r="AR896" s="710"/>
      <c r="AV896" s="82"/>
      <c r="AW896" s="947"/>
      <c r="AX896" s="947"/>
      <c r="AY896" s="947"/>
    </row>
    <row r="897" spans="31:51" x14ac:dyDescent="0.25">
      <c r="AE897" s="75"/>
      <c r="AF897" s="82"/>
      <c r="AG897" s="82"/>
      <c r="AH897" s="82"/>
      <c r="AI897" s="82"/>
      <c r="AJ897" s="166"/>
      <c r="AK897" s="82"/>
      <c r="AL897" s="162"/>
      <c r="AM897" s="162"/>
      <c r="AN897" s="162"/>
      <c r="AO897" s="162"/>
      <c r="AP897" s="162"/>
      <c r="AQ897" s="162"/>
      <c r="AR897" s="710"/>
      <c r="AV897" s="82"/>
      <c r="AW897" s="947"/>
      <c r="AX897" s="947"/>
      <c r="AY897" s="947"/>
    </row>
    <row r="898" spans="31:51" x14ac:dyDescent="0.25">
      <c r="AE898" s="75"/>
      <c r="AF898" s="82"/>
      <c r="AG898" s="82"/>
      <c r="AH898" s="82"/>
      <c r="AI898" s="82"/>
      <c r="AJ898" s="166"/>
      <c r="AK898" s="82"/>
      <c r="AL898" s="162"/>
      <c r="AM898" s="162"/>
      <c r="AN898" s="162"/>
      <c r="AO898" s="162"/>
      <c r="AP898" s="162"/>
      <c r="AQ898" s="162"/>
      <c r="AR898" s="710"/>
      <c r="AV898" s="82"/>
      <c r="AW898" s="947"/>
      <c r="AX898" s="947"/>
      <c r="AY898" s="947"/>
    </row>
    <row r="899" spans="31:51" x14ac:dyDescent="0.25">
      <c r="AE899" s="75"/>
      <c r="AF899" s="82"/>
      <c r="AG899" s="82"/>
      <c r="AH899" s="82"/>
      <c r="AI899" s="82"/>
      <c r="AJ899" s="166"/>
      <c r="AK899" s="82"/>
      <c r="AL899" s="162"/>
      <c r="AM899" s="162"/>
      <c r="AN899" s="162"/>
      <c r="AO899" s="162"/>
      <c r="AP899" s="162"/>
      <c r="AQ899" s="162"/>
      <c r="AR899" s="710"/>
      <c r="AV899" s="82"/>
      <c r="AW899" s="947"/>
      <c r="AX899" s="947"/>
      <c r="AY899" s="947"/>
    </row>
    <row r="900" spans="31:51" x14ac:dyDescent="0.25">
      <c r="AE900" s="75"/>
      <c r="AF900" s="82"/>
      <c r="AG900" s="82"/>
      <c r="AH900" s="82"/>
      <c r="AI900" s="82"/>
      <c r="AJ900" s="166"/>
      <c r="AK900" s="82"/>
      <c r="AL900" s="162"/>
      <c r="AM900" s="162"/>
      <c r="AN900" s="162"/>
      <c r="AO900" s="162"/>
      <c r="AP900" s="162"/>
      <c r="AQ900" s="162"/>
      <c r="AR900" s="710"/>
      <c r="AV900" s="82"/>
      <c r="AW900" s="947"/>
      <c r="AX900" s="947"/>
      <c r="AY900" s="947"/>
    </row>
    <row r="901" spans="31:51" x14ac:dyDescent="0.25">
      <c r="AE901" s="75"/>
      <c r="AF901" s="82"/>
      <c r="AG901" s="82"/>
      <c r="AH901" s="82"/>
      <c r="AI901" s="82"/>
      <c r="AJ901" s="166"/>
      <c r="AK901" s="82"/>
      <c r="AL901" s="162"/>
      <c r="AM901" s="162"/>
      <c r="AN901" s="162"/>
      <c r="AO901" s="162"/>
      <c r="AP901" s="162"/>
      <c r="AQ901" s="162"/>
      <c r="AR901" s="710"/>
      <c r="AV901" s="82"/>
      <c r="AW901" s="947"/>
      <c r="AX901" s="947"/>
      <c r="AY901" s="947"/>
    </row>
    <row r="902" spans="31:51" x14ac:dyDescent="0.25">
      <c r="AE902" s="75"/>
      <c r="AF902" s="82"/>
      <c r="AG902" s="82"/>
      <c r="AH902" s="82"/>
      <c r="AI902" s="82"/>
      <c r="AJ902" s="166"/>
      <c r="AK902" s="82"/>
      <c r="AL902" s="162"/>
      <c r="AM902" s="162"/>
      <c r="AN902" s="162"/>
      <c r="AO902" s="162"/>
      <c r="AP902" s="162"/>
      <c r="AQ902" s="162"/>
      <c r="AR902" s="710"/>
      <c r="AV902" s="82"/>
      <c r="AW902" s="947"/>
      <c r="AX902" s="947"/>
      <c r="AY902" s="947"/>
    </row>
    <row r="903" spans="31:51" x14ac:dyDescent="0.25">
      <c r="AE903" s="75"/>
      <c r="AF903" s="82"/>
      <c r="AG903" s="82"/>
      <c r="AH903" s="82"/>
      <c r="AI903" s="82"/>
      <c r="AJ903" s="166"/>
      <c r="AK903" s="82"/>
      <c r="AL903" s="162"/>
      <c r="AM903" s="162"/>
      <c r="AN903" s="162"/>
      <c r="AO903" s="162"/>
      <c r="AP903" s="162"/>
      <c r="AQ903" s="162"/>
      <c r="AR903" s="710"/>
      <c r="AV903" s="82"/>
      <c r="AW903" s="947"/>
      <c r="AX903" s="947"/>
      <c r="AY903" s="947"/>
    </row>
    <row r="904" spans="31:51" x14ac:dyDescent="0.25">
      <c r="AE904" s="75"/>
      <c r="AF904" s="82"/>
      <c r="AG904" s="82"/>
      <c r="AH904" s="82"/>
      <c r="AI904" s="82"/>
      <c r="AJ904" s="166"/>
      <c r="AK904" s="82"/>
      <c r="AL904" s="162"/>
      <c r="AM904" s="162"/>
      <c r="AN904" s="162"/>
      <c r="AO904" s="162"/>
      <c r="AP904" s="162"/>
      <c r="AQ904" s="162"/>
      <c r="AR904" s="710"/>
      <c r="AV904" s="82"/>
      <c r="AW904" s="947"/>
      <c r="AX904" s="947"/>
      <c r="AY904" s="947"/>
    </row>
    <row r="905" spans="31:51" x14ac:dyDescent="0.25">
      <c r="AE905" s="75"/>
      <c r="AF905" s="82"/>
      <c r="AG905" s="82"/>
      <c r="AH905" s="82"/>
      <c r="AI905" s="82"/>
      <c r="AJ905" s="166"/>
      <c r="AK905" s="82"/>
      <c r="AL905" s="162"/>
      <c r="AM905" s="162"/>
      <c r="AN905" s="162"/>
      <c r="AO905" s="162"/>
      <c r="AP905" s="162"/>
      <c r="AQ905" s="162"/>
      <c r="AR905" s="710"/>
      <c r="AV905" s="82"/>
      <c r="AW905" s="947"/>
      <c r="AX905" s="947"/>
      <c r="AY905" s="947"/>
    </row>
    <row r="906" spans="31:51" x14ac:dyDescent="0.25">
      <c r="AE906" s="75"/>
      <c r="AF906" s="82"/>
      <c r="AG906" s="82"/>
      <c r="AH906" s="82"/>
      <c r="AI906" s="82"/>
      <c r="AJ906" s="166"/>
      <c r="AK906" s="82"/>
      <c r="AL906" s="162"/>
      <c r="AM906" s="162"/>
      <c r="AN906" s="162"/>
      <c r="AO906" s="162"/>
      <c r="AP906" s="162"/>
      <c r="AQ906" s="162"/>
      <c r="AR906" s="710"/>
      <c r="AV906" s="82"/>
      <c r="AW906" s="947"/>
      <c r="AX906" s="947"/>
      <c r="AY906" s="947"/>
    </row>
    <row r="907" spans="31:51" x14ac:dyDescent="0.25">
      <c r="AE907" s="75"/>
      <c r="AF907" s="82"/>
      <c r="AG907" s="82"/>
      <c r="AH907" s="82"/>
      <c r="AI907" s="82"/>
      <c r="AJ907" s="166"/>
      <c r="AK907" s="82"/>
      <c r="AL907" s="162"/>
      <c r="AM907" s="162"/>
      <c r="AN907" s="162"/>
      <c r="AO907" s="162"/>
      <c r="AP907" s="162"/>
      <c r="AQ907" s="162"/>
      <c r="AR907" s="710"/>
      <c r="AV907" s="82"/>
      <c r="AW907" s="947"/>
      <c r="AX907" s="947"/>
      <c r="AY907" s="947"/>
    </row>
    <row r="908" spans="31:51" x14ac:dyDescent="0.25">
      <c r="AE908" s="75"/>
      <c r="AF908" s="82"/>
      <c r="AG908" s="82"/>
      <c r="AH908" s="82"/>
      <c r="AI908" s="82"/>
      <c r="AJ908" s="166"/>
      <c r="AK908" s="82"/>
      <c r="AL908" s="162"/>
      <c r="AM908" s="162"/>
      <c r="AN908" s="162"/>
      <c r="AO908" s="162"/>
      <c r="AP908" s="162"/>
      <c r="AQ908" s="162"/>
      <c r="AR908" s="710"/>
      <c r="AV908" s="82"/>
      <c r="AW908" s="947"/>
      <c r="AX908" s="947"/>
      <c r="AY908" s="947"/>
    </row>
    <row r="909" spans="31:51" x14ac:dyDescent="0.25">
      <c r="AE909" s="75"/>
      <c r="AF909" s="82"/>
      <c r="AG909" s="82"/>
      <c r="AH909" s="82"/>
      <c r="AI909" s="82"/>
      <c r="AJ909" s="166"/>
      <c r="AK909" s="82"/>
      <c r="AL909" s="162"/>
      <c r="AM909" s="162"/>
      <c r="AN909" s="162"/>
      <c r="AO909" s="162"/>
      <c r="AP909" s="162"/>
      <c r="AQ909" s="162"/>
      <c r="AR909" s="710"/>
      <c r="AV909" s="82"/>
      <c r="AW909" s="947"/>
      <c r="AX909" s="947"/>
      <c r="AY909" s="947"/>
    </row>
    <row r="910" spans="31:51" x14ac:dyDescent="0.25">
      <c r="AE910" s="75"/>
      <c r="AF910" s="82"/>
      <c r="AG910" s="82"/>
      <c r="AH910" s="82"/>
      <c r="AI910" s="82"/>
      <c r="AJ910" s="166"/>
      <c r="AK910" s="82"/>
      <c r="AL910" s="162"/>
      <c r="AM910" s="162"/>
      <c r="AN910" s="162"/>
      <c r="AO910" s="162"/>
      <c r="AP910" s="162"/>
      <c r="AQ910" s="162"/>
      <c r="AR910" s="710"/>
      <c r="AV910" s="82"/>
      <c r="AW910" s="947"/>
      <c r="AX910" s="947"/>
      <c r="AY910" s="947"/>
    </row>
    <row r="911" spans="31:51" x14ac:dyDescent="0.25">
      <c r="AE911" s="75"/>
      <c r="AF911" s="82"/>
      <c r="AG911" s="82"/>
      <c r="AH911" s="82"/>
      <c r="AI911" s="82"/>
      <c r="AJ911" s="166"/>
      <c r="AK911" s="82"/>
      <c r="AL911" s="162"/>
      <c r="AM911" s="162"/>
      <c r="AN911" s="162"/>
      <c r="AO911" s="162"/>
      <c r="AP911" s="162"/>
      <c r="AQ911" s="162"/>
      <c r="AR911" s="710"/>
      <c r="AV911" s="82"/>
      <c r="AW911" s="947"/>
      <c r="AX911" s="947"/>
      <c r="AY911" s="947"/>
    </row>
    <row r="912" spans="31:51" x14ac:dyDescent="0.25">
      <c r="AE912" s="75"/>
      <c r="AF912" s="82"/>
      <c r="AG912" s="82"/>
      <c r="AH912" s="82"/>
      <c r="AI912" s="82"/>
      <c r="AJ912" s="166"/>
      <c r="AK912" s="82"/>
      <c r="AL912" s="162"/>
      <c r="AM912" s="162"/>
      <c r="AN912" s="162"/>
      <c r="AO912" s="162"/>
      <c r="AP912" s="162"/>
      <c r="AQ912" s="162"/>
      <c r="AR912" s="710"/>
      <c r="AV912" s="82"/>
      <c r="AW912" s="947"/>
      <c r="AX912" s="947"/>
      <c r="AY912" s="947"/>
    </row>
    <row r="913" spans="31:51" x14ac:dyDescent="0.25">
      <c r="AE913" s="75"/>
      <c r="AF913" s="82"/>
      <c r="AG913" s="82"/>
      <c r="AH913" s="82"/>
      <c r="AI913" s="82"/>
      <c r="AJ913" s="166"/>
      <c r="AK913" s="82"/>
      <c r="AL913" s="162"/>
      <c r="AM913" s="162"/>
      <c r="AN913" s="162"/>
      <c r="AO913" s="162"/>
      <c r="AP913" s="162"/>
      <c r="AQ913" s="162"/>
      <c r="AR913" s="710"/>
      <c r="AV913" s="82"/>
      <c r="AW913" s="947"/>
      <c r="AX913" s="947"/>
      <c r="AY913" s="947"/>
    </row>
    <row r="914" spans="31:51" x14ac:dyDescent="0.25">
      <c r="AE914" s="75"/>
      <c r="AF914" s="82"/>
      <c r="AG914" s="82"/>
      <c r="AH914" s="82"/>
      <c r="AI914" s="82"/>
      <c r="AJ914" s="166"/>
      <c r="AK914" s="82"/>
      <c r="AL914" s="162"/>
      <c r="AM914" s="162"/>
      <c r="AN914" s="162"/>
      <c r="AO914" s="162"/>
      <c r="AP914" s="162"/>
      <c r="AQ914" s="162"/>
      <c r="AR914" s="710"/>
      <c r="AV914" s="82"/>
      <c r="AW914" s="947"/>
      <c r="AX914" s="947"/>
      <c r="AY914" s="947"/>
    </row>
    <row r="915" spans="31:51" x14ac:dyDescent="0.25">
      <c r="AE915" s="75"/>
      <c r="AF915" s="82"/>
      <c r="AG915" s="82"/>
      <c r="AH915" s="82"/>
      <c r="AI915" s="82"/>
      <c r="AJ915" s="166"/>
      <c r="AK915" s="82"/>
      <c r="AL915" s="162"/>
      <c r="AM915" s="162"/>
      <c r="AN915" s="162"/>
      <c r="AO915" s="162"/>
      <c r="AP915" s="162"/>
      <c r="AQ915" s="162"/>
      <c r="AR915" s="710"/>
      <c r="AV915" s="82"/>
      <c r="AW915" s="947"/>
      <c r="AX915" s="947"/>
      <c r="AY915" s="947"/>
    </row>
    <row r="916" spans="31:51" x14ac:dyDescent="0.25">
      <c r="AE916" s="75"/>
      <c r="AF916" s="82"/>
      <c r="AG916" s="82"/>
      <c r="AH916" s="82"/>
      <c r="AI916" s="82"/>
      <c r="AJ916" s="166"/>
      <c r="AK916" s="82"/>
      <c r="AL916" s="162"/>
      <c r="AM916" s="162"/>
      <c r="AN916" s="162"/>
      <c r="AO916" s="162"/>
      <c r="AP916" s="162"/>
      <c r="AQ916" s="162"/>
      <c r="AR916" s="710"/>
      <c r="AV916" s="82"/>
      <c r="AW916" s="947"/>
      <c r="AX916" s="947"/>
      <c r="AY916" s="947"/>
    </row>
    <row r="917" spans="31:51" x14ac:dyDescent="0.25">
      <c r="AE917" s="75"/>
      <c r="AF917" s="82"/>
      <c r="AG917" s="82"/>
      <c r="AH917" s="82"/>
      <c r="AI917" s="82"/>
      <c r="AJ917" s="166"/>
      <c r="AK917" s="82"/>
      <c r="AL917" s="162"/>
      <c r="AM917" s="162"/>
      <c r="AN917" s="162"/>
      <c r="AO917" s="162"/>
      <c r="AP917" s="162"/>
      <c r="AQ917" s="162"/>
      <c r="AR917" s="710"/>
      <c r="AV917" s="82"/>
      <c r="AW917" s="947"/>
      <c r="AX917" s="947"/>
      <c r="AY917" s="947"/>
    </row>
    <row r="918" spans="31:51" x14ac:dyDescent="0.25">
      <c r="AE918" s="75"/>
      <c r="AF918" s="82"/>
      <c r="AG918" s="82"/>
      <c r="AH918" s="82"/>
      <c r="AI918" s="82"/>
      <c r="AJ918" s="166"/>
      <c r="AK918" s="82"/>
      <c r="AL918" s="162"/>
      <c r="AM918" s="162"/>
      <c r="AN918" s="162"/>
      <c r="AO918" s="162"/>
      <c r="AP918" s="162"/>
      <c r="AQ918" s="162"/>
      <c r="AR918" s="710"/>
      <c r="AV918" s="82"/>
      <c r="AW918" s="947"/>
      <c r="AX918" s="947"/>
      <c r="AY918" s="947"/>
    </row>
    <row r="919" spans="31:51" x14ac:dyDescent="0.25">
      <c r="AE919" s="75"/>
      <c r="AF919" s="82"/>
      <c r="AG919" s="82"/>
      <c r="AH919" s="82"/>
      <c r="AI919" s="82"/>
      <c r="AJ919" s="166"/>
      <c r="AK919" s="82"/>
      <c r="AL919" s="162"/>
      <c r="AM919" s="162"/>
      <c r="AN919" s="162"/>
      <c r="AO919" s="162"/>
      <c r="AP919" s="162"/>
      <c r="AQ919" s="162"/>
      <c r="AR919" s="710"/>
      <c r="AV919" s="82"/>
      <c r="AW919" s="947"/>
      <c r="AX919" s="947"/>
      <c r="AY919" s="947"/>
    </row>
    <row r="920" spans="31:51" x14ac:dyDescent="0.25">
      <c r="AE920" s="75"/>
      <c r="AF920" s="82"/>
      <c r="AG920" s="82"/>
      <c r="AH920" s="82"/>
      <c r="AI920" s="82"/>
      <c r="AJ920" s="166"/>
      <c r="AK920" s="82"/>
      <c r="AL920" s="162"/>
      <c r="AM920" s="162"/>
      <c r="AN920" s="162"/>
      <c r="AO920" s="162"/>
      <c r="AP920" s="162"/>
      <c r="AQ920" s="162"/>
      <c r="AR920" s="710"/>
      <c r="AV920" s="82"/>
      <c r="AW920" s="947"/>
      <c r="AX920" s="947"/>
      <c r="AY920" s="947"/>
    </row>
    <row r="921" spans="31:51" x14ac:dyDescent="0.25">
      <c r="AE921" s="75"/>
      <c r="AF921" s="82"/>
      <c r="AG921" s="82"/>
      <c r="AH921" s="82"/>
      <c r="AI921" s="82"/>
      <c r="AJ921" s="166"/>
      <c r="AK921" s="82"/>
      <c r="AL921" s="162"/>
      <c r="AM921" s="162"/>
      <c r="AN921" s="162"/>
      <c r="AO921" s="162"/>
      <c r="AP921" s="162"/>
      <c r="AQ921" s="162"/>
      <c r="AR921" s="710"/>
      <c r="AV921" s="82"/>
      <c r="AW921" s="947"/>
      <c r="AX921" s="947"/>
      <c r="AY921" s="947"/>
    </row>
    <row r="922" spans="31:51" x14ac:dyDescent="0.25">
      <c r="AE922" s="75"/>
      <c r="AF922" s="82"/>
      <c r="AG922" s="82"/>
      <c r="AH922" s="82"/>
      <c r="AI922" s="82"/>
      <c r="AJ922" s="166"/>
      <c r="AK922" s="82"/>
      <c r="AL922" s="162"/>
      <c r="AM922" s="162"/>
      <c r="AN922" s="162"/>
      <c r="AO922" s="162"/>
      <c r="AP922" s="162"/>
      <c r="AQ922" s="162"/>
      <c r="AR922" s="710"/>
      <c r="AV922" s="82"/>
      <c r="AW922" s="947"/>
      <c r="AX922" s="947"/>
      <c r="AY922" s="947"/>
    </row>
    <row r="923" spans="31:51" x14ac:dyDescent="0.25">
      <c r="AE923" s="75"/>
      <c r="AF923" s="82"/>
      <c r="AG923" s="82"/>
      <c r="AH923" s="82"/>
      <c r="AI923" s="82"/>
      <c r="AJ923" s="166"/>
      <c r="AK923" s="82"/>
      <c r="AL923" s="162"/>
      <c r="AM923" s="162"/>
      <c r="AN923" s="162"/>
      <c r="AO923" s="162"/>
      <c r="AP923" s="162"/>
      <c r="AQ923" s="162"/>
      <c r="AR923" s="710"/>
      <c r="AV923" s="82"/>
      <c r="AW923" s="947"/>
      <c r="AX923" s="947"/>
      <c r="AY923" s="947"/>
    </row>
    <row r="924" spans="31:51" x14ac:dyDescent="0.25">
      <c r="AE924" s="75"/>
      <c r="AF924" s="82"/>
      <c r="AG924" s="82"/>
      <c r="AH924" s="82"/>
      <c r="AI924" s="82"/>
      <c r="AJ924" s="166"/>
      <c r="AK924" s="82"/>
      <c r="AL924" s="162"/>
      <c r="AM924" s="162"/>
      <c r="AN924" s="162"/>
      <c r="AO924" s="162"/>
      <c r="AP924" s="162"/>
      <c r="AQ924" s="162"/>
      <c r="AR924" s="710"/>
      <c r="AV924" s="82"/>
      <c r="AW924" s="947"/>
      <c r="AX924" s="947"/>
      <c r="AY924" s="947"/>
    </row>
    <row r="925" spans="31:51" x14ac:dyDescent="0.25">
      <c r="AE925" s="75"/>
      <c r="AF925" s="82"/>
      <c r="AG925" s="82"/>
      <c r="AH925" s="82"/>
      <c r="AI925" s="82"/>
      <c r="AJ925" s="166"/>
      <c r="AK925" s="82"/>
      <c r="AL925" s="162"/>
      <c r="AM925" s="162"/>
      <c r="AN925" s="162"/>
      <c r="AO925" s="162"/>
      <c r="AP925" s="162"/>
      <c r="AQ925" s="162"/>
      <c r="AR925" s="710"/>
      <c r="AV925" s="82"/>
      <c r="AW925" s="947"/>
      <c r="AX925" s="947"/>
      <c r="AY925" s="947"/>
    </row>
    <row r="926" spans="31:51" x14ac:dyDescent="0.25">
      <c r="AE926" s="75"/>
      <c r="AF926" s="82"/>
      <c r="AG926" s="82"/>
      <c r="AH926" s="82"/>
      <c r="AI926" s="82"/>
      <c r="AJ926" s="166"/>
      <c r="AK926" s="82"/>
      <c r="AL926" s="162"/>
      <c r="AM926" s="162"/>
      <c r="AN926" s="162"/>
      <c r="AO926" s="162"/>
      <c r="AP926" s="162"/>
      <c r="AQ926" s="162"/>
      <c r="AR926" s="710"/>
      <c r="AV926" s="82"/>
      <c r="AW926" s="947"/>
      <c r="AX926" s="947"/>
      <c r="AY926" s="947"/>
    </row>
    <row r="927" spans="31:51" x14ac:dyDescent="0.25">
      <c r="AE927" s="75"/>
      <c r="AF927" s="82"/>
      <c r="AG927" s="82"/>
      <c r="AH927" s="82"/>
      <c r="AI927" s="82"/>
      <c r="AJ927" s="166"/>
      <c r="AK927" s="82"/>
      <c r="AL927" s="162"/>
      <c r="AM927" s="162"/>
      <c r="AN927" s="162"/>
      <c r="AO927" s="162"/>
      <c r="AP927" s="162"/>
      <c r="AQ927" s="162"/>
      <c r="AR927" s="710"/>
      <c r="AV927" s="82"/>
      <c r="AW927" s="947"/>
      <c r="AX927" s="947"/>
      <c r="AY927" s="947"/>
    </row>
    <row r="928" spans="31:51" x14ac:dyDescent="0.25">
      <c r="AE928" s="75"/>
      <c r="AF928" s="82"/>
      <c r="AG928" s="82"/>
      <c r="AH928" s="82"/>
      <c r="AI928" s="82"/>
      <c r="AJ928" s="166"/>
      <c r="AK928" s="82"/>
      <c r="AL928" s="162"/>
      <c r="AM928" s="162"/>
      <c r="AN928" s="162"/>
      <c r="AO928" s="162"/>
      <c r="AP928" s="162"/>
      <c r="AQ928" s="162"/>
      <c r="AR928" s="710"/>
      <c r="AV928" s="82"/>
      <c r="AW928" s="947"/>
      <c r="AX928" s="947"/>
      <c r="AY928" s="947"/>
    </row>
    <row r="929" spans="31:51" x14ac:dyDescent="0.25">
      <c r="AE929" s="75"/>
      <c r="AF929" s="82"/>
      <c r="AG929" s="82"/>
      <c r="AH929" s="82"/>
      <c r="AI929" s="82"/>
      <c r="AJ929" s="166"/>
      <c r="AK929" s="82"/>
      <c r="AL929" s="162"/>
      <c r="AM929" s="162"/>
      <c r="AN929" s="162"/>
      <c r="AO929" s="162"/>
      <c r="AP929" s="162"/>
      <c r="AQ929" s="162"/>
      <c r="AR929" s="710"/>
      <c r="AV929" s="82"/>
      <c r="AW929" s="947"/>
      <c r="AX929" s="947"/>
      <c r="AY929" s="947"/>
    </row>
    <row r="930" spans="31:51" x14ac:dyDescent="0.25">
      <c r="AE930" s="75"/>
      <c r="AF930" s="82"/>
      <c r="AG930" s="82"/>
      <c r="AH930" s="82"/>
      <c r="AI930" s="82"/>
      <c r="AJ930" s="166"/>
      <c r="AK930" s="82"/>
      <c r="AL930" s="162"/>
      <c r="AM930" s="162"/>
      <c r="AN930" s="162"/>
      <c r="AO930" s="162"/>
      <c r="AP930" s="162"/>
      <c r="AQ930" s="162"/>
      <c r="AR930" s="710"/>
      <c r="AV930" s="82"/>
      <c r="AW930" s="947"/>
      <c r="AX930" s="947"/>
      <c r="AY930" s="947"/>
    </row>
    <row r="931" spans="31:51" x14ac:dyDescent="0.25">
      <c r="AE931" s="75"/>
      <c r="AF931" s="82"/>
      <c r="AG931" s="82"/>
      <c r="AH931" s="82"/>
      <c r="AI931" s="82"/>
      <c r="AJ931" s="166"/>
      <c r="AK931" s="82"/>
      <c r="AL931" s="162"/>
      <c r="AM931" s="162"/>
      <c r="AN931" s="162"/>
      <c r="AO931" s="162"/>
      <c r="AP931" s="162"/>
      <c r="AQ931" s="162"/>
      <c r="AR931" s="710"/>
      <c r="AV931" s="82"/>
      <c r="AW931" s="947"/>
      <c r="AX931" s="947"/>
      <c r="AY931" s="947"/>
    </row>
    <row r="932" spans="31:51" x14ac:dyDescent="0.25">
      <c r="AE932" s="75"/>
      <c r="AF932" s="82"/>
      <c r="AG932" s="82"/>
      <c r="AH932" s="82"/>
      <c r="AI932" s="82"/>
      <c r="AJ932" s="166"/>
      <c r="AK932" s="82"/>
      <c r="AL932" s="162"/>
      <c r="AM932" s="162"/>
      <c r="AN932" s="162"/>
      <c r="AO932" s="162"/>
      <c r="AP932" s="162"/>
      <c r="AQ932" s="162"/>
      <c r="AR932" s="710"/>
      <c r="AV932" s="82"/>
      <c r="AW932" s="947"/>
      <c r="AX932" s="947"/>
      <c r="AY932" s="947"/>
    </row>
    <row r="933" spans="31:51" x14ac:dyDescent="0.25">
      <c r="AE933" s="75"/>
      <c r="AF933" s="82"/>
      <c r="AG933" s="82"/>
      <c r="AH933" s="82"/>
      <c r="AI933" s="82"/>
      <c r="AJ933" s="166"/>
      <c r="AK933" s="82"/>
      <c r="AL933" s="162"/>
      <c r="AM933" s="162"/>
      <c r="AN933" s="162"/>
      <c r="AO933" s="162"/>
      <c r="AP933" s="162"/>
      <c r="AQ933" s="162"/>
      <c r="AR933" s="710"/>
      <c r="AV933" s="82"/>
      <c r="AW933" s="947"/>
      <c r="AX933" s="947"/>
      <c r="AY933" s="947"/>
    </row>
    <row r="934" spans="31:51" x14ac:dyDescent="0.25">
      <c r="AE934" s="75"/>
      <c r="AF934" s="82"/>
      <c r="AG934" s="82"/>
      <c r="AH934" s="82"/>
      <c r="AI934" s="82"/>
      <c r="AJ934" s="166"/>
      <c r="AK934" s="82"/>
      <c r="AL934" s="162"/>
      <c r="AM934" s="162"/>
      <c r="AN934" s="162"/>
      <c r="AO934" s="162"/>
      <c r="AP934" s="162"/>
      <c r="AQ934" s="162"/>
      <c r="AR934" s="710"/>
      <c r="AV934" s="82"/>
      <c r="AW934" s="947"/>
      <c r="AX934" s="947"/>
      <c r="AY934" s="947"/>
    </row>
    <row r="935" spans="31:51" x14ac:dyDescent="0.25">
      <c r="AE935" s="75"/>
      <c r="AF935" s="82"/>
      <c r="AG935" s="82"/>
      <c r="AH935" s="82"/>
      <c r="AI935" s="82"/>
      <c r="AJ935" s="166"/>
      <c r="AK935" s="82"/>
      <c r="AL935" s="162"/>
      <c r="AM935" s="162"/>
      <c r="AN935" s="162"/>
      <c r="AO935" s="162"/>
      <c r="AP935" s="162"/>
      <c r="AQ935" s="162"/>
      <c r="AR935" s="710"/>
      <c r="AV935" s="82"/>
      <c r="AW935" s="947"/>
      <c r="AX935" s="947"/>
      <c r="AY935" s="947"/>
    </row>
    <row r="936" spans="31:51" x14ac:dyDescent="0.25">
      <c r="AE936" s="75"/>
      <c r="AF936" s="82"/>
      <c r="AG936" s="82"/>
      <c r="AH936" s="82"/>
      <c r="AI936" s="82"/>
      <c r="AJ936" s="166"/>
      <c r="AK936" s="82"/>
      <c r="AL936" s="162"/>
      <c r="AM936" s="162"/>
      <c r="AN936" s="162"/>
      <c r="AO936" s="162"/>
      <c r="AP936" s="162"/>
      <c r="AQ936" s="162"/>
      <c r="AR936" s="710"/>
      <c r="AV936" s="82"/>
      <c r="AW936" s="947"/>
      <c r="AX936" s="947"/>
      <c r="AY936" s="947"/>
    </row>
    <row r="937" spans="31:51" x14ac:dyDescent="0.25">
      <c r="AE937" s="75"/>
      <c r="AF937" s="82"/>
      <c r="AG937" s="82"/>
      <c r="AH937" s="82"/>
      <c r="AI937" s="82"/>
      <c r="AJ937" s="166"/>
      <c r="AK937" s="82"/>
      <c r="AL937" s="162"/>
      <c r="AM937" s="162"/>
      <c r="AN937" s="162"/>
      <c r="AO937" s="162"/>
      <c r="AP937" s="162"/>
      <c r="AQ937" s="162"/>
      <c r="AR937" s="710"/>
      <c r="AV937" s="82"/>
      <c r="AW937" s="947"/>
      <c r="AX937" s="947"/>
      <c r="AY937" s="947"/>
    </row>
    <row r="938" spans="31:51" x14ac:dyDescent="0.25">
      <c r="AE938" s="75"/>
      <c r="AF938" s="82"/>
      <c r="AG938" s="82"/>
      <c r="AH938" s="82"/>
      <c r="AI938" s="82"/>
      <c r="AJ938" s="166"/>
      <c r="AK938" s="82"/>
      <c r="AL938" s="162"/>
      <c r="AM938" s="162"/>
      <c r="AN938" s="162"/>
      <c r="AO938" s="162"/>
      <c r="AP938" s="162"/>
      <c r="AQ938" s="162"/>
      <c r="AR938" s="710"/>
      <c r="AV938" s="82"/>
      <c r="AW938" s="947"/>
      <c r="AX938" s="947"/>
      <c r="AY938" s="947"/>
    </row>
    <row r="939" spans="31:51" x14ac:dyDescent="0.25">
      <c r="AE939" s="75"/>
      <c r="AF939" s="82"/>
      <c r="AG939" s="82"/>
      <c r="AH939" s="82"/>
      <c r="AI939" s="82"/>
      <c r="AJ939" s="166"/>
      <c r="AK939" s="82"/>
      <c r="AL939" s="162"/>
      <c r="AM939" s="162"/>
      <c r="AN939" s="162"/>
      <c r="AO939" s="162"/>
      <c r="AP939" s="162"/>
      <c r="AQ939" s="162"/>
      <c r="AR939" s="710"/>
      <c r="AV939" s="82"/>
      <c r="AW939" s="947"/>
      <c r="AX939" s="947"/>
      <c r="AY939" s="947"/>
    </row>
    <row r="940" spans="31:51" x14ac:dyDescent="0.25">
      <c r="AE940" s="75"/>
      <c r="AF940" s="82"/>
      <c r="AG940" s="82"/>
      <c r="AH940" s="82"/>
      <c r="AI940" s="82"/>
      <c r="AJ940" s="166"/>
      <c r="AK940" s="82"/>
      <c r="AL940" s="162"/>
      <c r="AM940" s="162"/>
      <c r="AN940" s="162"/>
      <c r="AO940" s="162"/>
      <c r="AP940" s="162"/>
      <c r="AQ940" s="162"/>
      <c r="AR940" s="710"/>
      <c r="AV940" s="82"/>
      <c r="AW940" s="947"/>
      <c r="AX940" s="947"/>
      <c r="AY940" s="947"/>
    </row>
    <row r="941" spans="31:51" x14ac:dyDescent="0.25">
      <c r="AE941" s="75"/>
      <c r="AF941" s="82"/>
      <c r="AG941" s="82"/>
      <c r="AH941" s="82"/>
      <c r="AI941" s="82"/>
      <c r="AJ941" s="166"/>
      <c r="AK941" s="82"/>
      <c r="AL941" s="162"/>
      <c r="AM941" s="162"/>
      <c r="AN941" s="162"/>
      <c r="AO941" s="162"/>
      <c r="AP941" s="162"/>
      <c r="AQ941" s="162"/>
      <c r="AR941" s="710"/>
      <c r="AV941" s="82"/>
      <c r="AW941" s="947"/>
      <c r="AX941" s="947"/>
      <c r="AY941" s="947"/>
    </row>
    <row r="942" spans="31:51" x14ac:dyDescent="0.25">
      <c r="AE942" s="75"/>
      <c r="AF942" s="82"/>
      <c r="AG942" s="82"/>
      <c r="AH942" s="82"/>
      <c r="AI942" s="82"/>
      <c r="AJ942" s="166"/>
      <c r="AK942" s="82"/>
      <c r="AL942" s="162"/>
      <c r="AM942" s="162"/>
      <c r="AN942" s="162"/>
      <c r="AO942" s="162"/>
      <c r="AP942" s="162"/>
      <c r="AQ942" s="162"/>
      <c r="AR942" s="710"/>
      <c r="AV942" s="82"/>
      <c r="AW942" s="947"/>
      <c r="AX942" s="947"/>
      <c r="AY942" s="947"/>
    </row>
    <row r="943" spans="31:51" x14ac:dyDescent="0.25">
      <c r="AE943" s="75"/>
      <c r="AF943" s="82"/>
      <c r="AG943" s="82"/>
      <c r="AH943" s="82"/>
      <c r="AI943" s="82"/>
      <c r="AJ943" s="166"/>
      <c r="AK943" s="82"/>
      <c r="AL943" s="162"/>
      <c r="AM943" s="162"/>
      <c r="AN943" s="162"/>
      <c r="AO943" s="162"/>
      <c r="AP943" s="162"/>
      <c r="AQ943" s="162"/>
      <c r="AR943" s="710"/>
      <c r="AV943" s="82"/>
      <c r="AW943" s="947"/>
      <c r="AX943" s="947"/>
      <c r="AY943" s="947"/>
    </row>
    <row r="944" spans="31:51" x14ac:dyDescent="0.25">
      <c r="AE944" s="75"/>
      <c r="AF944" s="82"/>
      <c r="AG944" s="82"/>
      <c r="AH944" s="82"/>
      <c r="AI944" s="82"/>
      <c r="AJ944" s="166"/>
      <c r="AK944" s="82"/>
      <c r="AL944" s="162"/>
      <c r="AM944" s="162"/>
      <c r="AN944" s="162"/>
      <c r="AO944" s="162"/>
      <c r="AP944" s="162"/>
      <c r="AQ944" s="162"/>
      <c r="AR944" s="710"/>
      <c r="AV944" s="82"/>
      <c r="AW944" s="947"/>
      <c r="AX944" s="947"/>
      <c r="AY944" s="947"/>
    </row>
    <row r="945" spans="31:51" x14ac:dyDescent="0.25">
      <c r="AE945" s="75"/>
      <c r="AF945" s="82"/>
      <c r="AG945" s="82"/>
      <c r="AH945" s="82"/>
      <c r="AI945" s="82"/>
      <c r="AJ945" s="166"/>
      <c r="AK945" s="82"/>
      <c r="AL945" s="162"/>
      <c r="AM945" s="162"/>
      <c r="AN945" s="162"/>
      <c r="AO945" s="162"/>
      <c r="AP945" s="162"/>
      <c r="AQ945" s="162"/>
      <c r="AR945" s="710"/>
      <c r="AV945" s="82"/>
      <c r="AW945" s="947"/>
      <c r="AX945" s="947"/>
      <c r="AY945" s="947"/>
    </row>
    <row r="946" spans="31:51" x14ac:dyDescent="0.25">
      <c r="AE946" s="75"/>
      <c r="AF946" s="82"/>
      <c r="AG946" s="82"/>
      <c r="AH946" s="82"/>
      <c r="AI946" s="82"/>
      <c r="AJ946" s="166"/>
      <c r="AK946" s="82"/>
      <c r="AL946" s="162"/>
      <c r="AM946" s="162"/>
      <c r="AN946" s="162"/>
      <c r="AO946" s="162"/>
      <c r="AP946" s="162"/>
      <c r="AQ946" s="162"/>
      <c r="AR946" s="710"/>
      <c r="AV946" s="82"/>
      <c r="AW946" s="947"/>
      <c r="AX946" s="947"/>
      <c r="AY946" s="947"/>
    </row>
    <row r="947" spans="31:51" x14ac:dyDescent="0.25">
      <c r="AE947" s="75"/>
      <c r="AF947" s="82"/>
      <c r="AG947" s="82"/>
      <c r="AH947" s="82"/>
      <c r="AI947" s="82"/>
      <c r="AJ947" s="166"/>
      <c r="AK947" s="82"/>
      <c r="AL947" s="162"/>
      <c r="AM947" s="162"/>
      <c r="AN947" s="162"/>
      <c r="AO947" s="162"/>
      <c r="AP947" s="162"/>
      <c r="AQ947" s="162"/>
      <c r="AR947" s="710"/>
      <c r="AV947" s="82"/>
      <c r="AW947" s="947"/>
      <c r="AX947" s="947"/>
      <c r="AY947" s="947"/>
    </row>
    <row r="948" spans="31:51" x14ac:dyDescent="0.25">
      <c r="AE948" s="75"/>
      <c r="AF948" s="82"/>
      <c r="AG948" s="82"/>
      <c r="AH948" s="82"/>
      <c r="AI948" s="82"/>
      <c r="AJ948" s="166"/>
      <c r="AK948" s="82"/>
      <c r="AL948" s="162"/>
      <c r="AM948" s="162"/>
      <c r="AN948" s="162"/>
      <c r="AO948" s="162"/>
      <c r="AP948" s="162"/>
      <c r="AQ948" s="162"/>
      <c r="AR948" s="710"/>
      <c r="AV948" s="82"/>
      <c r="AW948" s="947"/>
      <c r="AX948" s="947"/>
      <c r="AY948" s="947"/>
    </row>
    <row r="949" spans="31:51" x14ac:dyDescent="0.25">
      <c r="AE949" s="75"/>
      <c r="AF949" s="82"/>
      <c r="AG949" s="82"/>
      <c r="AH949" s="82"/>
      <c r="AI949" s="82"/>
      <c r="AJ949" s="166"/>
      <c r="AK949" s="82"/>
      <c r="AL949" s="162"/>
      <c r="AM949" s="162"/>
      <c r="AN949" s="162"/>
      <c r="AO949" s="162"/>
      <c r="AP949" s="162"/>
      <c r="AQ949" s="162"/>
      <c r="AR949" s="710"/>
      <c r="AV949" s="82"/>
      <c r="AW949" s="947"/>
      <c r="AX949" s="947"/>
      <c r="AY949" s="947"/>
    </row>
    <row r="950" spans="31:51" x14ac:dyDescent="0.25">
      <c r="AE950" s="75"/>
      <c r="AF950" s="82"/>
      <c r="AG950" s="82"/>
      <c r="AH950" s="82"/>
      <c r="AI950" s="82"/>
      <c r="AJ950" s="166"/>
      <c r="AK950" s="82"/>
      <c r="AL950" s="162"/>
      <c r="AM950" s="162"/>
      <c r="AN950" s="162"/>
      <c r="AO950" s="162"/>
      <c r="AP950" s="162"/>
      <c r="AQ950" s="162"/>
      <c r="AR950" s="710"/>
      <c r="AV950" s="82"/>
      <c r="AW950" s="947"/>
      <c r="AX950" s="947"/>
      <c r="AY950" s="947"/>
    </row>
    <row r="951" spans="31:51" x14ac:dyDescent="0.25">
      <c r="AE951" s="75"/>
      <c r="AF951" s="82"/>
      <c r="AG951" s="82"/>
      <c r="AH951" s="82"/>
      <c r="AI951" s="82"/>
      <c r="AJ951" s="166"/>
      <c r="AK951" s="82"/>
      <c r="AL951" s="162"/>
      <c r="AM951" s="162"/>
      <c r="AN951" s="162"/>
      <c r="AO951" s="162"/>
      <c r="AP951" s="162"/>
      <c r="AQ951" s="162"/>
      <c r="AR951" s="710"/>
      <c r="AV951" s="82"/>
      <c r="AW951" s="947"/>
      <c r="AX951" s="947"/>
      <c r="AY951" s="947"/>
    </row>
    <row r="952" spans="31:51" x14ac:dyDescent="0.25">
      <c r="AE952" s="75"/>
      <c r="AF952" s="82"/>
      <c r="AG952" s="82"/>
      <c r="AH952" s="82"/>
      <c r="AI952" s="82"/>
      <c r="AJ952" s="166"/>
      <c r="AK952" s="82"/>
      <c r="AL952" s="162"/>
      <c r="AM952" s="162"/>
      <c r="AN952" s="162"/>
      <c r="AO952" s="162"/>
      <c r="AP952" s="162"/>
      <c r="AQ952" s="162"/>
      <c r="AR952" s="710"/>
      <c r="AV952" s="82"/>
      <c r="AW952" s="947"/>
      <c r="AX952" s="947"/>
      <c r="AY952" s="947"/>
    </row>
    <row r="953" spans="31:51" x14ac:dyDescent="0.25">
      <c r="AE953" s="75"/>
      <c r="AF953" s="82"/>
      <c r="AG953" s="82"/>
      <c r="AH953" s="82"/>
      <c r="AI953" s="82"/>
      <c r="AJ953" s="166"/>
      <c r="AK953" s="82"/>
      <c r="AL953" s="162"/>
      <c r="AM953" s="162"/>
      <c r="AN953" s="162"/>
      <c r="AO953" s="162"/>
      <c r="AP953" s="162"/>
      <c r="AQ953" s="162"/>
      <c r="AR953" s="710"/>
      <c r="AV953" s="82"/>
      <c r="AW953" s="947"/>
      <c r="AX953" s="947"/>
      <c r="AY953" s="947"/>
    </row>
    <row r="954" spans="31:51" x14ac:dyDescent="0.25">
      <c r="AE954" s="75"/>
      <c r="AF954" s="82"/>
      <c r="AG954" s="82"/>
      <c r="AH954" s="82"/>
      <c r="AI954" s="82"/>
      <c r="AJ954" s="166"/>
      <c r="AK954" s="82"/>
      <c r="AL954" s="162"/>
      <c r="AM954" s="162"/>
      <c r="AN954" s="162"/>
      <c r="AO954" s="162"/>
      <c r="AP954" s="162"/>
      <c r="AQ954" s="162"/>
      <c r="AR954" s="710"/>
      <c r="AV954" s="82"/>
      <c r="AW954" s="947"/>
      <c r="AX954" s="947"/>
      <c r="AY954" s="947"/>
    </row>
    <row r="955" spans="31:51" x14ac:dyDescent="0.25">
      <c r="AE955" s="75"/>
      <c r="AF955" s="82"/>
      <c r="AG955" s="82"/>
      <c r="AH955" s="82"/>
      <c r="AI955" s="82"/>
      <c r="AJ955" s="166"/>
      <c r="AK955" s="82"/>
      <c r="AL955" s="162"/>
      <c r="AM955" s="162"/>
      <c r="AN955" s="162"/>
      <c r="AO955" s="162"/>
      <c r="AP955" s="162"/>
      <c r="AQ955" s="162"/>
      <c r="AR955" s="710"/>
      <c r="AV955" s="82"/>
      <c r="AW955" s="947"/>
      <c r="AX955" s="947"/>
      <c r="AY955" s="947"/>
    </row>
    <row r="956" spans="31:51" x14ac:dyDescent="0.25">
      <c r="AE956" s="75"/>
      <c r="AF956" s="82"/>
      <c r="AG956" s="82"/>
      <c r="AH956" s="82"/>
      <c r="AI956" s="82"/>
      <c r="AJ956" s="166"/>
      <c r="AK956" s="82"/>
      <c r="AL956" s="162"/>
      <c r="AM956" s="162"/>
      <c r="AN956" s="162"/>
      <c r="AO956" s="162"/>
      <c r="AP956" s="162"/>
      <c r="AQ956" s="162"/>
      <c r="AR956" s="710"/>
      <c r="AV956" s="82"/>
      <c r="AW956" s="947"/>
      <c r="AX956" s="947"/>
      <c r="AY956" s="947"/>
    </row>
    <row r="957" spans="31:51" x14ac:dyDescent="0.25">
      <c r="AE957" s="75"/>
      <c r="AF957" s="82"/>
      <c r="AG957" s="82"/>
      <c r="AH957" s="82"/>
      <c r="AI957" s="82"/>
      <c r="AJ957" s="166"/>
      <c r="AK957" s="82"/>
      <c r="AL957" s="162"/>
      <c r="AM957" s="162"/>
      <c r="AN957" s="162"/>
      <c r="AO957" s="162"/>
      <c r="AP957" s="162"/>
      <c r="AQ957" s="162"/>
      <c r="AR957" s="710"/>
      <c r="AV957" s="82"/>
      <c r="AW957" s="947"/>
      <c r="AX957" s="947"/>
      <c r="AY957" s="947"/>
    </row>
    <row r="958" spans="31:51" x14ac:dyDescent="0.25">
      <c r="AE958" s="75"/>
      <c r="AF958" s="82"/>
      <c r="AG958" s="82"/>
      <c r="AH958" s="82"/>
      <c r="AI958" s="82"/>
      <c r="AJ958" s="166"/>
      <c r="AK958" s="82"/>
      <c r="AL958" s="162"/>
      <c r="AM958" s="162"/>
      <c r="AN958" s="162"/>
      <c r="AO958" s="162"/>
      <c r="AP958" s="162"/>
      <c r="AQ958" s="162"/>
      <c r="AR958" s="710"/>
      <c r="AV958" s="82"/>
      <c r="AW958" s="947"/>
      <c r="AX958" s="947"/>
      <c r="AY958" s="947"/>
    </row>
    <row r="959" spans="31:51" x14ac:dyDescent="0.25">
      <c r="AE959" s="75"/>
      <c r="AF959" s="82"/>
      <c r="AG959" s="82"/>
      <c r="AH959" s="82"/>
      <c r="AI959" s="82"/>
      <c r="AJ959" s="166"/>
      <c r="AK959" s="82"/>
      <c r="AL959" s="162"/>
      <c r="AM959" s="162"/>
      <c r="AN959" s="162"/>
      <c r="AO959" s="162"/>
      <c r="AP959" s="162"/>
      <c r="AQ959" s="162"/>
      <c r="AR959" s="710"/>
      <c r="AV959" s="82"/>
      <c r="AW959" s="947"/>
      <c r="AX959" s="947"/>
      <c r="AY959" s="947"/>
    </row>
    <row r="960" spans="31:51" x14ac:dyDescent="0.25">
      <c r="AE960" s="75"/>
      <c r="AF960" s="82"/>
      <c r="AG960" s="82"/>
      <c r="AH960" s="82"/>
      <c r="AI960" s="82"/>
      <c r="AJ960" s="166"/>
      <c r="AK960" s="82"/>
      <c r="AL960" s="162"/>
      <c r="AM960" s="162"/>
      <c r="AN960" s="162"/>
      <c r="AO960" s="162"/>
      <c r="AP960" s="162"/>
      <c r="AQ960" s="162"/>
      <c r="AR960" s="710"/>
      <c r="AV960" s="82"/>
      <c r="AW960" s="947"/>
      <c r="AX960" s="947"/>
      <c r="AY960" s="947"/>
    </row>
    <row r="961" spans="31:51" x14ac:dyDescent="0.25">
      <c r="AE961" s="75"/>
      <c r="AF961" s="82"/>
      <c r="AG961" s="82"/>
      <c r="AH961" s="82"/>
      <c r="AI961" s="82"/>
      <c r="AJ961" s="166"/>
      <c r="AK961" s="82"/>
      <c r="AL961" s="162"/>
      <c r="AM961" s="162"/>
      <c r="AN961" s="162"/>
      <c r="AO961" s="162"/>
      <c r="AP961" s="162"/>
      <c r="AQ961" s="162"/>
      <c r="AR961" s="710"/>
      <c r="AV961" s="82"/>
      <c r="AW961" s="947"/>
      <c r="AX961" s="947"/>
      <c r="AY961" s="947"/>
    </row>
    <row r="962" spans="31:51" x14ac:dyDescent="0.25">
      <c r="AE962" s="75"/>
      <c r="AF962" s="82"/>
      <c r="AG962" s="82"/>
      <c r="AH962" s="82"/>
      <c r="AI962" s="82"/>
      <c r="AJ962" s="166"/>
      <c r="AK962" s="82"/>
      <c r="AL962" s="162"/>
      <c r="AM962" s="162"/>
      <c r="AN962" s="162"/>
      <c r="AO962" s="162"/>
      <c r="AP962" s="162"/>
      <c r="AQ962" s="162"/>
      <c r="AR962" s="710"/>
      <c r="AV962" s="82"/>
      <c r="AW962" s="947"/>
      <c r="AX962" s="947"/>
      <c r="AY962" s="947"/>
    </row>
    <row r="963" spans="31:51" x14ac:dyDescent="0.25">
      <c r="AE963" s="75"/>
      <c r="AF963" s="82"/>
      <c r="AG963" s="82"/>
      <c r="AH963" s="82"/>
      <c r="AI963" s="82"/>
      <c r="AJ963" s="166"/>
      <c r="AK963" s="82"/>
      <c r="AL963" s="162"/>
      <c r="AM963" s="162"/>
      <c r="AN963" s="162"/>
      <c r="AO963" s="162"/>
      <c r="AP963" s="162"/>
      <c r="AQ963" s="162"/>
      <c r="AR963" s="710"/>
      <c r="AV963" s="82"/>
      <c r="AW963" s="947"/>
      <c r="AX963" s="947"/>
      <c r="AY963" s="947"/>
    </row>
    <row r="964" spans="31:51" x14ac:dyDescent="0.25">
      <c r="AE964" s="75"/>
      <c r="AF964" s="82"/>
      <c r="AG964" s="82"/>
      <c r="AH964" s="82"/>
      <c r="AI964" s="82"/>
      <c r="AJ964" s="166"/>
      <c r="AK964" s="82"/>
      <c r="AL964" s="162"/>
      <c r="AM964" s="162"/>
      <c r="AN964" s="162"/>
      <c r="AO964" s="162"/>
      <c r="AP964" s="162"/>
      <c r="AQ964" s="162"/>
      <c r="AR964" s="710"/>
      <c r="AV964" s="82"/>
      <c r="AW964" s="947"/>
      <c r="AX964" s="947"/>
      <c r="AY964" s="947"/>
    </row>
    <row r="965" spans="31:51" x14ac:dyDescent="0.25">
      <c r="AE965" s="75"/>
      <c r="AF965" s="82"/>
      <c r="AG965" s="82"/>
      <c r="AH965" s="82"/>
      <c r="AI965" s="82"/>
      <c r="AJ965" s="166"/>
      <c r="AK965" s="82"/>
      <c r="AL965" s="162"/>
      <c r="AM965" s="162"/>
      <c r="AN965" s="162"/>
      <c r="AO965" s="162"/>
      <c r="AP965" s="162"/>
      <c r="AQ965" s="162"/>
      <c r="AR965" s="710"/>
      <c r="AV965" s="82"/>
      <c r="AW965" s="947"/>
      <c r="AX965" s="947"/>
      <c r="AY965" s="947"/>
    </row>
    <row r="966" spans="31:51" x14ac:dyDescent="0.25">
      <c r="AE966" s="75"/>
      <c r="AF966" s="82"/>
      <c r="AG966" s="82"/>
      <c r="AH966" s="82"/>
      <c r="AI966" s="82"/>
      <c r="AJ966" s="166"/>
      <c r="AK966" s="82"/>
      <c r="AL966" s="162"/>
      <c r="AM966" s="162"/>
      <c r="AN966" s="162"/>
      <c r="AO966" s="162"/>
      <c r="AP966" s="162"/>
      <c r="AQ966" s="162"/>
      <c r="AR966" s="710"/>
      <c r="AV966" s="82"/>
      <c r="AW966" s="947"/>
      <c r="AX966" s="947"/>
      <c r="AY966" s="947"/>
    </row>
    <row r="967" spans="31:51" x14ac:dyDescent="0.25">
      <c r="AE967" s="75"/>
      <c r="AF967" s="82"/>
      <c r="AG967" s="82"/>
      <c r="AH967" s="82"/>
      <c r="AI967" s="82"/>
      <c r="AJ967" s="166"/>
      <c r="AK967" s="82"/>
      <c r="AL967" s="162"/>
      <c r="AM967" s="162"/>
      <c r="AN967" s="162"/>
      <c r="AO967" s="162"/>
      <c r="AP967" s="162"/>
      <c r="AQ967" s="162"/>
      <c r="AR967" s="710"/>
      <c r="AV967" s="82"/>
      <c r="AW967" s="947"/>
      <c r="AX967" s="947"/>
      <c r="AY967" s="947"/>
    </row>
    <row r="968" spans="31:51" x14ac:dyDescent="0.25">
      <c r="AE968" s="75"/>
      <c r="AF968" s="82"/>
      <c r="AG968" s="82"/>
      <c r="AH968" s="82"/>
      <c r="AI968" s="82"/>
      <c r="AJ968" s="166"/>
      <c r="AK968" s="82"/>
      <c r="AL968" s="162"/>
      <c r="AM968" s="162"/>
      <c r="AN968" s="162"/>
      <c r="AO968" s="162"/>
      <c r="AP968" s="162"/>
      <c r="AQ968" s="162"/>
      <c r="AR968" s="710"/>
      <c r="AV968" s="82"/>
      <c r="AW968" s="947"/>
      <c r="AX968" s="947"/>
      <c r="AY968" s="947"/>
    </row>
    <row r="969" spans="31:51" x14ac:dyDescent="0.25">
      <c r="AE969" s="75"/>
      <c r="AF969" s="82"/>
      <c r="AG969" s="82"/>
      <c r="AH969" s="82"/>
      <c r="AI969" s="82"/>
      <c r="AJ969" s="166"/>
      <c r="AK969" s="82"/>
      <c r="AL969" s="162"/>
      <c r="AM969" s="162"/>
      <c r="AN969" s="162"/>
      <c r="AO969" s="162"/>
      <c r="AP969" s="162"/>
      <c r="AQ969" s="162"/>
      <c r="AR969" s="710"/>
      <c r="AV969" s="82"/>
      <c r="AW969" s="947"/>
      <c r="AX969" s="947"/>
      <c r="AY969" s="947"/>
    </row>
    <row r="970" spans="31:51" x14ac:dyDescent="0.25">
      <c r="AE970" s="75"/>
      <c r="AF970" s="82"/>
      <c r="AG970" s="82"/>
      <c r="AH970" s="82"/>
      <c r="AI970" s="82"/>
      <c r="AJ970" s="166"/>
      <c r="AK970" s="82"/>
      <c r="AL970" s="162"/>
      <c r="AM970" s="162"/>
      <c r="AN970" s="162"/>
      <c r="AO970" s="162"/>
      <c r="AP970" s="162"/>
      <c r="AQ970" s="162"/>
      <c r="AR970" s="710"/>
      <c r="AV970" s="82"/>
      <c r="AW970" s="947"/>
      <c r="AX970" s="947"/>
      <c r="AY970" s="947"/>
    </row>
    <row r="971" spans="31:51" x14ac:dyDescent="0.25">
      <c r="AE971" s="75"/>
      <c r="AF971" s="82"/>
      <c r="AG971" s="82"/>
      <c r="AH971" s="82"/>
      <c r="AI971" s="82"/>
      <c r="AJ971" s="166"/>
      <c r="AK971" s="82"/>
      <c r="AL971" s="162"/>
      <c r="AM971" s="162"/>
      <c r="AN971" s="162"/>
      <c r="AO971" s="162"/>
      <c r="AP971" s="162"/>
      <c r="AQ971" s="162"/>
      <c r="AR971" s="710"/>
      <c r="AV971" s="82"/>
      <c r="AW971" s="947"/>
      <c r="AX971" s="947"/>
      <c r="AY971" s="947"/>
    </row>
    <row r="972" spans="31:51" x14ac:dyDescent="0.25">
      <c r="AE972" s="75"/>
      <c r="AF972" s="82"/>
      <c r="AG972" s="82"/>
      <c r="AH972" s="82"/>
      <c r="AI972" s="82"/>
      <c r="AJ972" s="166"/>
      <c r="AK972" s="82"/>
      <c r="AL972" s="162"/>
      <c r="AM972" s="162"/>
      <c r="AN972" s="162"/>
      <c r="AO972" s="162"/>
      <c r="AP972" s="162"/>
      <c r="AQ972" s="162"/>
      <c r="AR972" s="710"/>
      <c r="AV972" s="82"/>
      <c r="AW972" s="947"/>
      <c r="AX972" s="947"/>
      <c r="AY972" s="947"/>
    </row>
    <row r="973" spans="31:51" x14ac:dyDescent="0.25">
      <c r="AE973" s="75"/>
      <c r="AF973" s="82"/>
      <c r="AG973" s="82"/>
      <c r="AH973" s="82"/>
      <c r="AI973" s="82"/>
      <c r="AJ973" s="166"/>
      <c r="AK973" s="82"/>
      <c r="AL973" s="162"/>
      <c r="AM973" s="162"/>
      <c r="AN973" s="162"/>
      <c r="AO973" s="162"/>
      <c r="AP973" s="162"/>
      <c r="AQ973" s="162"/>
      <c r="AR973" s="710"/>
      <c r="AV973" s="82"/>
      <c r="AW973" s="947"/>
      <c r="AX973" s="947"/>
      <c r="AY973" s="947"/>
    </row>
    <row r="974" spans="31:51" x14ac:dyDescent="0.25">
      <c r="AE974" s="75"/>
      <c r="AF974" s="82"/>
      <c r="AG974" s="82"/>
      <c r="AH974" s="82"/>
      <c r="AI974" s="82"/>
      <c r="AJ974" s="166"/>
      <c r="AK974" s="82"/>
      <c r="AL974" s="162"/>
      <c r="AM974" s="162"/>
      <c r="AN974" s="162"/>
      <c r="AO974" s="162"/>
      <c r="AP974" s="162"/>
      <c r="AQ974" s="162"/>
      <c r="AR974" s="710"/>
      <c r="AV974" s="82"/>
      <c r="AW974" s="947"/>
      <c r="AX974" s="947"/>
      <c r="AY974" s="947"/>
    </row>
    <row r="975" spans="31:51" x14ac:dyDescent="0.25">
      <c r="AE975" s="75"/>
      <c r="AF975" s="82"/>
      <c r="AG975" s="82"/>
      <c r="AH975" s="82"/>
      <c r="AI975" s="82"/>
      <c r="AJ975" s="166"/>
      <c r="AK975" s="82"/>
      <c r="AL975" s="162"/>
      <c r="AM975" s="162"/>
      <c r="AN975" s="162"/>
      <c r="AO975" s="162"/>
      <c r="AP975" s="162"/>
      <c r="AQ975" s="162"/>
      <c r="AR975" s="710"/>
      <c r="AV975" s="82"/>
      <c r="AW975" s="947"/>
      <c r="AX975" s="947"/>
      <c r="AY975" s="947"/>
    </row>
    <row r="976" spans="31:51" x14ac:dyDescent="0.25">
      <c r="AE976" s="75"/>
      <c r="AF976" s="82"/>
      <c r="AG976" s="82"/>
      <c r="AH976" s="82"/>
      <c r="AI976" s="82"/>
      <c r="AJ976" s="166"/>
      <c r="AK976" s="82"/>
      <c r="AL976" s="162"/>
      <c r="AM976" s="162"/>
      <c r="AN976" s="162"/>
      <c r="AO976" s="162"/>
      <c r="AP976" s="162"/>
      <c r="AQ976" s="162"/>
      <c r="AR976" s="710"/>
      <c r="AV976" s="82"/>
      <c r="AW976" s="947"/>
      <c r="AX976" s="947"/>
      <c r="AY976" s="947"/>
    </row>
    <row r="977" spans="31:51" x14ac:dyDescent="0.25">
      <c r="AE977" s="75"/>
      <c r="AF977" s="82"/>
      <c r="AG977" s="82"/>
      <c r="AH977" s="82"/>
      <c r="AI977" s="82"/>
      <c r="AJ977" s="166"/>
      <c r="AK977" s="82"/>
      <c r="AL977" s="162"/>
      <c r="AM977" s="162"/>
      <c r="AN977" s="162"/>
      <c r="AO977" s="162"/>
      <c r="AP977" s="162"/>
      <c r="AQ977" s="162"/>
      <c r="AR977" s="710"/>
      <c r="AV977" s="82"/>
      <c r="AW977" s="947"/>
      <c r="AX977" s="947"/>
      <c r="AY977" s="947"/>
    </row>
    <row r="978" spans="31:51" x14ac:dyDescent="0.25">
      <c r="AE978" s="75"/>
      <c r="AF978" s="82"/>
      <c r="AG978" s="82"/>
      <c r="AH978" s="82"/>
      <c r="AI978" s="82"/>
      <c r="AJ978" s="166"/>
      <c r="AK978" s="82"/>
      <c r="AL978" s="162"/>
      <c r="AM978" s="162"/>
      <c r="AN978" s="162"/>
      <c r="AO978" s="162"/>
      <c r="AP978" s="162"/>
      <c r="AQ978" s="162"/>
      <c r="AR978" s="710"/>
      <c r="AV978" s="82"/>
      <c r="AW978" s="947"/>
      <c r="AX978" s="947"/>
      <c r="AY978" s="947"/>
    </row>
    <row r="979" spans="31:51" x14ac:dyDescent="0.25">
      <c r="AE979" s="75"/>
      <c r="AF979" s="82"/>
      <c r="AG979" s="82"/>
      <c r="AH979" s="82"/>
      <c r="AI979" s="82"/>
      <c r="AJ979" s="166"/>
      <c r="AK979" s="82"/>
      <c r="AL979" s="162"/>
      <c r="AM979" s="162"/>
      <c r="AN979" s="162"/>
      <c r="AO979" s="162"/>
      <c r="AP979" s="162"/>
      <c r="AQ979" s="162"/>
      <c r="AR979" s="710"/>
      <c r="AV979" s="82"/>
      <c r="AW979" s="947"/>
      <c r="AX979" s="947"/>
      <c r="AY979" s="947"/>
    </row>
    <row r="980" spans="31:51" x14ac:dyDescent="0.25">
      <c r="AE980" s="75"/>
      <c r="AF980" s="82"/>
      <c r="AG980" s="82"/>
      <c r="AH980" s="82"/>
      <c r="AI980" s="82"/>
      <c r="AJ980" s="166"/>
      <c r="AK980" s="82"/>
      <c r="AL980" s="162"/>
      <c r="AM980" s="162"/>
      <c r="AN980" s="162"/>
      <c r="AO980" s="162"/>
      <c r="AP980" s="162"/>
      <c r="AQ980" s="162"/>
      <c r="AR980" s="710"/>
      <c r="AV980" s="82"/>
      <c r="AW980" s="947"/>
      <c r="AX980" s="947"/>
      <c r="AY980" s="947"/>
    </row>
    <row r="981" spans="31:51" x14ac:dyDescent="0.25">
      <c r="AE981" s="75"/>
      <c r="AF981" s="82"/>
      <c r="AG981" s="82"/>
      <c r="AH981" s="82"/>
      <c r="AI981" s="82"/>
      <c r="AJ981" s="166"/>
      <c r="AK981" s="82"/>
      <c r="AL981" s="162"/>
      <c r="AM981" s="162"/>
      <c r="AN981" s="162"/>
      <c r="AO981" s="162"/>
      <c r="AP981" s="162"/>
      <c r="AQ981" s="162"/>
      <c r="AR981" s="710"/>
      <c r="AV981" s="82"/>
      <c r="AW981" s="947"/>
      <c r="AX981" s="947"/>
      <c r="AY981" s="947"/>
    </row>
    <row r="982" spans="31:51" x14ac:dyDescent="0.25">
      <c r="AE982" s="75"/>
      <c r="AF982" s="82"/>
      <c r="AG982" s="82"/>
      <c r="AH982" s="82"/>
      <c r="AI982" s="82"/>
      <c r="AJ982" s="166"/>
      <c r="AK982" s="82"/>
      <c r="AL982" s="162"/>
      <c r="AM982" s="162"/>
      <c r="AN982" s="162"/>
      <c r="AO982" s="162"/>
      <c r="AP982" s="162"/>
      <c r="AQ982" s="162"/>
      <c r="AR982" s="710"/>
      <c r="AV982" s="82"/>
      <c r="AW982" s="947"/>
      <c r="AX982" s="947"/>
      <c r="AY982" s="947"/>
    </row>
    <row r="983" spans="31:51" x14ac:dyDescent="0.25">
      <c r="AE983" s="75"/>
      <c r="AF983" s="82"/>
      <c r="AG983" s="82"/>
      <c r="AH983" s="82"/>
      <c r="AI983" s="82"/>
      <c r="AJ983" s="166"/>
      <c r="AK983" s="82"/>
      <c r="AL983" s="162"/>
      <c r="AM983" s="162"/>
      <c r="AN983" s="162"/>
      <c r="AO983" s="162"/>
      <c r="AP983" s="162"/>
      <c r="AQ983" s="162"/>
      <c r="AR983" s="710"/>
      <c r="AV983" s="82"/>
      <c r="AW983" s="947"/>
      <c r="AX983" s="947"/>
      <c r="AY983" s="947"/>
    </row>
    <row r="984" spans="31:51" x14ac:dyDescent="0.25">
      <c r="AE984" s="75"/>
      <c r="AF984" s="82"/>
      <c r="AG984" s="82"/>
      <c r="AH984" s="82"/>
      <c r="AI984" s="82"/>
      <c r="AJ984" s="166"/>
      <c r="AK984" s="82"/>
      <c r="AL984" s="162"/>
      <c r="AM984" s="162"/>
      <c r="AN984" s="162"/>
      <c r="AO984" s="162"/>
      <c r="AP984" s="162"/>
      <c r="AQ984" s="162"/>
      <c r="AR984" s="710"/>
      <c r="AV984" s="82"/>
      <c r="AW984" s="947"/>
      <c r="AX984" s="947"/>
      <c r="AY984" s="947"/>
    </row>
    <row r="985" spans="31:51" x14ac:dyDescent="0.25">
      <c r="AE985" s="75"/>
      <c r="AF985" s="82"/>
      <c r="AG985" s="82"/>
      <c r="AH985" s="82"/>
      <c r="AI985" s="82"/>
      <c r="AJ985" s="166"/>
      <c r="AK985" s="82"/>
      <c r="AL985" s="162"/>
      <c r="AM985" s="162"/>
      <c r="AN985" s="162"/>
      <c r="AO985" s="162"/>
      <c r="AP985" s="162"/>
      <c r="AQ985" s="162"/>
      <c r="AR985" s="710"/>
      <c r="AV985" s="82"/>
      <c r="AW985" s="947"/>
      <c r="AX985" s="947"/>
      <c r="AY985" s="947"/>
    </row>
    <row r="986" spans="31:51" x14ac:dyDescent="0.25">
      <c r="AE986" s="75"/>
      <c r="AF986" s="82"/>
      <c r="AG986" s="82"/>
      <c r="AH986" s="82"/>
      <c r="AI986" s="82"/>
      <c r="AJ986" s="166"/>
      <c r="AK986" s="82"/>
      <c r="AL986" s="162"/>
      <c r="AM986" s="162"/>
      <c r="AN986" s="162"/>
      <c r="AO986" s="162"/>
      <c r="AP986" s="162"/>
      <c r="AQ986" s="162"/>
      <c r="AR986" s="710"/>
      <c r="AV986" s="82"/>
      <c r="AW986" s="947"/>
      <c r="AX986" s="947"/>
      <c r="AY986" s="947"/>
    </row>
    <row r="987" spans="31:51" x14ac:dyDescent="0.25">
      <c r="AE987" s="75"/>
      <c r="AF987" s="82"/>
      <c r="AG987" s="82"/>
      <c r="AH987" s="82"/>
      <c r="AI987" s="82"/>
      <c r="AJ987" s="166"/>
      <c r="AK987" s="82"/>
      <c r="AL987" s="162"/>
      <c r="AM987" s="162"/>
      <c r="AN987" s="162"/>
      <c r="AO987" s="162"/>
      <c r="AP987" s="162"/>
      <c r="AQ987" s="162"/>
      <c r="AR987" s="710"/>
      <c r="AV987" s="82"/>
      <c r="AW987" s="947"/>
      <c r="AX987" s="947"/>
      <c r="AY987" s="947"/>
    </row>
    <row r="988" spans="31:51" x14ac:dyDescent="0.25">
      <c r="AE988" s="75"/>
      <c r="AF988" s="82"/>
      <c r="AG988" s="82"/>
      <c r="AH988" s="82"/>
      <c r="AI988" s="82"/>
      <c r="AJ988" s="166"/>
      <c r="AK988" s="82"/>
      <c r="AL988" s="162"/>
      <c r="AM988" s="162"/>
      <c r="AN988" s="162"/>
      <c r="AO988" s="162"/>
      <c r="AP988" s="162"/>
      <c r="AQ988" s="162"/>
      <c r="AR988" s="710"/>
      <c r="AV988" s="82"/>
      <c r="AW988" s="947"/>
      <c r="AX988" s="947"/>
      <c r="AY988" s="947"/>
    </row>
    <row r="989" spans="31:51" x14ac:dyDescent="0.25">
      <c r="AE989" s="75"/>
      <c r="AF989" s="82"/>
      <c r="AG989" s="82"/>
      <c r="AH989" s="82"/>
      <c r="AI989" s="82"/>
      <c r="AJ989" s="166"/>
      <c r="AK989" s="82"/>
      <c r="AL989" s="162"/>
      <c r="AM989" s="162"/>
      <c r="AN989" s="162"/>
      <c r="AO989" s="162"/>
      <c r="AP989" s="162"/>
      <c r="AQ989" s="162"/>
      <c r="AR989" s="710"/>
      <c r="AV989" s="82"/>
      <c r="AW989" s="947"/>
      <c r="AX989" s="947"/>
      <c r="AY989" s="947"/>
    </row>
    <row r="990" spans="31:51" x14ac:dyDescent="0.25">
      <c r="AE990" s="75"/>
      <c r="AF990" s="82"/>
      <c r="AG990" s="82"/>
      <c r="AH990" s="82"/>
      <c r="AI990" s="82"/>
      <c r="AJ990" s="166"/>
      <c r="AK990" s="82"/>
      <c r="AL990" s="162"/>
      <c r="AM990" s="162"/>
      <c r="AN990" s="162"/>
      <c r="AO990" s="162"/>
      <c r="AP990" s="162"/>
      <c r="AQ990" s="162"/>
      <c r="AR990" s="710"/>
      <c r="AV990" s="82"/>
      <c r="AW990" s="947"/>
      <c r="AX990" s="947"/>
      <c r="AY990" s="947"/>
    </row>
    <row r="991" spans="31:51" x14ac:dyDescent="0.25">
      <c r="AE991" s="75"/>
      <c r="AF991" s="82"/>
      <c r="AG991" s="82"/>
      <c r="AH991" s="82"/>
      <c r="AI991" s="82"/>
      <c r="AJ991" s="166"/>
      <c r="AK991" s="82"/>
      <c r="AL991" s="162"/>
      <c r="AM991" s="162"/>
      <c r="AN991" s="162"/>
      <c r="AO991" s="162"/>
      <c r="AP991" s="162"/>
      <c r="AQ991" s="162"/>
      <c r="AR991" s="710"/>
      <c r="AV991" s="82"/>
      <c r="AW991" s="947"/>
      <c r="AX991" s="947"/>
      <c r="AY991" s="947"/>
    </row>
    <row r="992" spans="31:51" x14ac:dyDescent="0.25">
      <c r="AE992" s="75"/>
      <c r="AF992" s="82"/>
      <c r="AG992" s="82"/>
      <c r="AH992" s="82"/>
      <c r="AI992" s="82"/>
      <c r="AJ992" s="166"/>
      <c r="AK992" s="82"/>
      <c r="AL992" s="162"/>
      <c r="AM992" s="162"/>
      <c r="AN992" s="162"/>
      <c r="AO992" s="162"/>
      <c r="AP992" s="162"/>
      <c r="AQ992" s="162"/>
      <c r="AR992" s="710"/>
      <c r="AV992" s="82"/>
      <c r="AW992" s="947"/>
      <c r="AX992" s="947"/>
      <c r="AY992" s="947"/>
    </row>
    <row r="993" spans="31:51" x14ac:dyDescent="0.25">
      <c r="AE993" s="75"/>
      <c r="AF993" s="82"/>
      <c r="AG993" s="82"/>
      <c r="AH993" s="82"/>
      <c r="AI993" s="82"/>
      <c r="AJ993" s="166"/>
      <c r="AK993" s="82"/>
      <c r="AL993" s="162"/>
      <c r="AM993" s="162"/>
      <c r="AN993" s="162"/>
      <c r="AO993" s="162"/>
      <c r="AP993" s="162"/>
      <c r="AQ993" s="162"/>
      <c r="AR993" s="710"/>
      <c r="AV993" s="82"/>
      <c r="AW993" s="947"/>
      <c r="AX993" s="947"/>
      <c r="AY993" s="947"/>
    </row>
    <row r="994" spans="31:51" x14ac:dyDescent="0.25">
      <c r="AE994" s="75"/>
      <c r="AF994" s="82"/>
      <c r="AG994" s="82"/>
      <c r="AH994" s="82"/>
      <c r="AI994" s="82"/>
      <c r="AJ994" s="166"/>
      <c r="AK994" s="82"/>
      <c r="AL994" s="162"/>
      <c r="AM994" s="162"/>
      <c r="AN994" s="162"/>
      <c r="AO994" s="162"/>
      <c r="AP994" s="162"/>
      <c r="AQ994" s="162"/>
      <c r="AR994" s="710"/>
      <c r="AV994" s="82"/>
      <c r="AW994" s="947"/>
      <c r="AX994" s="947"/>
      <c r="AY994" s="947"/>
    </row>
    <row r="995" spans="31:51" x14ac:dyDescent="0.25">
      <c r="AE995" s="75"/>
      <c r="AF995" s="82"/>
      <c r="AG995" s="82"/>
      <c r="AH995" s="82"/>
      <c r="AI995" s="82"/>
      <c r="AJ995" s="166"/>
      <c r="AK995" s="82"/>
      <c r="AL995" s="162"/>
      <c r="AM995" s="162"/>
      <c r="AN995" s="162"/>
      <c r="AO995" s="162"/>
      <c r="AP995" s="162"/>
      <c r="AQ995" s="162"/>
      <c r="AR995" s="710"/>
      <c r="AV995" s="82"/>
      <c r="AW995" s="947"/>
      <c r="AX995" s="947"/>
      <c r="AY995" s="947"/>
    </row>
    <row r="996" spans="31:51" x14ac:dyDescent="0.25">
      <c r="AE996" s="75"/>
      <c r="AF996" s="82"/>
      <c r="AG996" s="82"/>
      <c r="AH996" s="82"/>
      <c r="AI996" s="82"/>
      <c r="AJ996" s="166"/>
      <c r="AK996" s="82"/>
      <c r="AL996" s="162"/>
      <c r="AM996" s="162"/>
      <c r="AN996" s="162"/>
      <c r="AO996" s="162"/>
      <c r="AP996" s="162"/>
      <c r="AQ996" s="162"/>
      <c r="AR996" s="710"/>
      <c r="AV996" s="82"/>
      <c r="AW996" s="947"/>
      <c r="AX996" s="947"/>
      <c r="AY996" s="947"/>
    </row>
    <row r="997" spans="31:51" x14ac:dyDescent="0.25">
      <c r="AE997" s="75"/>
      <c r="AF997" s="82"/>
      <c r="AG997" s="82"/>
      <c r="AH997" s="82"/>
      <c r="AI997" s="82"/>
      <c r="AJ997" s="166"/>
      <c r="AK997" s="82"/>
      <c r="AL997" s="162"/>
      <c r="AM997" s="162"/>
      <c r="AN997" s="162"/>
      <c r="AO997" s="162"/>
      <c r="AP997" s="162"/>
      <c r="AQ997" s="162"/>
      <c r="AR997" s="710"/>
      <c r="AV997" s="82"/>
      <c r="AW997" s="947"/>
      <c r="AX997" s="947"/>
      <c r="AY997" s="947"/>
    </row>
    <row r="998" spans="31:51" x14ac:dyDescent="0.25">
      <c r="AE998" s="75"/>
      <c r="AF998" s="82"/>
      <c r="AG998" s="82"/>
      <c r="AH998" s="82"/>
      <c r="AI998" s="82"/>
      <c r="AJ998" s="166"/>
      <c r="AK998" s="82"/>
      <c r="AL998" s="162"/>
      <c r="AM998" s="162"/>
      <c r="AN998" s="162"/>
      <c r="AO998" s="162"/>
      <c r="AP998" s="162"/>
      <c r="AQ998" s="162"/>
      <c r="AR998" s="710"/>
      <c r="AV998" s="82"/>
      <c r="AW998" s="947"/>
      <c r="AX998" s="947"/>
      <c r="AY998" s="947"/>
    </row>
    <row r="999" spans="31:51" x14ac:dyDescent="0.25">
      <c r="AE999" s="75"/>
      <c r="AF999" s="82"/>
      <c r="AG999" s="82"/>
      <c r="AH999" s="82"/>
      <c r="AI999" s="82"/>
      <c r="AJ999" s="166"/>
      <c r="AK999" s="82"/>
      <c r="AL999" s="162"/>
      <c r="AM999" s="162"/>
      <c r="AN999" s="162"/>
      <c r="AO999" s="162"/>
      <c r="AP999" s="162"/>
      <c r="AQ999" s="162"/>
      <c r="AR999" s="710"/>
      <c r="AV999" s="82"/>
      <c r="AW999" s="947"/>
      <c r="AX999" s="947"/>
      <c r="AY999" s="947"/>
    </row>
    <row r="1000" spans="31:51" x14ac:dyDescent="0.25">
      <c r="AE1000" s="75"/>
      <c r="AF1000" s="82"/>
      <c r="AG1000" s="82"/>
      <c r="AH1000" s="82"/>
      <c r="AI1000" s="82"/>
      <c r="AJ1000" s="166"/>
      <c r="AK1000" s="82"/>
      <c r="AL1000" s="162"/>
      <c r="AM1000" s="162"/>
      <c r="AN1000" s="162"/>
      <c r="AO1000" s="162"/>
      <c r="AP1000" s="162"/>
      <c r="AQ1000" s="162"/>
      <c r="AR1000" s="710"/>
      <c r="AV1000" s="82"/>
      <c r="AW1000" s="947"/>
      <c r="AX1000" s="947"/>
      <c r="AY1000" s="947"/>
    </row>
    <row r="1001" spans="31:51" x14ac:dyDescent="0.25">
      <c r="AE1001" s="75"/>
      <c r="AF1001" s="82"/>
      <c r="AG1001" s="82"/>
      <c r="AH1001" s="82"/>
      <c r="AI1001" s="82"/>
      <c r="AJ1001" s="166"/>
      <c r="AK1001" s="82"/>
      <c r="AL1001" s="162"/>
      <c r="AM1001" s="162"/>
      <c r="AN1001" s="162"/>
      <c r="AO1001" s="162"/>
      <c r="AP1001" s="162"/>
      <c r="AQ1001" s="162"/>
      <c r="AR1001" s="710"/>
      <c r="AV1001" s="82"/>
      <c r="AW1001" s="947"/>
      <c r="AX1001" s="947"/>
      <c r="AY1001" s="947"/>
    </row>
    <row r="1002" spans="31:51" x14ac:dyDescent="0.25">
      <c r="AE1002" s="75"/>
      <c r="AF1002" s="82"/>
      <c r="AG1002" s="82"/>
      <c r="AH1002" s="82"/>
      <c r="AI1002" s="82"/>
      <c r="AJ1002" s="166"/>
      <c r="AK1002" s="82"/>
      <c r="AL1002" s="162"/>
      <c r="AM1002" s="162"/>
      <c r="AN1002" s="162"/>
      <c r="AO1002" s="162"/>
      <c r="AP1002" s="162"/>
      <c r="AQ1002" s="162"/>
      <c r="AR1002" s="710"/>
      <c r="AV1002" s="82"/>
      <c r="AW1002" s="947"/>
      <c r="AX1002" s="947"/>
      <c r="AY1002" s="947"/>
    </row>
    <row r="1003" spans="31:51" x14ac:dyDescent="0.25">
      <c r="AE1003" s="75"/>
      <c r="AF1003" s="82"/>
      <c r="AG1003" s="82"/>
      <c r="AH1003" s="82"/>
      <c r="AI1003" s="82"/>
      <c r="AJ1003" s="166"/>
      <c r="AK1003" s="82"/>
      <c r="AL1003" s="162"/>
      <c r="AM1003" s="162"/>
      <c r="AN1003" s="162"/>
      <c r="AO1003" s="162"/>
      <c r="AP1003" s="162"/>
      <c r="AQ1003" s="162"/>
      <c r="AR1003" s="710"/>
      <c r="AV1003" s="82"/>
      <c r="AW1003" s="947"/>
      <c r="AX1003" s="947"/>
      <c r="AY1003" s="947"/>
    </row>
    <row r="1004" spans="31:51" x14ac:dyDescent="0.25">
      <c r="AE1004" s="75"/>
      <c r="AF1004" s="82"/>
      <c r="AG1004" s="82"/>
      <c r="AH1004" s="82"/>
      <c r="AI1004" s="82"/>
      <c r="AJ1004" s="166"/>
      <c r="AK1004" s="82"/>
      <c r="AL1004" s="162"/>
      <c r="AM1004" s="162"/>
      <c r="AN1004" s="162"/>
      <c r="AO1004" s="162"/>
      <c r="AP1004" s="162"/>
      <c r="AQ1004" s="162"/>
      <c r="AR1004" s="710"/>
      <c r="AV1004" s="82"/>
      <c r="AW1004" s="947"/>
      <c r="AX1004" s="947"/>
      <c r="AY1004" s="947"/>
    </row>
    <row r="1005" spans="31:51" x14ac:dyDescent="0.25">
      <c r="AE1005" s="75"/>
      <c r="AF1005" s="82"/>
      <c r="AG1005" s="82"/>
      <c r="AH1005" s="82"/>
      <c r="AI1005" s="82"/>
      <c r="AJ1005" s="166"/>
      <c r="AK1005" s="82"/>
      <c r="AL1005" s="162"/>
      <c r="AM1005" s="162"/>
      <c r="AN1005" s="162"/>
      <c r="AO1005" s="162"/>
      <c r="AP1005" s="162"/>
      <c r="AQ1005" s="162"/>
      <c r="AR1005" s="710"/>
      <c r="AV1005" s="82"/>
      <c r="AW1005" s="947"/>
      <c r="AX1005" s="947"/>
      <c r="AY1005" s="947"/>
    </row>
    <row r="1006" spans="31:51" x14ac:dyDescent="0.25">
      <c r="AE1006" s="75"/>
      <c r="AF1006" s="82"/>
      <c r="AG1006" s="82"/>
      <c r="AH1006" s="82"/>
      <c r="AI1006" s="82"/>
      <c r="AJ1006" s="166"/>
      <c r="AK1006" s="82"/>
      <c r="AL1006" s="162"/>
      <c r="AM1006" s="162"/>
      <c r="AN1006" s="162"/>
      <c r="AO1006" s="162"/>
      <c r="AP1006" s="162"/>
      <c r="AQ1006" s="162"/>
      <c r="AR1006" s="710"/>
      <c r="AV1006" s="82"/>
      <c r="AW1006" s="947"/>
      <c r="AX1006" s="947"/>
      <c r="AY1006" s="947"/>
    </row>
    <row r="1007" spans="31:51" x14ac:dyDescent="0.25">
      <c r="AE1007" s="75"/>
      <c r="AF1007" s="82"/>
      <c r="AG1007" s="82"/>
      <c r="AH1007" s="82"/>
      <c r="AI1007" s="82"/>
      <c r="AJ1007" s="166"/>
      <c r="AK1007" s="82"/>
      <c r="AL1007" s="162"/>
      <c r="AM1007" s="162"/>
      <c r="AN1007" s="162"/>
      <c r="AO1007" s="162"/>
      <c r="AP1007" s="162"/>
      <c r="AQ1007" s="162"/>
      <c r="AR1007" s="710"/>
      <c r="AV1007" s="82"/>
      <c r="AW1007" s="947"/>
      <c r="AX1007" s="947"/>
      <c r="AY1007" s="947"/>
    </row>
    <row r="1008" spans="31:51" x14ac:dyDescent="0.25">
      <c r="AE1008" s="75"/>
      <c r="AF1008" s="82"/>
      <c r="AG1008" s="82"/>
      <c r="AH1008" s="82"/>
      <c r="AI1008" s="82"/>
      <c r="AJ1008" s="166"/>
      <c r="AK1008" s="82"/>
      <c r="AL1008" s="162"/>
      <c r="AM1008" s="162"/>
      <c r="AN1008" s="162"/>
      <c r="AO1008" s="162"/>
      <c r="AP1008" s="162"/>
      <c r="AQ1008" s="162"/>
      <c r="AR1008" s="710"/>
      <c r="AV1008" s="82"/>
      <c r="AW1008" s="947"/>
      <c r="AX1008" s="947"/>
      <c r="AY1008" s="947"/>
    </row>
    <row r="1009" spans="31:51" x14ac:dyDescent="0.25">
      <c r="AE1009" s="75"/>
      <c r="AF1009" s="82"/>
      <c r="AG1009" s="82"/>
      <c r="AH1009" s="82"/>
      <c r="AI1009" s="82"/>
      <c r="AJ1009" s="166"/>
      <c r="AK1009" s="82"/>
      <c r="AL1009" s="162"/>
      <c r="AM1009" s="162"/>
      <c r="AN1009" s="162"/>
      <c r="AO1009" s="162"/>
      <c r="AP1009" s="162"/>
      <c r="AQ1009" s="162"/>
      <c r="AR1009" s="710"/>
      <c r="AV1009" s="82"/>
      <c r="AW1009" s="947"/>
      <c r="AX1009" s="947"/>
      <c r="AY1009" s="947"/>
    </row>
    <row r="1010" spans="31:51" x14ac:dyDescent="0.25">
      <c r="AE1010" s="75"/>
      <c r="AF1010" s="82"/>
      <c r="AG1010" s="82"/>
      <c r="AH1010" s="82"/>
      <c r="AI1010" s="82"/>
      <c r="AJ1010" s="166"/>
      <c r="AK1010" s="82"/>
      <c r="AL1010" s="162"/>
      <c r="AM1010" s="162"/>
      <c r="AN1010" s="162"/>
      <c r="AO1010" s="162"/>
      <c r="AP1010" s="162"/>
      <c r="AQ1010" s="162"/>
      <c r="AR1010" s="710"/>
      <c r="AV1010" s="82"/>
      <c r="AW1010" s="947"/>
      <c r="AX1010" s="947"/>
      <c r="AY1010" s="947"/>
    </row>
    <row r="1011" spans="31:51" x14ac:dyDescent="0.25">
      <c r="AE1011" s="75"/>
      <c r="AF1011" s="82"/>
      <c r="AG1011" s="82"/>
      <c r="AH1011" s="82"/>
      <c r="AI1011" s="82"/>
      <c r="AJ1011" s="166"/>
      <c r="AK1011" s="82"/>
      <c r="AL1011" s="162"/>
      <c r="AM1011" s="162"/>
      <c r="AN1011" s="162"/>
      <c r="AO1011" s="162"/>
      <c r="AP1011" s="162"/>
      <c r="AQ1011" s="162"/>
      <c r="AR1011" s="710"/>
      <c r="AV1011" s="82"/>
      <c r="AW1011" s="947"/>
      <c r="AX1011" s="947"/>
      <c r="AY1011" s="947"/>
    </row>
    <row r="1012" spans="31:51" x14ac:dyDescent="0.25">
      <c r="AE1012" s="75"/>
      <c r="AF1012" s="82"/>
      <c r="AG1012" s="82"/>
      <c r="AH1012" s="82"/>
      <c r="AI1012" s="82"/>
      <c r="AJ1012" s="166"/>
      <c r="AK1012" s="82"/>
      <c r="AL1012" s="162"/>
      <c r="AM1012" s="162"/>
      <c r="AN1012" s="162"/>
      <c r="AO1012" s="162"/>
      <c r="AP1012" s="162"/>
      <c r="AQ1012" s="162"/>
      <c r="AR1012" s="710"/>
      <c r="AV1012" s="82"/>
      <c r="AW1012" s="947"/>
      <c r="AX1012" s="947"/>
      <c r="AY1012" s="947"/>
    </row>
    <row r="1013" spans="31:51" x14ac:dyDescent="0.25">
      <c r="AE1013" s="75"/>
      <c r="AF1013" s="82"/>
      <c r="AG1013" s="82"/>
      <c r="AH1013" s="82"/>
      <c r="AI1013" s="82"/>
      <c r="AJ1013" s="166"/>
      <c r="AK1013" s="82"/>
      <c r="AL1013" s="162"/>
      <c r="AM1013" s="162"/>
      <c r="AN1013" s="162"/>
      <c r="AO1013" s="162"/>
      <c r="AP1013" s="162"/>
      <c r="AQ1013" s="162"/>
      <c r="AR1013" s="710"/>
      <c r="AV1013" s="82"/>
      <c r="AW1013" s="947"/>
      <c r="AX1013" s="947"/>
      <c r="AY1013" s="947"/>
    </row>
    <row r="1014" spans="31:51" x14ac:dyDescent="0.25">
      <c r="AE1014" s="75"/>
      <c r="AF1014" s="82"/>
      <c r="AG1014" s="82"/>
      <c r="AH1014" s="82"/>
      <c r="AI1014" s="82"/>
      <c r="AJ1014" s="166"/>
      <c r="AK1014" s="82"/>
      <c r="AL1014" s="162"/>
      <c r="AM1014" s="162"/>
      <c r="AN1014" s="162"/>
      <c r="AO1014" s="162"/>
      <c r="AP1014" s="162"/>
      <c r="AQ1014" s="162"/>
      <c r="AR1014" s="710"/>
      <c r="AV1014" s="82"/>
      <c r="AW1014" s="947"/>
      <c r="AX1014" s="947"/>
      <c r="AY1014" s="947"/>
    </row>
    <row r="1015" spans="31:51" x14ac:dyDescent="0.25">
      <c r="AE1015" s="75"/>
      <c r="AF1015" s="82"/>
      <c r="AG1015" s="82"/>
      <c r="AH1015" s="82"/>
      <c r="AI1015" s="82"/>
      <c r="AJ1015" s="166"/>
      <c r="AK1015" s="82"/>
      <c r="AL1015" s="162"/>
      <c r="AM1015" s="162"/>
      <c r="AN1015" s="162"/>
      <c r="AO1015" s="162"/>
      <c r="AP1015" s="162"/>
      <c r="AQ1015" s="162"/>
      <c r="AR1015" s="710"/>
      <c r="AV1015" s="82"/>
      <c r="AW1015" s="947"/>
      <c r="AX1015" s="947"/>
      <c r="AY1015" s="947"/>
    </row>
    <row r="1016" spans="31:51" x14ac:dyDescent="0.25">
      <c r="AE1016" s="75"/>
      <c r="AF1016" s="82"/>
      <c r="AG1016" s="82"/>
      <c r="AH1016" s="82"/>
      <c r="AI1016" s="82"/>
      <c r="AJ1016" s="166"/>
      <c r="AK1016" s="82"/>
      <c r="AL1016" s="162"/>
      <c r="AM1016" s="162"/>
      <c r="AN1016" s="162"/>
      <c r="AO1016" s="162"/>
      <c r="AP1016" s="162"/>
      <c r="AQ1016" s="162"/>
      <c r="AR1016" s="710"/>
      <c r="AV1016" s="82"/>
      <c r="AW1016" s="947"/>
      <c r="AX1016" s="947"/>
      <c r="AY1016" s="947"/>
    </row>
    <row r="1017" spans="31:51" x14ac:dyDescent="0.25">
      <c r="AE1017" s="75"/>
      <c r="AF1017" s="82"/>
      <c r="AG1017" s="82"/>
      <c r="AH1017" s="82"/>
      <c r="AI1017" s="82"/>
      <c r="AJ1017" s="166"/>
      <c r="AK1017" s="82"/>
      <c r="AL1017" s="162"/>
      <c r="AM1017" s="162"/>
      <c r="AN1017" s="162"/>
      <c r="AO1017" s="162"/>
      <c r="AP1017" s="162"/>
      <c r="AQ1017" s="162"/>
      <c r="AR1017" s="710"/>
      <c r="AV1017" s="82"/>
      <c r="AW1017" s="947"/>
      <c r="AX1017" s="947"/>
      <c r="AY1017" s="947"/>
    </row>
    <row r="1018" spans="31:51" x14ac:dyDescent="0.25">
      <c r="AE1018" s="75"/>
      <c r="AF1018" s="82"/>
      <c r="AG1018" s="82"/>
      <c r="AH1018" s="82"/>
      <c r="AI1018" s="82"/>
      <c r="AJ1018" s="166"/>
      <c r="AK1018" s="82"/>
      <c r="AL1018" s="162"/>
      <c r="AM1018" s="162"/>
      <c r="AN1018" s="162"/>
      <c r="AO1018" s="162"/>
      <c r="AP1018" s="162"/>
      <c r="AQ1018" s="162"/>
      <c r="AR1018" s="710"/>
      <c r="AV1018" s="82"/>
      <c r="AW1018" s="947"/>
      <c r="AX1018" s="947"/>
      <c r="AY1018" s="947"/>
    </row>
    <row r="1019" spans="31:51" x14ac:dyDescent="0.25">
      <c r="AE1019" s="75"/>
      <c r="AF1019" s="82"/>
      <c r="AG1019" s="82"/>
      <c r="AH1019" s="82"/>
      <c r="AI1019" s="82"/>
      <c r="AJ1019" s="166"/>
      <c r="AK1019" s="82"/>
      <c r="AL1019" s="162"/>
      <c r="AM1019" s="162"/>
      <c r="AN1019" s="162"/>
      <c r="AO1019" s="162"/>
      <c r="AP1019" s="162"/>
      <c r="AQ1019" s="162"/>
      <c r="AR1019" s="710"/>
      <c r="AV1019" s="82"/>
      <c r="AW1019" s="947"/>
      <c r="AX1019" s="947"/>
      <c r="AY1019" s="947"/>
    </row>
    <row r="1020" spans="31:51" x14ac:dyDescent="0.25">
      <c r="AE1020" s="75"/>
      <c r="AF1020" s="82"/>
      <c r="AG1020" s="82"/>
      <c r="AH1020" s="82"/>
      <c r="AI1020" s="82"/>
      <c r="AJ1020" s="166"/>
      <c r="AK1020" s="82"/>
      <c r="AL1020" s="162"/>
      <c r="AM1020" s="162"/>
      <c r="AN1020" s="162"/>
      <c r="AO1020" s="162"/>
      <c r="AP1020" s="162"/>
      <c r="AQ1020" s="162"/>
      <c r="AR1020" s="710"/>
      <c r="AV1020" s="82"/>
      <c r="AW1020" s="947"/>
      <c r="AX1020" s="947"/>
      <c r="AY1020" s="947"/>
    </row>
    <row r="1021" spans="31:51" x14ac:dyDescent="0.25">
      <c r="AE1021" s="75"/>
      <c r="AF1021" s="82"/>
      <c r="AG1021" s="82"/>
      <c r="AH1021" s="82"/>
      <c r="AI1021" s="82"/>
      <c r="AJ1021" s="166"/>
      <c r="AK1021" s="82"/>
      <c r="AL1021" s="162"/>
      <c r="AM1021" s="162"/>
      <c r="AN1021" s="162"/>
      <c r="AO1021" s="162"/>
      <c r="AP1021" s="162"/>
      <c r="AQ1021" s="162"/>
      <c r="AR1021" s="710"/>
      <c r="AV1021" s="82"/>
      <c r="AW1021" s="947"/>
      <c r="AX1021" s="947"/>
      <c r="AY1021" s="947"/>
    </row>
    <row r="1022" spans="31:51" x14ac:dyDescent="0.25">
      <c r="AE1022" s="75"/>
      <c r="AF1022" s="82"/>
      <c r="AG1022" s="82"/>
      <c r="AH1022" s="82"/>
      <c r="AI1022" s="82"/>
      <c r="AJ1022" s="166"/>
      <c r="AK1022" s="82"/>
      <c r="AL1022" s="162"/>
      <c r="AM1022" s="162"/>
      <c r="AN1022" s="162"/>
      <c r="AO1022" s="162"/>
      <c r="AP1022" s="162"/>
      <c r="AQ1022" s="162"/>
      <c r="AR1022" s="710"/>
      <c r="AV1022" s="82"/>
      <c r="AW1022" s="947"/>
      <c r="AX1022" s="947"/>
      <c r="AY1022" s="947"/>
    </row>
    <row r="1023" spans="31:51" x14ac:dyDescent="0.25">
      <c r="AE1023" s="75"/>
      <c r="AF1023" s="82"/>
      <c r="AG1023" s="82"/>
      <c r="AH1023" s="82"/>
      <c r="AI1023" s="82"/>
      <c r="AJ1023" s="166"/>
      <c r="AK1023" s="82"/>
      <c r="AL1023" s="162"/>
      <c r="AM1023" s="162"/>
      <c r="AN1023" s="162"/>
      <c r="AO1023" s="162"/>
      <c r="AP1023" s="162"/>
      <c r="AQ1023" s="162"/>
      <c r="AR1023" s="710"/>
      <c r="AV1023" s="82"/>
      <c r="AW1023" s="947"/>
      <c r="AX1023" s="947"/>
      <c r="AY1023" s="947"/>
    </row>
    <row r="1024" spans="31:51" x14ac:dyDescent="0.25">
      <c r="AE1024" s="75"/>
      <c r="AF1024" s="82"/>
      <c r="AG1024" s="82"/>
      <c r="AH1024" s="82"/>
      <c r="AI1024" s="82"/>
      <c r="AJ1024" s="166"/>
      <c r="AK1024" s="82"/>
      <c r="AL1024" s="162"/>
      <c r="AM1024" s="162"/>
      <c r="AN1024" s="162"/>
      <c r="AO1024" s="162"/>
      <c r="AP1024" s="162"/>
      <c r="AQ1024" s="162"/>
      <c r="AR1024" s="710"/>
      <c r="AV1024" s="82"/>
      <c r="AW1024" s="947"/>
      <c r="AX1024" s="947"/>
      <c r="AY1024" s="947"/>
    </row>
    <row r="1025" spans="31:51" x14ac:dyDescent="0.25">
      <c r="AE1025" s="75"/>
      <c r="AF1025" s="82"/>
      <c r="AG1025" s="82"/>
      <c r="AH1025" s="82"/>
      <c r="AI1025" s="82"/>
      <c r="AJ1025" s="166"/>
      <c r="AK1025" s="82"/>
      <c r="AL1025" s="162"/>
      <c r="AM1025" s="162"/>
      <c r="AN1025" s="162"/>
      <c r="AO1025" s="162"/>
      <c r="AP1025" s="162"/>
      <c r="AQ1025" s="162"/>
      <c r="AR1025" s="710"/>
      <c r="AV1025" s="82"/>
      <c r="AW1025" s="947"/>
      <c r="AX1025" s="947"/>
      <c r="AY1025" s="947"/>
    </row>
    <row r="1026" spans="31:51" x14ac:dyDescent="0.25">
      <c r="AE1026" s="75"/>
      <c r="AF1026" s="82"/>
      <c r="AG1026" s="82"/>
      <c r="AH1026" s="82"/>
      <c r="AI1026" s="82"/>
      <c r="AJ1026" s="166"/>
      <c r="AK1026" s="82"/>
      <c r="AL1026" s="162"/>
      <c r="AM1026" s="162"/>
      <c r="AN1026" s="162"/>
      <c r="AO1026" s="162"/>
      <c r="AP1026" s="162"/>
      <c r="AQ1026" s="162"/>
      <c r="AR1026" s="710"/>
      <c r="AV1026" s="82"/>
      <c r="AW1026" s="947"/>
      <c r="AX1026" s="947"/>
      <c r="AY1026" s="947"/>
    </row>
    <row r="1027" spans="31:51" x14ac:dyDescent="0.25">
      <c r="AE1027" s="75"/>
      <c r="AF1027" s="82"/>
      <c r="AG1027" s="82"/>
      <c r="AH1027" s="82"/>
      <c r="AI1027" s="82"/>
      <c r="AJ1027" s="166"/>
      <c r="AK1027" s="82"/>
      <c r="AL1027" s="162"/>
      <c r="AM1027" s="162"/>
      <c r="AN1027" s="162"/>
      <c r="AO1027" s="162"/>
      <c r="AP1027" s="162"/>
      <c r="AQ1027" s="162"/>
      <c r="AR1027" s="710"/>
      <c r="AV1027" s="82"/>
      <c r="AW1027" s="947"/>
      <c r="AX1027" s="947"/>
      <c r="AY1027" s="947"/>
    </row>
    <row r="1028" spans="31:51" x14ac:dyDescent="0.25">
      <c r="AE1028" s="75"/>
      <c r="AF1028" s="82"/>
      <c r="AG1028" s="82"/>
      <c r="AH1028" s="82"/>
      <c r="AI1028" s="82"/>
      <c r="AJ1028" s="166"/>
      <c r="AK1028" s="82"/>
      <c r="AL1028" s="162"/>
      <c r="AM1028" s="162"/>
      <c r="AN1028" s="162"/>
      <c r="AO1028" s="162"/>
      <c r="AP1028" s="162"/>
      <c r="AQ1028" s="162"/>
      <c r="AR1028" s="710"/>
      <c r="AV1028" s="82"/>
      <c r="AW1028" s="947"/>
      <c r="AX1028" s="947"/>
      <c r="AY1028" s="947"/>
    </row>
    <row r="1029" spans="31:51" x14ac:dyDescent="0.25">
      <c r="AE1029" s="75"/>
      <c r="AF1029" s="82"/>
      <c r="AG1029" s="82"/>
      <c r="AH1029" s="82"/>
      <c r="AI1029" s="82"/>
      <c r="AJ1029" s="166"/>
      <c r="AK1029" s="82"/>
      <c r="AL1029" s="162"/>
      <c r="AM1029" s="162"/>
      <c r="AN1029" s="162"/>
      <c r="AO1029" s="162"/>
      <c r="AP1029" s="162"/>
      <c r="AQ1029" s="162"/>
      <c r="AR1029" s="710"/>
      <c r="AV1029" s="82"/>
      <c r="AW1029" s="947"/>
      <c r="AX1029" s="947"/>
      <c r="AY1029" s="947"/>
    </row>
    <row r="1030" spans="31:51" x14ac:dyDescent="0.25">
      <c r="AE1030" s="75"/>
      <c r="AF1030" s="82"/>
      <c r="AG1030" s="82"/>
      <c r="AH1030" s="82"/>
      <c r="AI1030" s="82"/>
      <c r="AJ1030" s="166"/>
      <c r="AK1030" s="82"/>
      <c r="AL1030" s="162"/>
      <c r="AM1030" s="162"/>
      <c r="AN1030" s="162"/>
      <c r="AO1030" s="162"/>
      <c r="AP1030" s="162"/>
      <c r="AQ1030" s="162"/>
      <c r="AR1030" s="710"/>
      <c r="AV1030" s="82"/>
      <c r="AW1030" s="947"/>
      <c r="AX1030" s="947"/>
      <c r="AY1030" s="947"/>
    </row>
    <row r="1031" spans="31:51" x14ac:dyDescent="0.25">
      <c r="AE1031" s="75"/>
      <c r="AF1031" s="82"/>
      <c r="AG1031" s="82"/>
      <c r="AH1031" s="82"/>
      <c r="AI1031" s="82"/>
      <c r="AJ1031" s="166"/>
      <c r="AK1031" s="82"/>
      <c r="AL1031" s="162"/>
      <c r="AM1031" s="162"/>
      <c r="AN1031" s="162"/>
      <c r="AO1031" s="162"/>
      <c r="AP1031" s="162"/>
      <c r="AQ1031" s="162"/>
      <c r="AR1031" s="710"/>
      <c r="AV1031" s="82"/>
      <c r="AW1031" s="947"/>
      <c r="AX1031" s="947"/>
      <c r="AY1031" s="947"/>
    </row>
    <row r="1032" spans="31:51" x14ac:dyDescent="0.25">
      <c r="AE1032" s="75"/>
      <c r="AF1032" s="82"/>
      <c r="AG1032" s="82"/>
      <c r="AH1032" s="82"/>
      <c r="AI1032" s="82"/>
      <c r="AJ1032" s="166"/>
      <c r="AK1032" s="82"/>
      <c r="AL1032" s="162"/>
      <c r="AM1032" s="162"/>
      <c r="AN1032" s="162"/>
      <c r="AO1032" s="162"/>
      <c r="AP1032" s="162"/>
      <c r="AQ1032" s="162"/>
      <c r="AR1032" s="710"/>
      <c r="AV1032" s="82"/>
      <c r="AW1032" s="947"/>
      <c r="AX1032" s="947"/>
      <c r="AY1032" s="947"/>
    </row>
    <row r="1033" spans="31:51" x14ac:dyDescent="0.25">
      <c r="AE1033" s="75"/>
      <c r="AF1033" s="82"/>
      <c r="AG1033" s="82"/>
      <c r="AH1033" s="82"/>
      <c r="AI1033" s="82"/>
      <c r="AJ1033" s="166"/>
      <c r="AK1033" s="82"/>
      <c r="AL1033" s="162"/>
      <c r="AM1033" s="162"/>
      <c r="AN1033" s="162"/>
      <c r="AO1033" s="162"/>
      <c r="AP1033" s="162"/>
      <c r="AQ1033" s="162"/>
      <c r="AR1033" s="710"/>
      <c r="AV1033" s="82"/>
      <c r="AW1033" s="947"/>
      <c r="AX1033" s="947"/>
      <c r="AY1033" s="947"/>
    </row>
    <row r="1034" spans="31:51" x14ac:dyDescent="0.25">
      <c r="AE1034" s="75"/>
      <c r="AF1034" s="82"/>
      <c r="AG1034" s="82"/>
      <c r="AH1034" s="82"/>
      <c r="AI1034" s="82"/>
      <c r="AJ1034" s="166"/>
      <c r="AK1034" s="82"/>
      <c r="AL1034" s="162"/>
      <c r="AM1034" s="162"/>
      <c r="AN1034" s="162"/>
      <c r="AO1034" s="162"/>
      <c r="AP1034" s="162"/>
      <c r="AQ1034" s="162"/>
      <c r="AR1034" s="710"/>
      <c r="AV1034" s="82"/>
      <c r="AW1034" s="947"/>
      <c r="AX1034" s="947"/>
      <c r="AY1034" s="947"/>
    </row>
    <row r="1035" spans="31:51" x14ac:dyDescent="0.25">
      <c r="AE1035" s="75"/>
      <c r="AF1035" s="82"/>
      <c r="AG1035" s="82"/>
      <c r="AH1035" s="82"/>
      <c r="AI1035" s="82"/>
      <c r="AJ1035" s="166"/>
      <c r="AK1035" s="82"/>
      <c r="AL1035" s="162"/>
      <c r="AM1035" s="162"/>
      <c r="AN1035" s="162"/>
      <c r="AO1035" s="162"/>
      <c r="AP1035" s="162"/>
      <c r="AQ1035" s="162"/>
      <c r="AR1035" s="710"/>
      <c r="AV1035" s="82"/>
      <c r="AW1035" s="947"/>
      <c r="AX1035" s="947"/>
      <c r="AY1035" s="947"/>
    </row>
    <row r="1036" spans="31:51" x14ac:dyDescent="0.25">
      <c r="AE1036" s="75"/>
      <c r="AF1036" s="82"/>
      <c r="AG1036" s="82"/>
      <c r="AH1036" s="82"/>
      <c r="AI1036" s="82"/>
      <c r="AJ1036" s="166"/>
      <c r="AK1036" s="82"/>
      <c r="AL1036" s="162"/>
      <c r="AM1036" s="162"/>
      <c r="AN1036" s="162"/>
      <c r="AO1036" s="162"/>
      <c r="AP1036" s="162"/>
      <c r="AQ1036" s="162"/>
      <c r="AR1036" s="710"/>
      <c r="AV1036" s="82"/>
      <c r="AW1036" s="947"/>
      <c r="AX1036" s="947"/>
      <c r="AY1036" s="947"/>
    </row>
    <row r="1037" spans="31:51" x14ac:dyDescent="0.25">
      <c r="AE1037" s="75"/>
      <c r="AF1037" s="82"/>
      <c r="AG1037" s="82"/>
      <c r="AH1037" s="82"/>
      <c r="AI1037" s="82"/>
      <c r="AJ1037" s="166"/>
      <c r="AK1037" s="82"/>
      <c r="AL1037" s="162"/>
      <c r="AM1037" s="162"/>
      <c r="AN1037" s="162"/>
      <c r="AO1037" s="162"/>
      <c r="AP1037" s="162"/>
      <c r="AQ1037" s="162"/>
      <c r="AR1037" s="710"/>
      <c r="AV1037" s="82"/>
      <c r="AW1037" s="947"/>
      <c r="AX1037" s="947"/>
      <c r="AY1037" s="947"/>
    </row>
    <row r="1038" spans="31:51" x14ac:dyDescent="0.25">
      <c r="AE1038" s="75"/>
      <c r="AF1038" s="82"/>
      <c r="AG1038" s="82"/>
      <c r="AH1038" s="82"/>
      <c r="AI1038" s="82"/>
      <c r="AJ1038" s="166"/>
      <c r="AK1038" s="82"/>
      <c r="AL1038" s="162"/>
      <c r="AM1038" s="162"/>
      <c r="AN1038" s="162"/>
      <c r="AO1038" s="162"/>
      <c r="AP1038" s="162"/>
      <c r="AQ1038" s="162"/>
      <c r="AR1038" s="710"/>
      <c r="AV1038" s="82"/>
      <c r="AW1038" s="947"/>
      <c r="AX1038" s="947"/>
      <c r="AY1038" s="947"/>
    </row>
    <row r="1039" spans="31:51" x14ac:dyDescent="0.25">
      <c r="AE1039" s="75"/>
      <c r="AF1039" s="82"/>
      <c r="AG1039" s="82"/>
      <c r="AH1039" s="82"/>
      <c r="AI1039" s="82"/>
      <c r="AJ1039" s="166"/>
      <c r="AK1039" s="82"/>
      <c r="AL1039" s="162"/>
      <c r="AM1039" s="162"/>
      <c r="AN1039" s="162"/>
      <c r="AO1039" s="162"/>
      <c r="AP1039" s="162"/>
      <c r="AQ1039" s="162"/>
      <c r="AR1039" s="710"/>
      <c r="AV1039" s="82"/>
      <c r="AW1039" s="947"/>
      <c r="AX1039" s="947"/>
      <c r="AY1039" s="947"/>
    </row>
    <row r="1040" spans="31:51" x14ac:dyDescent="0.25">
      <c r="AE1040" s="75"/>
      <c r="AF1040" s="82"/>
      <c r="AG1040" s="82"/>
      <c r="AH1040" s="82"/>
      <c r="AI1040" s="82"/>
      <c r="AJ1040" s="166"/>
      <c r="AK1040" s="82"/>
      <c r="AL1040" s="162"/>
      <c r="AM1040" s="162"/>
      <c r="AN1040" s="162"/>
      <c r="AO1040" s="162"/>
      <c r="AP1040" s="162"/>
      <c r="AQ1040" s="162"/>
      <c r="AR1040" s="710"/>
      <c r="AV1040" s="82"/>
      <c r="AW1040" s="947"/>
      <c r="AX1040" s="947"/>
      <c r="AY1040" s="947"/>
    </row>
    <row r="1041" spans="31:51" x14ac:dyDescent="0.25">
      <c r="AE1041" s="75"/>
      <c r="AF1041" s="82"/>
      <c r="AG1041" s="82"/>
      <c r="AH1041" s="82"/>
      <c r="AI1041" s="82"/>
      <c r="AJ1041" s="166"/>
      <c r="AK1041" s="82"/>
      <c r="AL1041" s="162"/>
      <c r="AM1041" s="162"/>
      <c r="AN1041" s="162"/>
      <c r="AO1041" s="162"/>
      <c r="AP1041" s="162"/>
      <c r="AQ1041" s="162"/>
      <c r="AR1041" s="710"/>
      <c r="AV1041" s="82"/>
      <c r="AW1041" s="947"/>
      <c r="AX1041" s="947"/>
      <c r="AY1041" s="947"/>
    </row>
    <row r="1042" spans="31:51" x14ac:dyDescent="0.25">
      <c r="AE1042" s="75"/>
      <c r="AF1042" s="82"/>
      <c r="AG1042" s="82"/>
      <c r="AH1042" s="82"/>
      <c r="AI1042" s="82"/>
      <c r="AJ1042" s="166"/>
      <c r="AK1042" s="82"/>
      <c r="AL1042" s="162"/>
      <c r="AM1042" s="162"/>
      <c r="AN1042" s="162"/>
      <c r="AO1042" s="162"/>
      <c r="AP1042" s="162"/>
      <c r="AQ1042" s="162"/>
      <c r="AR1042" s="710"/>
      <c r="AV1042" s="82"/>
      <c r="AW1042" s="947"/>
      <c r="AX1042" s="947"/>
      <c r="AY1042" s="947"/>
    </row>
    <row r="1043" spans="31:51" x14ac:dyDescent="0.25">
      <c r="AE1043" s="75"/>
      <c r="AF1043" s="82"/>
      <c r="AG1043" s="82"/>
      <c r="AH1043" s="82"/>
      <c r="AI1043" s="82"/>
      <c r="AJ1043" s="166"/>
      <c r="AK1043" s="82"/>
      <c r="AL1043" s="162"/>
      <c r="AM1043" s="162"/>
      <c r="AN1043" s="162"/>
      <c r="AO1043" s="162"/>
      <c r="AP1043" s="162"/>
      <c r="AQ1043" s="162"/>
      <c r="AR1043" s="710"/>
      <c r="AV1043" s="82"/>
      <c r="AW1043" s="947"/>
      <c r="AX1043" s="947"/>
      <c r="AY1043" s="947"/>
    </row>
    <row r="1044" spans="31:51" x14ac:dyDescent="0.25">
      <c r="AE1044" s="75"/>
      <c r="AF1044" s="82"/>
      <c r="AG1044" s="82"/>
      <c r="AH1044" s="82"/>
      <c r="AI1044" s="82"/>
      <c r="AJ1044" s="166"/>
      <c r="AK1044" s="82"/>
      <c r="AL1044" s="162"/>
      <c r="AM1044" s="162"/>
      <c r="AN1044" s="162"/>
      <c r="AO1044" s="162"/>
      <c r="AP1044" s="162"/>
      <c r="AQ1044" s="162"/>
      <c r="AR1044" s="710"/>
      <c r="AV1044" s="82"/>
      <c r="AW1044" s="947"/>
      <c r="AX1044" s="947"/>
      <c r="AY1044" s="947"/>
    </row>
    <row r="1045" spans="31:51" x14ac:dyDescent="0.25">
      <c r="AE1045" s="75"/>
      <c r="AF1045" s="82"/>
      <c r="AG1045" s="82"/>
      <c r="AH1045" s="82"/>
      <c r="AI1045" s="82"/>
      <c r="AJ1045" s="166"/>
      <c r="AK1045" s="82"/>
      <c r="AL1045" s="162"/>
      <c r="AM1045" s="162"/>
      <c r="AN1045" s="162"/>
      <c r="AO1045" s="162"/>
      <c r="AP1045" s="162"/>
      <c r="AQ1045" s="162"/>
      <c r="AR1045" s="710"/>
      <c r="AV1045" s="82"/>
      <c r="AW1045" s="947"/>
      <c r="AX1045" s="947"/>
      <c r="AY1045" s="947"/>
    </row>
    <row r="1046" spans="31:51" x14ac:dyDescent="0.25">
      <c r="AE1046" s="75"/>
      <c r="AF1046" s="82"/>
      <c r="AG1046" s="82"/>
      <c r="AH1046" s="82"/>
      <c r="AI1046" s="82"/>
      <c r="AJ1046" s="166"/>
      <c r="AK1046" s="82"/>
      <c r="AL1046" s="162"/>
      <c r="AM1046" s="162"/>
      <c r="AN1046" s="162"/>
      <c r="AO1046" s="162"/>
      <c r="AP1046" s="162"/>
      <c r="AQ1046" s="162"/>
      <c r="AR1046" s="710"/>
      <c r="AV1046" s="82"/>
      <c r="AW1046" s="947"/>
      <c r="AX1046" s="947"/>
      <c r="AY1046" s="947"/>
    </row>
    <row r="1047" spans="31:51" x14ac:dyDescent="0.25">
      <c r="AE1047" s="75"/>
      <c r="AF1047" s="82"/>
      <c r="AG1047" s="82"/>
      <c r="AH1047" s="82"/>
      <c r="AI1047" s="82"/>
      <c r="AJ1047" s="166"/>
      <c r="AK1047" s="82"/>
      <c r="AL1047" s="162"/>
      <c r="AM1047" s="162"/>
      <c r="AN1047" s="162"/>
      <c r="AO1047" s="162"/>
      <c r="AP1047" s="162"/>
      <c r="AQ1047" s="162"/>
      <c r="AR1047" s="710"/>
      <c r="AV1047" s="82"/>
      <c r="AW1047" s="947"/>
      <c r="AX1047" s="947"/>
      <c r="AY1047" s="947"/>
    </row>
    <row r="1048" spans="31:51" x14ac:dyDescent="0.25">
      <c r="AE1048" s="75"/>
      <c r="AF1048" s="82"/>
      <c r="AG1048" s="82"/>
      <c r="AH1048" s="82"/>
      <c r="AI1048" s="82"/>
      <c r="AJ1048" s="166"/>
      <c r="AK1048" s="82"/>
      <c r="AL1048" s="162"/>
      <c r="AM1048" s="162"/>
      <c r="AN1048" s="162"/>
      <c r="AO1048" s="162"/>
      <c r="AP1048" s="162"/>
      <c r="AQ1048" s="162"/>
      <c r="AR1048" s="710"/>
      <c r="AV1048" s="82"/>
      <c r="AW1048" s="947"/>
      <c r="AX1048" s="947"/>
      <c r="AY1048" s="947"/>
    </row>
    <row r="1049" spans="31:51" x14ac:dyDescent="0.25">
      <c r="AE1049" s="75"/>
      <c r="AF1049" s="82"/>
      <c r="AG1049" s="82"/>
      <c r="AH1049" s="82"/>
      <c r="AI1049" s="82"/>
      <c r="AJ1049" s="166"/>
      <c r="AK1049" s="82"/>
      <c r="AL1049" s="162"/>
      <c r="AM1049" s="162"/>
      <c r="AN1049" s="162"/>
      <c r="AO1049" s="162"/>
      <c r="AP1049" s="162"/>
      <c r="AQ1049" s="162"/>
      <c r="AR1049" s="710"/>
      <c r="AV1049" s="82"/>
      <c r="AW1049" s="947"/>
      <c r="AX1049" s="947"/>
      <c r="AY1049" s="947"/>
    </row>
    <row r="1050" spans="31:51" x14ac:dyDescent="0.25">
      <c r="AE1050" s="75"/>
      <c r="AF1050" s="82"/>
      <c r="AG1050" s="82"/>
      <c r="AH1050" s="82"/>
      <c r="AI1050" s="82"/>
      <c r="AJ1050" s="166"/>
      <c r="AK1050" s="82"/>
      <c r="AL1050" s="162"/>
      <c r="AM1050" s="162"/>
      <c r="AN1050" s="162"/>
      <c r="AO1050" s="162"/>
      <c r="AP1050" s="162"/>
      <c r="AQ1050" s="162"/>
      <c r="AR1050" s="710"/>
      <c r="AV1050" s="82"/>
      <c r="AW1050" s="947"/>
      <c r="AX1050" s="947"/>
      <c r="AY1050" s="947"/>
    </row>
    <row r="1051" spans="31:51" x14ac:dyDescent="0.25">
      <c r="AE1051" s="75"/>
      <c r="AF1051" s="82"/>
      <c r="AG1051" s="82"/>
      <c r="AH1051" s="82"/>
      <c r="AI1051" s="82"/>
      <c r="AJ1051" s="166"/>
      <c r="AK1051" s="82"/>
      <c r="AL1051" s="162"/>
      <c r="AM1051" s="162"/>
      <c r="AN1051" s="162"/>
      <c r="AO1051" s="162"/>
      <c r="AP1051" s="162"/>
      <c r="AQ1051" s="162"/>
      <c r="AR1051" s="710"/>
      <c r="AV1051" s="82"/>
      <c r="AW1051" s="947"/>
      <c r="AX1051" s="947"/>
      <c r="AY1051" s="947"/>
    </row>
    <row r="1052" spans="31:51" x14ac:dyDescent="0.25">
      <c r="AE1052" s="75"/>
      <c r="AF1052" s="82"/>
      <c r="AG1052" s="82"/>
      <c r="AH1052" s="82"/>
      <c r="AI1052" s="82"/>
      <c r="AJ1052" s="166"/>
      <c r="AK1052" s="82"/>
      <c r="AL1052" s="162"/>
      <c r="AM1052" s="162"/>
      <c r="AN1052" s="162"/>
      <c r="AO1052" s="162"/>
      <c r="AP1052" s="162"/>
      <c r="AQ1052" s="162"/>
      <c r="AR1052" s="710"/>
      <c r="AV1052" s="82"/>
      <c r="AW1052" s="947"/>
      <c r="AX1052" s="947"/>
      <c r="AY1052" s="947"/>
    </row>
    <row r="1053" spans="31:51" x14ac:dyDescent="0.25">
      <c r="AE1053" s="75"/>
      <c r="AF1053" s="82"/>
      <c r="AG1053" s="82"/>
      <c r="AH1053" s="82"/>
      <c r="AI1053" s="82"/>
      <c r="AJ1053" s="166"/>
      <c r="AK1053" s="82"/>
      <c r="AL1053" s="162"/>
      <c r="AM1053" s="162"/>
      <c r="AN1053" s="162"/>
      <c r="AO1053" s="162"/>
      <c r="AP1053" s="162"/>
      <c r="AQ1053" s="162"/>
      <c r="AR1053" s="710"/>
      <c r="AV1053" s="82"/>
      <c r="AW1053" s="947"/>
      <c r="AX1053" s="947"/>
      <c r="AY1053" s="947"/>
    </row>
    <row r="1054" spans="31:51" x14ac:dyDescent="0.25">
      <c r="AE1054" s="75"/>
      <c r="AF1054" s="82"/>
      <c r="AG1054" s="82"/>
      <c r="AH1054" s="82"/>
      <c r="AI1054" s="82"/>
      <c r="AJ1054" s="166"/>
      <c r="AK1054" s="82"/>
      <c r="AL1054" s="162"/>
      <c r="AM1054" s="162"/>
      <c r="AN1054" s="162"/>
      <c r="AO1054" s="162"/>
      <c r="AP1054" s="162"/>
      <c r="AQ1054" s="162"/>
      <c r="AR1054" s="710"/>
      <c r="AV1054" s="82"/>
      <c r="AW1054" s="947"/>
      <c r="AX1054" s="947"/>
      <c r="AY1054" s="947"/>
    </row>
    <row r="1055" spans="31:51" x14ac:dyDescent="0.25">
      <c r="AE1055" s="75"/>
      <c r="AF1055" s="82"/>
      <c r="AG1055" s="82"/>
      <c r="AH1055" s="82"/>
      <c r="AI1055" s="82"/>
      <c r="AJ1055" s="166"/>
      <c r="AK1055" s="82"/>
      <c r="AL1055" s="162"/>
      <c r="AM1055" s="162"/>
      <c r="AN1055" s="162"/>
      <c r="AO1055" s="162"/>
      <c r="AP1055" s="162"/>
      <c r="AQ1055" s="162"/>
      <c r="AR1055" s="710"/>
      <c r="AV1055" s="82"/>
      <c r="AW1055" s="947"/>
      <c r="AX1055" s="947"/>
      <c r="AY1055" s="947"/>
    </row>
    <row r="1056" spans="31:51" x14ac:dyDescent="0.25">
      <c r="AE1056" s="75"/>
      <c r="AF1056" s="82"/>
      <c r="AG1056" s="82"/>
      <c r="AH1056" s="82"/>
      <c r="AI1056" s="82"/>
      <c r="AJ1056" s="166"/>
      <c r="AK1056" s="82"/>
      <c r="AL1056" s="162"/>
      <c r="AM1056" s="162"/>
      <c r="AN1056" s="162"/>
      <c r="AO1056" s="162"/>
      <c r="AP1056" s="162"/>
      <c r="AQ1056" s="162"/>
      <c r="AR1056" s="710"/>
      <c r="AV1056" s="82"/>
      <c r="AW1056" s="947"/>
      <c r="AX1056" s="947"/>
      <c r="AY1056" s="947"/>
    </row>
    <row r="1057" spans="31:51" x14ac:dyDescent="0.25">
      <c r="AE1057" s="75"/>
      <c r="AF1057" s="82"/>
      <c r="AG1057" s="82"/>
      <c r="AH1057" s="82"/>
      <c r="AI1057" s="82"/>
      <c r="AJ1057" s="166"/>
      <c r="AK1057" s="82"/>
      <c r="AL1057" s="162"/>
      <c r="AM1057" s="162"/>
      <c r="AN1057" s="162"/>
      <c r="AO1057" s="162"/>
      <c r="AP1057" s="162"/>
      <c r="AQ1057" s="162"/>
      <c r="AR1057" s="710"/>
      <c r="AV1057" s="82"/>
      <c r="AW1057" s="947"/>
      <c r="AX1057" s="947"/>
      <c r="AY1057" s="947"/>
    </row>
    <row r="1058" spans="31:51" x14ac:dyDescent="0.25">
      <c r="AE1058" s="75"/>
      <c r="AF1058" s="82"/>
      <c r="AG1058" s="82"/>
      <c r="AH1058" s="82"/>
      <c r="AI1058" s="82"/>
      <c r="AJ1058" s="166"/>
      <c r="AK1058" s="82"/>
      <c r="AL1058" s="162"/>
      <c r="AM1058" s="162"/>
      <c r="AN1058" s="162"/>
      <c r="AO1058" s="162"/>
      <c r="AP1058" s="162"/>
      <c r="AQ1058" s="162"/>
      <c r="AR1058" s="710"/>
      <c r="AV1058" s="82"/>
      <c r="AW1058" s="947"/>
      <c r="AX1058" s="947"/>
      <c r="AY1058" s="947"/>
    </row>
    <row r="1059" spans="31:51" x14ac:dyDescent="0.25">
      <c r="AE1059" s="75"/>
      <c r="AF1059" s="82"/>
      <c r="AG1059" s="82"/>
      <c r="AH1059" s="82"/>
      <c r="AI1059" s="82"/>
      <c r="AJ1059" s="166"/>
      <c r="AK1059" s="82"/>
      <c r="AL1059" s="162"/>
      <c r="AM1059" s="162"/>
      <c r="AN1059" s="162"/>
      <c r="AO1059" s="162"/>
      <c r="AP1059" s="162"/>
      <c r="AQ1059" s="162"/>
      <c r="AR1059" s="710"/>
      <c r="AV1059" s="82"/>
      <c r="AW1059" s="947"/>
      <c r="AX1059" s="947"/>
      <c r="AY1059" s="947"/>
    </row>
    <row r="1060" spans="31:51" x14ac:dyDescent="0.25">
      <c r="AE1060" s="75"/>
      <c r="AF1060" s="82"/>
      <c r="AG1060" s="82"/>
      <c r="AH1060" s="82"/>
      <c r="AI1060" s="82"/>
      <c r="AJ1060" s="166"/>
      <c r="AK1060" s="82"/>
      <c r="AL1060" s="162"/>
      <c r="AM1060" s="162"/>
      <c r="AN1060" s="162"/>
      <c r="AO1060" s="162"/>
      <c r="AP1060" s="162"/>
      <c r="AQ1060" s="162"/>
      <c r="AR1060" s="710"/>
      <c r="AV1060" s="82"/>
      <c r="AW1060" s="947"/>
      <c r="AX1060" s="947"/>
      <c r="AY1060" s="947"/>
    </row>
    <row r="1061" spans="31:51" x14ac:dyDescent="0.25">
      <c r="AE1061" s="75"/>
      <c r="AF1061" s="82"/>
      <c r="AG1061" s="82"/>
      <c r="AH1061" s="82"/>
      <c r="AI1061" s="82"/>
      <c r="AJ1061" s="166"/>
      <c r="AK1061" s="82"/>
      <c r="AL1061" s="162"/>
      <c r="AM1061" s="162"/>
      <c r="AN1061" s="162"/>
      <c r="AO1061" s="162"/>
      <c r="AP1061" s="162"/>
      <c r="AQ1061" s="162"/>
      <c r="AR1061" s="710"/>
      <c r="AV1061" s="82"/>
      <c r="AW1061" s="947"/>
      <c r="AX1061" s="947"/>
      <c r="AY1061" s="947"/>
    </row>
    <row r="1062" spans="31:51" x14ac:dyDescent="0.25">
      <c r="AE1062" s="75"/>
      <c r="AF1062" s="82"/>
      <c r="AG1062" s="82"/>
      <c r="AH1062" s="82"/>
      <c r="AI1062" s="82"/>
      <c r="AJ1062" s="166"/>
      <c r="AK1062" s="82"/>
      <c r="AL1062" s="162"/>
      <c r="AM1062" s="162"/>
      <c r="AN1062" s="162"/>
      <c r="AO1062" s="162"/>
      <c r="AP1062" s="162"/>
      <c r="AQ1062" s="162"/>
      <c r="AR1062" s="710"/>
      <c r="AV1062" s="82"/>
      <c r="AW1062" s="947"/>
      <c r="AX1062" s="947"/>
      <c r="AY1062" s="947"/>
    </row>
    <row r="1063" spans="31:51" x14ac:dyDescent="0.25">
      <c r="AE1063" s="75"/>
      <c r="AF1063" s="82"/>
      <c r="AG1063" s="82"/>
      <c r="AH1063" s="82"/>
      <c r="AI1063" s="82"/>
      <c r="AJ1063" s="166"/>
      <c r="AK1063" s="82"/>
      <c r="AL1063" s="162"/>
      <c r="AM1063" s="162"/>
      <c r="AN1063" s="162"/>
      <c r="AO1063" s="162"/>
      <c r="AP1063" s="162"/>
      <c r="AQ1063" s="162"/>
      <c r="AR1063" s="710"/>
      <c r="AV1063" s="82"/>
      <c r="AW1063" s="947"/>
      <c r="AX1063" s="947"/>
      <c r="AY1063" s="947"/>
    </row>
    <row r="1064" spans="31:51" x14ac:dyDescent="0.25">
      <c r="AE1064" s="75"/>
      <c r="AF1064" s="82"/>
      <c r="AG1064" s="82"/>
      <c r="AH1064" s="82"/>
      <c r="AI1064" s="82"/>
      <c r="AJ1064" s="166"/>
      <c r="AK1064" s="82"/>
      <c r="AL1064" s="162"/>
      <c r="AM1064" s="162"/>
      <c r="AN1064" s="162"/>
      <c r="AO1064" s="162"/>
      <c r="AP1064" s="162"/>
      <c r="AQ1064" s="162"/>
      <c r="AR1064" s="710"/>
      <c r="AV1064" s="82"/>
      <c r="AW1064" s="947"/>
      <c r="AX1064" s="947"/>
      <c r="AY1064" s="947"/>
    </row>
    <row r="1065" spans="31:51" x14ac:dyDescent="0.25">
      <c r="AE1065" s="75"/>
      <c r="AF1065" s="82"/>
      <c r="AG1065" s="82"/>
      <c r="AH1065" s="82"/>
      <c r="AI1065" s="82"/>
      <c r="AJ1065" s="166"/>
      <c r="AK1065" s="82"/>
      <c r="AL1065" s="162"/>
      <c r="AM1065" s="162"/>
      <c r="AN1065" s="162"/>
      <c r="AO1065" s="162"/>
      <c r="AP1065" s="162"/>
      <c r="AQ1065" s="162"/>
      <c r="AR1065" s="710"/>
      <c r="AV1065" s="82"/>
      <c r="AW1065" s="947"/>
      <c r="AX1065" s="947"/>
      <c r="AY1065" s="947"/>
    </row>
    <row r="1066" spans="31:51" x14ac:dyDescent="0.25">
      <c r="AE1066" s="75"/>
      <c r="AF1066" s="82"/>
      <c r="AG1066" s="82"/>
      <c r="AH1066" s="82"/>
      <c r="AI1066" s="82"/>
      <c r="AJ1066" s="166"/>
      <c r="AK1066" s="82"/>
      <c r="AL1066" s="162"/>
      <c r="AM1066" s="162"/>
      <c r="AN1066" s="162"/>
      <c r="AO1066" s="162"/>
      <c r="AP1066" s="162"/>
      <c r="AQ1066" s="162"/>
      <c r="AR1066" s="710"/>
      <c r="AV1066" s="82"/>
      <c r="AW1066" s="947"/>
      <c r="AX1066" s="947"/>
      <c r="AY1066" s="947"/>
    </row>
    <row r="1067" spans="31:51" x14ac:dyDescent="0.25">
      <c r="AE1067" s="75"/>
      <c r="AF1067" s="82"/>
      <c r="AG1067" s="82"/>
      <c r="AH1067" s="82"/>
      <c r="AI1067" s="82"/>
      <c r="AJ1067" s="166"/>
      <c r="AK1067" s="82"/>
      <c r="AL1067" s="162"/>
      <c r="AM1067" s="162"/>
      <c r="AN1067" s="162"/>
      <c r="AO1067" s="162"/>
      <c r="AP1067" s="162"/>
      <c r="AQ1067" s="162"/>
      <c r="AR1067" s="710"/>
      <c r="AV1067" s="82"/>
      <c r="AW1067" s="947"/>
      <c r="AX1067" s="947"/>
      <c r="AY1067" s="947"/>
    </row>
    <row r="1068" spans="31:51" x14ac:dyDescent="0.25">
      <c r="AE1068" s="75"/>
      <c r="AF1068" s="82"/>
      <c r="AG1068" s="82"/>
      <c r="AH1068" s="82"/>
      <c r="AI1068" s="82"/>
      <c r="AJ1068" s="166"/>
      <c r="AK1068" s="82"/>
      <c r="AL1068" s="162"/>
      <c r="AM1068" s="162"/>
      <c r="AN1068" s="162"/>
      <c r="AO1068" s="162"/>
      <c r="AP1068" s="162"/>
      <c r="AQ1068" s="162"/>
      <c r="AR1068" s="710"/>
      <c r="AV1068" s="82"/>
      <c r="AW1068" s="947"/>
      <c r="AX1068" s="947"/>
      <c r="AY1068" s="947"/>
    </row>
    <row r="1069" spans="31:51" x14ac:dyDescent="0.25">
      <c r="AE1069" s="75"/>
      <c r="AF1069" s="82"/>
      <c r="AG1069" s="82"/>
      <c r="AH1069" s="82"/>
      <c r="AI1069" s="82"/>
      <c r="AJ1069" s="166"/>
      <c r="AK1069" s="82"/>
      <c r="AL1069" s="162"/>
      <c r="AM1069" s="162"/>
      <c r="AN1069" s="162"/>
      <c r="AO1069" s="162"/>
      <c r="AP1069" s="162"/>
      <c r="AQ1069" s="162"/>
      <c r="AR1069" s="710"/>
      <c r="AV1069" s="82"/>
      <c r="AW1069" s="947"/>
      <c r="AX1069" s="947"/>
      <c r="AY1069" s="947"/>
    </row>
    <row r="1070" spans="31:51" x14ac:dyDescent="0.25">
      <c r="AE1070" s="75"/>
      <c r="AF1070" s="82"/>
      <c r="AG1070" s="82"/>
      <c r="AH1070" s="82"/>
      <c r="AI1070" s="82"/>
      <c r="AJ1070" s="166"/>
      <c r="AK1070" s="82"/>
      <c r="AL1070" s="162"/>
      <c r="AM1070" s="162"/>
      <c r="AN1070" s="162"/>
      <c r="AO1070" s="162"/>
      <c r="AP1070" s="162"/>
      <c r="AQ1070" s="162"/>
      <c r="AR1070" s="710"/>
      <c r="AV1070" s="82"/>
      <c r="AW1070" s="947"/>
      <c r="AX1070" s="947"/>
      <c r="AY1070" s="947"/>
    </row>
    <row r="1071" spans="31:51" x14ac:dyDescent="0.25">
      <c r="AE1071" s="75"/>
      <c r="AF1071" s="82"/>
      <c r="AG1071" s="82"/>
      <c r="AH1071" s="82"/>
      <c r="AI1071" s="82"/>
      <c r="AJ1071" s="166"/>
      <c r="AK1071" s="82"/>
      <c r="AL1071" s="162"/>
      <c r="AM1071" s="162"/>
      <c r="AN1071" s="162"/>
      <c r="AO1071" s="162"/>
      <c r="AP1071" s="162"/>
      <c r="AQ1071" s="162"/>
      <c r="AR1071" s="710"/>
      <c r="AV1071" s="82"/>
      <c r="AW1071" s="947"/>
      <c r="AX1071" s="947"/>
      <c r="AY1071" s="947"/>
    </row>
    <row r="1072" spans="31:51" x14ac:dyDescent="0.25">
      <c r="AE1072" s="75"/>
      <c r="AF1072" s="82"/>
      <c r="AG1072" s="82"/>
      <c r="AH1072" s="82"/>
      <c r="AI1072" s="82"/>
      <c r="AJ1072" s="166"/>
      <c r="AK1072" s="82"/>
      <c r="AL1072" s="162"/>
      <c r="AM1072" s="162"/>
      <c r="AN1072" s="162"/>
      <c r="AO1072" s="162"/>
      <c r="AP1072" s="162"/>
      <c r="AQ1072" s="162"/>
      <c r="AR1072" s="710"/>
      <c r="AV1072" s="82"/>
      <c r="AW1072" s="947"/>
      <c r="AX1072" s="947"/>
      <c r="AY1072" s="947"/>
    </row>
    <row r="1073" spans="31:51" x14ac:dyDescent="0.25">
      <c r="AE1073" s="75"/>
      <c r="AF1073" s="82"/>
      <c r="AG1073" s="82"/>
      <c r="AH1073" s="82"/>
      <c r="AI1073" s="82"/>
      <c r="AJ1073" s="166"/>
      <c r="AK1073" s="82"/>
      <c r="AL1073" s="162"/>
      <c r="AM1073" s="162"/>
      <c r="AN1073" s="162"/>
      <c r="AO1073" s="162"/>
      <c r="AP1073" s="162"/>
      <c r="AQ1073" s="162"/>
      <c r="AR1073" s="710"/>
      <c r="AV1073" s="82"/>
      <c r="AW1073" s="947"/>
      <c r="AX1073" s="947"/>
      <c r="AY1073" s="947"/>
    </row>
    <row r="1074" spans="31:51" x14ac:dyDescent="0.25">
      <c r="AE1074" s="75"/>
      <c r="AF1074" s="82"/>
      <c r="AG1074" s="82"/>
      <c r="AH1074" s="82"/>
      <c r="AI1074" s="82"/>
      <c r="AJ1074" s="166"/>
      <c r="AK1074" s="82"/>
      <c r="AL1074" s="162"/>
      <c r="AM1074" s="162"/>
      <c r="AN1074" s="162"/>
      <c r="AO1074" s="162"/>
      <c r="AP1074" s="162"/>
      <c r="AQ1074" s="162"/>
      <c r="AR1074" s="710"/>
      <c r="AV1074" s="82"/>
      <c r="AW1074" s="947"/>
      <c r="AX1074" s="947"/>
      <c r="AY1074" s="947"/>
    </row>
    <row r="1075" spans="31:51" x14ac:dyDescent="0.25">
      <c r="AE1075" s="75"/>
      <c r="AF1075" s="82"/>
      <c r="AG1075" s="82"/>
      <c r="AH1075" s="82"/>
      <c r="AI1075" s="82"/>
      <c r="AJ1075" s="166"/>
      <c r="AK1075" s="82"/>
      <c r="AL1075" s="162"/>
      <c r="AM1075" s="162"/>
      <c r="AN1075" s="162"/>
      <c r="AO1075" s="162"/>
      <c r="AP1075" s="162"/>
      <c r="AQ1075" s="162"/>
      <c r="AR1075" s="710"/>
      <c r="AV1075" s="82"/>
      <c r="AW1075" s="947"/>
      <c r="AX1075" s="947"/>
      <c r="AY1075" s="947"/>
    </row>
    <row r="1076" spans="31:51" x14ac:dyDescent="0.25">
      <c r="AE1076" s="75"/>
      <c r="AF1076" s="82"/>
      <c r="AG1076" s="82"/>
      <c r="AH1076" s="82"/>
      <c r="AI1076" s="82"/>
      <c r="AJ1076" s="166"/>
      <c r="AK1076" s="82"/>
      <c r="AL1076" s="162"/>
      <c r="AM1076" s="162"/>
      <c r="AN1076" s="162"/>
      <c r="AO1076" s="162"/>
      <c r="AP1076" s="162"/>
      <c r="AQ1076" s="162"/>
      <c r="AR1076" s="710"/>
      <c r="AV1076" s="82"/>
      <c r="AW1076" s="947"/>
      <c r="AX1076" s="947"/>
      <c r="AY1076" s="947"/>
    </row>
    <row r="1077" spans="31:51" x14ac:dyDescent="0.25">
      <c r="AE1077" s="75"/>
      <c r="AF1077" s="82"/>
      <c r="AG1077" s="82"/>
      <c r="AH1077" s="82"/>
      <c r="AI1077" s="82"/>
      <c r="AJ1077" s="166"/>
      <c r="AK1077" s="82"/>
      <c r="AL1077" s="162"/>
      <c r="AM1077" s="162"/>
      <c r="AN1077" s="162"/>
      <c r="AO1077" s="162"/>
      <c r="AP1077" s="162"/>
      <c r="AQ1077" s="162"/>
      <c r="AR1077" s="710"/>
      <c r="AV1077" s="82"/>
      <c r="AW1077" s="947"/>
      <c r="AX1077" s="947"/>
      <c r="AY1077" s="947"/>
    </row>
    <row r="1078" spans="31:51" x14ac:dyDescent="0.25">
      <c r="AE1078" s="75"/>
      <c r="AF1078" s="82"/>
      <c r="AG1078" s="82"/>
      <c r="AH1078" s="82"/>
      <c r="AI1078" s="82"/>
      <c r="AJ1078" s="166"/>
      <c r="AK1078" s="82"/>
      <c r="AL1078" s="162"/>
      <c r="AM1078" s="162"/>
      <c r="AN1078" s="162"/>
      <c r="AO1078" s="162"/>
      <c r="AP1078" s="162"/>
      <c r="AQ1078" s="162"/>
      <c r="AR1078" s="710"/>
      <c r="AV1078" s="82"/>
      <c r="AW1078" s="947"/>
      <c r="AX1078" s="947"/>
      <c r="AY1078" s="947"/>
    </row>
    <row r="1079" spans="31:51" x14ac:dyDescent="0.25">
      <c r="AE1079" s="75"/>
      <c r="AF1079" s="82"/>
      <c r="AG1079" s="82"/>
      <c r="AH1079" s="82"/>
      <c r="AI1079" s="82"/>
      <c r="AJ1079" s="166"/>
      <c r="AK1079" s="82"/>
      <c r="AL1079" s="162"/>
      <c r="AM1079" s="162"/>
      <c r="AN1079" s="162"/>
      <c r="AO1079" s="162"/>
      <c r="AP1079" s="162"/>
      <c r="AQ1079" s="162"/>
      <c r="AR1079" s="710"/>
      <c r="AV1079" s="82"/>
      <c r="AW1079" s="947"/>
      <c r="AX1079" s="947"/>
      <c r="AY1079" s="947"/>
    </row>
    <row r="1080" spans="31:51" x14ac:dyDescent="0.25">
      <c r="AE1080" s="75"/>
      <c r="AF1080" s="82"/>
      <c r="AG1080" s="82"/>
      <c r="AH1080" s="82"/>
      <c r="AI1080" s="82"/>
      <c r="AJ1080" s="166"/>
      <c r="AK1080" s="82"/>
      <c r="AL1080" s="162"/>
      <c r="AM1080" s="162"/>
      <c r="AN1080" s="162"/>
      <c r="AO1080" s="162"/>
      <c r="AP1080" s="162"/>
      <c r="AQ1080" s="162"/>
      <c r="AR1080" s="710"/>
      <c r="AV1080" s="82"/>
      <c r="AW1080" s="947"/>
      <c r="AX1080" s="947"/>
      <c r="AY1080" s="947"/>
    </row>
    <row r="1081" spans="31:51" x14ac:dyDescent="0.25">
      <c r="AE1081" s="75"/>
      <c r="AF1081" s="82"/>
      <c r="AG1081" s="82"/>
      <c r="AH1081" s="82"/>
      <c r="AI1081" s="82"/>
      <c r="AJ1081" s="166"/>
      <c r="AK1081" s="82"/>
      <c r="AL1081" s="162"/>
      <c r="AM1081" s="162"/>
      <c r="AN1081" s="162"/>
      <c r="AO1081" s="162"/>
      <c r="AP1081" s="162"/>
      <c r="AQ1081" s="162"/>
      <c r="AR1081" s="710"/>
      <c r="AV1081" s="82"/>
      <c r="AW1081" s="947"/>
      <c r="AX1081" s="947"/>
      <c r="AY1081" s="947"/>
    </row>
    <row r="1082" spans="31:51" x14ac:dyDescent="0.25">
      <c r="AE1082" s="75"/>
      <c r="AF1082" s="82"/>
      <c r="AG1082" s="82"/>
      <c r="AH1082" s="82"/>
      <c r="AI1082" s="82"/>
      <c r="AJ1082" s="166"/>
      <c r="AK1082" s="82"/>
      <c r="AL1082" s="162"/>
      <c r="AM1082" s="162"/>
      <c r="AN1082" s="162"/>
      <c r="AO1082" s="162"/>
      <c r="AP1082" s="162"/>
      <c r="AQ1082" s="162"/>
      <c r="AR1082" s="710"/>
      <c r="AV1082" s="82"/>
      <c r="AW1082" s="947"/>
      <c r="AX1082" s="947"/>
      <c r="AY1082" s="947"/>
    </row>
    <row r="1083" spans="31:51" x14ac:dyDescent="0.25">
      <c r="AE1083" s="75"/>
      <c r="AF1083" s="82"/>
      <c r="AG1083" s="82"/>
      <c r="AH1083" s="82"/>
      <c r="AI1083" s="82"/>
      <c r="AJ1083" s="166"/>
      <c r="AK1083" s="82"/>
      <c r="AL1083" s="162"/>
      <c r="AM1083" s="162"/>
      <c r="AN1083" s="162"/>
      <c r="AO1083" s="162"/>
      <c r="AP1083" s="162"/>
      <c r="AQ1083" s="162"/>
      <c r="AR1083" s="710"/>
      <c r="AV1083" s="82"/>
      <c r="AW1083" s="947"/>
      <c r="AX1083" s="947"/>
      <c r="AY1083" s="947"/>
    </row>
    <row r="1084" spans="31:51" x14ac:dyDescent="0.25">
      <c r="AE1084" s="75"/>
      <c r="AF1084" s="82"/>
      <c r="AG1084" s="82"/>
      <c r="AH1084" s="82"/>
      <c r="AI1084" s="82"/>
      <c r="AJ1084" s="166"/>
      <c r="AK1084" s="82"/>
      <c r="AL1084" s="162"/>
      <c r="AM1084" s="162"/>
      <c r="AN1084" s="162"/>
      <c r="AO1084" s="162"/>
      <c r="AP1084" s="162"/>
      <c r="AQ1084" s="162"/>
      <c r="AR1084" s="710"/>
      <c r="AV1084" s="82"/>
      <c r="AW1084" s="947"/>
      <c r="AX1084" s="947"/>
      <c r="AY1084" s="947"/>
    </row>
    <row r="1085" spans="31:51" x14ac:dyDescent="0.25">
      <c r="AE1085" s="75"/>
      <c r="AF1085" s="82"/>
      <c r="AG1085" s="82"/>
      <c r="AH1085" s="82"/>
      <c r="AI1085" s="82"/>
      <c r="AJ1085" s="166"/>
      <c r="AK1085" s="82"/>
      <c r="AL1085" s="162"/>
      <c r="AM1085" s="162"/>
      <c r="AN1085" s="162"/>
      <c r="AO1085" s="162"/>
      <c r="AP1085" s="162"/>
      <c r="AQ1085" s="162"/>
      <c r="AR1085" s="710"/>
      <c r="AV1085" s="82"/>
      <c r="AW1085" s="947"/>
      <c r="AX1085" s="947"/>
      <c r="AY1085" s="947"/>
    </row>
    <row r="1086" spans="31:51" x14ac:dyDescent="0.25">
      <c r="AE1086" s="75"/>
      <c r="AF1086" s="82"/>
      <c r="AG1086" s="82"/>
      <c r="AH1086" s="82"/>
      <c r="AI1086" s="82"/>
      <c r="AJ1086" s="166"/>
      <c r="AK1086" s="82"/>
      <c r="AL1086" s="162"/>
      <c r="AM1086" s="162"/>
      <c r="AN1086" s="162"/>
      <c r="AO1086" s="162"/>
      <c r="AP1086" s="162"/>
      <c r="AQ1086" s="162"/>
      <c r="AR1086" s="710"/>
      <c r="AV1086" s="82"/>
      <c r="AW1086" s="947"/>
      <c r="AX1086" s="947"/>
      <c r="AY1086" s="947"/>
    </row>
    <row r="1087" spans="31:51" x14ac:dyDescent="0.25">
      <c r="AE1087" s="75"/>
      <c r="AF1087" s="82"/>
      <c r="AG1087" s="82"/>
      <c r="AH1087" s="82"/>
      <c r="AI1087" s="82"/>
      <c r="AJ1087" s="166"/>
      <c r="AK1087" s="82"/>
      <c r="AL1087" s="162"/>
      <c r="AM1087" s="162"/>
      <c r="AN1087" s="162"/>
      <c r="AO1087" s="162"/>
      <c r="AP1087" s="162"/>
      <c r="AQ1087" s="162"/>
      <c r="AR1087" s="710"/>
      <c r="AV1087" s="82"/>
      <c r="AW1087" s="947"/>
      <c r="AX1087" s="947"/>
      <c r="AY1087" s="947"/>
    </row>
    <row r="1088" spans="31:51" x14ac:dyDescent="0.25">
      <c r="AE1088" s="75"/>
      <c r="AF1088" s="82"/>
      <c r="AG1088" s="82"/>
      <c r="AH1088" s="82"/>
      <c r="AI1088" s="82"/>
      <c r="AJ1088" s="166"/>
      <c r="AK1088" s="82"/>
      <c r="AL1088" s="162"/>
      <c r="AM1088" s="162"/>
      <c r="AN1088" s="162"/>
      <c r="AO1088" s="162"/>
      <c r="AP1088" s="162"/>
      <c r="AQ1088" s="162"/>
      <c r="AR1088" s="710"/>
      <c r="AV1088" s="82"/>
      <c r="AW1088" s="947"/>
      <c r="AX1088" s="947"/>
      <c r="AY1088" s="947"/>
    </row>
    <row r="1089" spans="31:51" x14ac:dyDescent="0.25">
      <c r="AE1089" s="75"/>
      <c r="AF1089" s="82"/>
      <c r="AG1089" s="82"/>
      <c r="AH1089" s="82"/>
      <c r="AI1089" s="82"/>
      <c r="AJ1089" s="166"/>
      <c r="AK1089" s="82"/>
      <c r="AL1089" s="162"/>
      <c r="AM1089" s="162"/>
      <c r="AN1089" s="162"/>
      <c r="AO1089" s="162"/>
      <c r="AP1089" s="162"/>
      <c r="AQ1089" s="162"/>
      <c r="AR1089" s="710"/>
      <c r="AV1089" s="82"/>
      <c r="AW1089" s="947"/>
      <c r="AX1089" s="947"/>
      <c r="AY1089" s="947"/>
    </row>
    <row r="1090" spans="31:51" x14ac:dyDescent="0.25">
      <c r="AE1090" s="75"/>
      <c r="AF1090" s="82"/>
      <c r="AG1090" s="82"/>
      <c r="AH1090" s="82"/>
      <c r="AI1090" s="82"/>
      <c r="AJ1090" s="166"/>
      <c r="AK1090" s="82"/>
      <c r="AL1090" s="162"/>
      <c r="AM1090" s="162"/>
      <c r="AN1090" s="162"/>
      <c r="AO1090" s="162"/>
      <c r="AP1090" s="162"/>
      <c r="AQ1090" s="162"/>
      <c r="AR1090" s="710"/>
      <c r="AV1090" s="82"/>
      <c r="AW1090" s="947"/>
      <c r="AX1090" s="947"/>
      <c r="AY1090" s="947"/>
    </row>
    <row r="1091" spans="31:51" x14ac:dyDescent="0.25">
      <c r="AE1091" s="75"/>
      <c r="AF1091" s="82"/>
      <c r="AG1091" s="82"/>
      <c r="AH1091" s="82"/>
      <c r="AI1091" s="82"/>
      <c r="AJ1091" s="166"/>
      <c r="AK1091" s="82"/>
      <c r="AL1091" s="162"/>
      <c r="AM1091" s="162"/>
      <c r="AN1091" s="162"/>
      <c r="AO1091" s="162"/>
      <c r="AP1091" s="162"/>
      <c r="AQ1091" s="162"/>
      <c r="AR1091" s="710"/>
      <c r="AV1091" s="82"/>
      <c r="AW1091" s="947"/>
      <c r="AX1091" s="947"/>
      <c r="AY1091" s="947"/>
    </row>
    <row r="1092" spans="31:51" x14ac:dyDescent="0.25">
      <c r="AE1092" s="75"/>
      <c r="AF1092" s="82"/>
      <c r="AG1092" s="82"/>
      <c r="AH1092" s="82"/>
      <c r="AI1092" s="82"/>
      <c r="AJ1092" s="166"/>
      <c r="AK1092" s="82"/>
      <c r="AL1092" s="162"/>
      <c r="AM1092" s="162"/>
      <c r="AN1092" s="162"/>
      <c r="AO1092" s="162"/>
      <c r="AP1092" s="162"/>
      <c r="AQ1092" s="162"/>
      <c r="AR1092" s="710"/>
      <c r="AV1092" s="82"/>
      <c r="AW1092" s="947"/>
      <c r="AX1092" s="947"/>
      <c r="AY1092" s="947"/>
    </row>
    <row r="1093" spans="31:51" x14ac:dyDescent="0.25">
      <c r="AE1093" s="75"/>
      <c r="AF1093" s="82"/>
      <c r="AG1093" s="82"/>
      <c r="AH1093" s="82"/>
      <c r="AI1093" s="82"/>
      <c r="AJ1093" s="166"/>
      <c r="AK1093" s="82"/>
      <c r="AL1093" s="162"/>
      <c r="AM1093" s="162"/>
      <c r="AN1093" s="162"/>
      <c r="AO1093" s="162"/>
      <c r="AP1093" s="162"/>
      <c r="AQ1093" s="162"/>
      <c r="AR1093" s="710"/>
      <c r="AV1093" s="82"/>
      <c r="AW1093" s="947"/>
      <c r="AX1093" s="947"/>
      <c r="AY1093" s="947"/>
    </row>
    <row r="1094" spans="31:51" x14ac:dyDescent="0.25">
      <c r="AE1094" s="75"/>
      <c r="AF1094" s="82"/>
      <c r="AG1094" s="82"/>
      <c r="AH1094" s="82"/>
      <c r="AI1094" s="82"/>
      <c r="AJ1094" s="166"/>
      <c r="AK1094" s="82"/>
      <c r="AL1094" s="162"/>
      <c r="AM1094" s="162"/>
      <c r="AN1094" s="162"/>
      <c r="AO1094" s="162"/>
      <c r="AP1094" s="162"/>
      <c r="AQ1094" s="162"/>
      <c r="AR1094" s="710"/>
      <c r="AV1094" s="82"/>
      <c r="AW1094" s="947"/>
      <c r="AX1094" s="947"/>
      <c r="AY1094" s="947"/>
    </row>
    <row r="1095" spans="31:51" x14ac:dyDescent="0.25">
      <c r="AE1095" s="75"/>
      <c r="AF1095" s="82"/>
      <c r="AG1095" s="82"/>
      <c r="AH1095" s="82"/>
      <c r="AI1095" s="82"/>
      <c r="AJ1095" s="166"/>
      <c r="AK1095" s="82"/>
      <c r="AL1095" s="162"/>
      <c r="AM1095" s="162"/>
      <c r="AN1095" s="162"/>
      <c r="AO1095" s="162"/>
      <c r="AP1095" s="162"/>
      <c r="AQ1095" s="162"/>
      <c r="AR1095" s="710"/>
      <c r="AV1095" s="82"/>
      <c r="AW1095" s="947"/>
      <c r="AX1095" s="947"/>
      <c r="AY1095" s="947"/>
    </row>
    <row r="1096" spans="31:51" x14ac:dyDescent="0.25">
      <c r="AE1096" s="75"/>
      <c r="AF1096" s="82"/>
      <c r="AG1096" s="82"/>
      <c r="AH1096" s="82"/>
      <c r="AI1096" s="82"/>
      <c r="AJ1096" s="166"/>
      <c r="AK1096" s="82"/>
      <c r="AL1096" s="162"/>
      <c r="AM1096" s="162"/>
      <c r="AN1096" s="162"/>
      <c r="AO1096" s="162"/>
      <c r="AP1096" s="162"/>
      <c r="AQ1096" s="162"/>
      <c r="AR1096" s="710"/>
      <c r="AV1096" s="82"/>
      <c r="AW1096" s="947"/>
      <c r="AX1096" s="947"/>
      <c r="AY1096" s="947"/>
    </row>
    <row r="1097" spans="31:51" x14ac:dyDescent="0.25">
      <c r="AE1097" s="75"/>
      <c r="AF1097" s="82"/>
      <c r="AG1097" s="82"/>
      <c r="AH1097" s="82"/>
      <c r="AI1097" s="82"/>
      <c r="AJ1097" s="166"/>
      <c r="AK1097" s="82"/>
      <c r="AL1097" s="162"/>
      <c r="AM1097" s="162"/>
      <c r="AN1097" s="162"/>
      <c r="AO1097" s="162"/>
      <c r="AP1097" s="162"/>
      <c r="AQ1097" s="162"/>
      <c r="AR1097" s="710"/>
      <c r="AV1097" s="82"/>
      <c r="AW1097" s="947"/>
      <c r="AX1097" s="947"/>
      <c r="AY1097" s="947"/>
    </row>
    <row r="1098" spans="31:51" x14ac:dyDescent="0.25">
      <c r="AE1098" s="75"/>
      <c r="AF1098" s="82"/>
      <c r="AG1098" s="82"/>
      <c r="AH1098" s="82"/>
      <c r="AI1098" s="82"/>
      <c r="AJ1098" s="166"/>
      <c r="AK1098" s="82"/>
      <c r="AL1098" s="162"/>
      <c r="AM1098" s="162"/>
      <c r="AN1098" s="162"/>
      <c r="AO1098" s="162"/>
      <c r="AP1098" s="162"/>
      <c r="AQ1098" s="162"/>
      <c r="AR1098" s="710"/>
      <c r="AV1098" s="82"/>
      <c r="AW1098" s="947"/>
      <c r="AX1098" s="947"/>
      <c r="AY1098" s="947"/>
    </row>
    <row r="1099" spans="31:51" x14ac:dyDescent="0.25">
      <c r="AE1099" s="75"/>
      <c r="AF1099" s="82"/>
      <c r="AG1099" s="82"/>
      <c r="AH1099" s="82"/>
      <c r="AI1099" s="82"/>
      <c r="AJ1099" s="166"/>
      <c r="AK1099" s="82"/>
      <c r="AL1099" s="162"/>
      <c r="AM1099" s="162"/>
      <c r="AN1099" s="162"/>
      <c r="AO1099" s="162"/>
      <c r="AP1099" s="162"/>
      <c r="AQ1099" s="162"/>
      <c r="AR1099" s="710"/>
      <c r="AV1099" s="82"/>
      <c r="AW1099" s="947"/>
      <c r="AX1099" s="947"/>
      <c r="AY1099" s="947"/>
    </row>
    <row r="1100" spans="31:51" x14ac:dyDescent="0.25">
      <c r="AE1100" s="75"/>
      <c r="AF1100" s="82"/>
      <c r="AG1100" s="82"/>
      <c r="AH1100" s="82"/>
      <c r="AI1100" s="82"/>
      <c r="AJ1100" s="166"/>
      <c r="AK1100" s="82"/>
      <c r="AL1100" s="162"/>
      <c r="AM1100" s="162"/>
      <c r="AN1100" s="162"/>
      <c r="AO1100" s="162"/>
      <c r="AP1100" s="162"/>
      <c r="AQ1100" s="162"/>
      <c r="AR1100" s="710"/>
      <c r="AV1100" s="82"/>
      <c r="AW1100" s="947"/>
      <c r="AX1100" s="947"/>
      <c r="AY1100" s="947"/>
    </row>
    <row r="1101" spans="31:51" x14ac:dyDescent="0.25">
      <c r="AE1101" s="75"/>
      <c r="AF1101" s="82"/>
      <c r="AG1101" s="82"/>
      <c r="AH1101" s="82"/>
      <c r="AI1101" s="82"/>
      <c r="AJ1101" s="166"/>
      <c r="AK1101" s="82"/>
      <c r="AL1101" s="162"/>
      <c r="AM1101" s="162"/>
      <c r="AN1101" s="162"/>
      <c r="AO1101" s="162"/>
      <c r="AP1101" s="162"/>
      <c r="AQ1101" s="162"/>
      <c r="AR1101" s="710"/>
      <c r="AV1101" s="82"/>
      <c r="AW1101" s="947"/>
      <c r="AX1101" s="947"/>
      <c r="AY1101" s="947"/>
    </row>
    <row r="1102" spans="31:51" x14ac:dyDescent="0.25">
      <c r="AE1102" s="75"/>
      <c r="AF1102" s="82"/>
      <c r="AG1102" s="82"/>
      <c r="AH1102" s="82"/>
      <c r="AI1102" s="82"/>
      <c r="AJ1102" s="166"/>
      <c r="AK1102" s="82"/>
      <c r="AL1102" s="162"/>
      <c r="AM1102" s="162"/>
      <c r="AN1102" s="162"/>
      <c r="AO1102" s="162"/>
      <c r="AP1102" s="162"/>
      <c r="AQ1102" s="162"/>
      <c r="AR1102" s="710"/>
      <c r="AV1102" s="82"/>
      <c r="AW1102" s="947"/>
      <c r="AX1102" s="947"/>
      <c r="AY1102" s="947"/>
    </row>
    <row r="1103" spans="31:51" x14ac:dyDescent="0.25">
      <c r="AE1103" s="75"/>
      <c r="AF1103" s="82"/>
      <c r="AG1103" s="82"/>
      <c r="AH1103" s="82"/>
      <c r="AI1103" s="82"/>
      <c r="AJ1103" s="166"/>
      <c r="AK1103" s="82"/>
      <c r="AL1103" s="162"/>
      <c r="AM1103" s="162"/>
      <c r="AN1103" s="162"/>
      <c r="AO1103" s="162"/>
      <c r="AP1103" s="162"/>
      <c r="AQ1103" s="162"/>
      <c r="AR1103" s="710"/>
      <c r="AV1103" s="82"/>
      <c r="AW1103" s="947"/>
      <c r="AX1103" s="947"/>
      <c r="AY1103" s="947"/>
    </row>
    <row r="1104" spans="31:51" x14ac:dyDescent="0.25">
      <c r="AE1104" s="75"/>
      <c r="AF1104" s="82"/>
      <c r="AG1104" s="82"/>
      <c r="AH1104" s="82"/>
      <c r="AI1104" s="82"/>
      <c r="AJ1104" s="166"/>
      <c r="AK1104" s="82"/>
      <c r="AL1104" s="162"/>
      <c r="AM1104" s="162"/>
      <c r="AN1104" s="162"/>
      <c r="AO1104" s="162"/>
      <c r="AP1104" s="162"/>
      <c r="AQ1104" s="162"/>
      <c r="AR1104" s="710"/>
      <c r="AV1104" s="82"/>
      <c r="AW1104" s="947"/>
      <c r="AX1104" s="947"/>
      <c r="AY1104" s="947"/>
    </row>
    <row r="1105" spans="31:51" x14ac:dyDescent="0.25">
      <c r="AE1105" s="75"/>
      <c r="AF1105" s="82"/>
      <c r="AG1105" s="82"/>
      <c r="AH1105" s="82"/>
      <c r="AI1105" s="82"/>
      <c r="AJ1105" s="166"/>
      <c r="AK1105" s="82"/>
      <c r="AL1105" s="162"/>
      <c r="AM1105" s="162"/>
      <c r="AN1105" s="162"/>
      <c r="AO1105" s="162"/>
      <c r="AP1105" s="162"/>
      <c r="AQ1105" s="162"/>
      <c r="AR1105" s="710"/>
      <c r="AV1105" s="82"/>
      <c r="AW1105" s="947"/>
      <c r="AX1105" s="947"/>
      <c r="AY1105" s="947"/>
    </row>
    <row r="1106" spans="31:51" x14ac:dyDescent="0.25">
      <c r="AE1106" s="75"/>
      <c r="AF1106" s="82"/>
      <c r="AG1106" s="82"/>
      <c r="AH1106" s="82"/>
      <c r="AI1106" s="82"/>
      <c r="AJ1106" s="166"/>
      <c r="AK1106" s="82"/>
      <c r="AL1106" s="162"/>
      <c r="AM1106" s="162"/>
      <c r="AN1106" s="162"/>
      <c r="AO1106" s="162"/>
      <c r="AP1106" s="162"/>
      <c r="AQ1106" s="162"/>
      <c r="AR1106" s="710"/>
      <c r="AV1106" s="82"/>
      <c r="AW1106" s="947"/>
      <c r="AX1106" s="947"/>
      <c r="AY1106" s="947"/>
    </row>
    <row r="1107" spans="31:51" x14ac:dyDescent="0.25">
      <c r="AE1107" s="75"/>
      <c r="AF1107" s="82"/>
      <c r="AG1107" s="82"/>
      <c r="AH1107" s="82"/>
      <c r="AI1107" s="82"/>
      <c r="AJ1107" s="166"/>
      <c r="AK1107" s="82"/>
      <c r="AL1107" s="162"/>
      <c r="AM1107" s="162"/>
      <c r="AN1107" s="162"/>
      <c r="AO1107" s="162"/>
      <c r="AP1107" s="162"/>
      <c r="AQ1107" s="162"/>
      <c r="AR1107" s="710"/>
      <c r="AV1107" s="82"/>
      <c r="AW1107" s="947"/>
      <c r="AX1107" s="947"/>
      <c r="AY1107" s="947"/>
    </row>
    <row r="1108" spans="31:51" x14ac:dyDescent="0.25">
      <c r="AE1108" s="75"/>
      <c r="AF1108" s="82"/>
      <c r="AG1108" s="82"/>
      <c r="AH1108" s="82"/>
      <c r="AI1108" s="82"/>
      <c r="AJ1108" s="166"/>
      <c r="AK1108" s="82"/>
      <c r="AL1108" s="162"/>
      <c r="AM1108" s="162"/>
      <c r="AN1108" s="162"/>
      <c r="AO1108" s="162"/>
      <c r="AP1108" s="162"/>
      <c r="AQ1108" s="162"/>
      <c r="AR1108" s="710"/>
      <c r="AV1108" s="82"/>
      <c r="AW1108" s="947"/>
      <c r="AX1108" s="947"/>
      <c r="AY1108" s="947"/>
    </row>
    <row r="1109" spans="31:51" x14ac:dyDescent="0.25">
      <c r="AE1109" s="75"/>
      <c r="AF1109" s="82"/>
      <c r="AG1109" s="82"/>
      <c r="AH1109" s="82"/>
      <c r="AI1109" s="82"/>
      <c r="AJ1109" s="166"/>
      <c r="AK1109" s="82"/>
      <c r="AL1109" s="162"/>
      <c r="AM1109" s="162"/>
      <c r="AN1109" s="162"/>
      <c r="AO1109" s="162"/>
      <c r="AP1109" s="162"/>
      <c r="AQ1109" s="162"/>
      <c r="AR1109" s="710"/>
      <c r="AV1109" s="82"/>
      <c r="AW1109" s="947"/>
      <c r="AX1109" s="947"/>
      <c r="AY1109" s="947"/>
    </row>
    <row r="1110" spans="31:51" x14ac:dyDescent="0.25">
      <c r="AE1110" s="75"/>
      <c r="AF1110" s="82"/>
      <c r="AG1110" s="82"/>
      <c r="AH1110" s="82"/>
      <c r="AI1110" s="82"/>
      <c r="AJ1110" s="166"/>
      <c r="AK1110" s="82"/>
      <c r="AL1110" s="162"/>
      <c r="AM1110" s="162"/>
      <c r="AN1110" s="162"/>
      <c r="AO1110" s="162"/>
      <c r="AP1110" s="162"/>
      <c r="AQ1110" s="162"/>
      <c r="AR1110" s="710"/>
      <c r="AV1110" s="82"/>
      <c r="AW1110" s="947"/>
      <c r="AX1110" s="947"/>
      <c r="AY1110" s="947"/>
    </row>
    <row r="1111" spans="31:51" x14ac:dyDescent="0.25">
      <c r="AE1111" s="75"/>
      <c r="AF1111" s="82"/>
      <c r="AG1111" s="82"/>
      <c r="AH1111" s="82"/>
      <c r="AI1111" s="82"/>
      <c r="AJ1111" s="166"/>
      <c r="AK1111" s="82"/>
      <c r="AL1111" s="162"/>
      <c r="AM1111" s="162"/>
      <c r="AN1111" s="162"/>
      <c r="AO1111" s="162"/>
      <c r="AP1111" s="162"/>
      <c r="AQ1111" s="162"/>
      <c r="AR1111" s="710"/>
      <c r="AV1111" s="82"/>
      <c r="AW1111" s="947"/>
      <c r="AX1111" s="947"/>
      <c r="AY1111" s="947"/>
    </row>
    <row r="1112" spans="31:51" x14ac:dyDescent="0.25">
      <c r="AE1112" s="75"/>
      <c r="AF1112" s="82"/>
      <c r="AG1112" s="82"/>
      <c r="AH1112" s="82"/>
      <c r="AI1112" s="82"/>
      <c r="AJ1112" s="166"/>
      <c r="AK1112" s="82"/>
      <c r="AL1112" s="162"/>
      <c r="AM1112" s="162"/>
      <c r="AN1112" s="162"/>
      <c r="AO1112" s="162"/>
      <c r="AP1112" s="162"/>
      <c r="AQ1112" s="162"/>
      <c r="AR1112" s="710"/>
      <c r="AV1112" s="82"/>
      <c r="AW1112" s="947"/>
      <c r="AX1112" s="947"/>
      <c r="AY1112" s="947"/>
    </row>
    <row r="1113" spans="31:51" x14ac:dyDescent="0.25">
      <c r="AE1113" s="75"/>
      <c r="AF1113" s="82"/>
      <c r="AG1113" s="82"/>
      <c r="AH1113" s="82"/>
      <c r="AI1113" s="82"/>
      <c r="AJ1113" s="166"/>
      <c r="AK1113" s="82"/>
      <c r="AL1113" s="162"/>
      <c r="AM1113" s="162"/>
      <c r="AN1113" s="162"/>
      <c r="AO1113" s="162"/>
      <c r="AP1113" s="162"/>
      <c r="AQ1113" s="162"/>
      <c r="AR1113" s="710"/>
      <c r="AV1113" s="82"/>
      <c r="AW1113" s="947"/>
      <c r="AX1113" s="947"/>
      <c r="AY1113" s="947"/>
    </row>
    <row r="1114" spans="31:51" x14ac:dyDescent="0.25">
      <c r="AE1114" s="75"/>
      <c r="AF1114" s="82"/>
      <c r="AG1114" s="82"/>
      <c r="AH1114" s="82"/>
      <c r="AI1114" s="82"/>
      <c r="AJ1114" s="166"/>
      <c r="AK1114" s="82"/>
      <c r="AL1114" s="162"/>
      <c r="AM1114" s="162"/>
      <c r="AN1114" s="162"/>
      <c r="AO1114" s="162"/>
      <c r="AP1114" s="162"/>
      <c r="AQ1114" s="162"/>
      <c r="AR1114" s="710"/>
      <c r="AV1114" s="82"/>
      <c r="AW1114" s="947"/>
      <c r="AX1114" s="947"/>
      <c r="AY1114" s="947"/>
    </row>
    <row r="1115" spans="31:51" x14ac:dyDescent="0.25">
      <c r="AE1115" s="75"/>
      <c r="AF1115" s="82"/>
      <c r="AG1115" s="82"/>
      <c r="AH1115" s="82"/>
      <c r="AI1115" s="82"/>
      <c r="AJ1115" s="166"/>
      <c r="AK1115" s="82"/>
      <c r="AL1115" s="162"/>
      <c r="AM1115" s="162"/>
      <c r="AN1115" s="162"/>
      <c r="AO1115" s="162"/>
      <c r="AP1115" s="162"/>
      <c r="AQ1115" s="162"/>
      <c r="AR1115" s="710"/>
      <c r="AV1115" s="82"/>
      <c r="AW1115" s="947"/>
      <c r="AX1115" s="947"/>
      <c r="AY1115" s="947"/>
    </row>
    <row r="1116" spans="31:51" x14ac:dyDescent="0.25">
      <c r="AE1116" s="75"/>
      <c r="AF1116" s="82"/>
      <c r="AG1116" s="82"/>
      <c r="AH1116" s="82"/>
      <c r="AI1116" s="82"/>
      <c r="AJ1116" s="166"/>
      <c r="AK1116" s="82"/>
      <c r="AL1116" s="162"/>
      <c r="AM1116" s="162"/>
      <c r="AN1116" s="162"/>
      <c r="AO1116" s="162"/>
      <c r="AP1116" s="162"/>
      <c r="AQ1116" s="162"/>
      <c r="AR1116" s="710"/>
      <c r="AV1116" s="82"/>
      <c r="AW1116" s="947"/>
      <c r="AX1116" s="947"/>
      <c r="AY1116" s="947"/>
    </row>
    <row r="1117" spans="31:51" x14ac:dyDescent="0.25">
      <c r="AE1117" s="75"/>
      <c r="AF1117" s="82"/>
      <c r="AG1117" s="82"/>
      <c r="AH1117" s="82"/>
      <c r="AI1117" s="82"/>
      <c r="AJ1117" s="166"/>
      <c r="AK1117" s="82"/>
      <c r="AL1117" s="162"/>
      <c r="AM1117" s="162"/>
      <c r="AN1117" s="162"/>
      <c r="AO1117" s="162"/>
      <c r="AP1117" s="162"/>
      <c r="AQ1117" s="162"/>
      <c r="AR1117" s="710"/>
      <c r="AV1117" s="82"/>
      <c r="AW1117" s="947"/>
      <c r="AX1117" s="947"/>
      <c r="AY1117" s="947"/>
    </row>
    <row r="1118" spans="31:51" x14ac:dyDescent="0.25">
      <c r="AE1118" s="75"/>
      <c r="AF1118" s="82"/>
      <c r="AG1118" s="82"/>
      <c r="AH1118" s="82"/>
      <c r="AI1118" s="82"/>
      <c r="AJ1118" s="166"/>
      <c r="AK1118" s="82"/>
      <c r="AL1118" s="162"/>
      <c r="AM1118" s="162"/>
      <c r="AN1118" s="162"/>
      <c r="AO1118" s="162"/>
      <c r="AP1118" s="162"/>
      <c r="AQ1118" s="162"/>
      <c r="AR1118" s="710"/>
      <c r="AV1118" s="82"/>
      <c r="AW1118" s="947"/>
      <c r="AX1118" s="947"/>
      <c r="AY1118" s="947"/>
    </row>
    <row r="1119" spans="31:51" x14ac:dyDescent="0.25">
      <c r="AE1119" s="75"/>
      <c r="AF1119" s="82"/>
      <c r="AG1119" s="82"/>
      <c r="AH1119" s="82"/>
      <c r="AI1119" s="82"/>
      <c r="AJ1119" s="166"/>
      <c r="AK1119" s="82"/>
      <c r="AL1119" s="162"/>
      <c r="AM1119" s="162"/>
      <c r="AN1119" s="162"/>
      <c r="AO1119" s="162"/>
      <c r="AP1119" s="162"/>
      <c r="AQ1119" s="162"/>
      <c r="AR1119" s="710"/>
      <c r="AV1119" s="82"/>
      <c r="AW1119" s="947"/>
      <c r="AX1119" s="947"/>
      <c r="AY1119" s="947"/>
    </row>
    <row r="1120" spans="31:51" x14ac:dyDescent="0.25">
      <c r="AE1120" s="75"/>
      <c r="AF1120" s="82"/>
      <c r="AG1120" s="82"/>
      <c r="AH1120" s="82"/>
      <c r="AI1120" s="82"/>
      <c r="AJ1120" s="166"/>
      <c r="AK1120" s="82"/>
      <c r="AL1120" s="162"/>
      <c r="AM1120" s="162"/>
      <c r="AN1120" s="162"/>
      <c r="AO1120" s="162"/>
      <c r="AP1120" s="162"/>
      <c r="AQ1120" s="162"/>
      <c r="AR1120" s="710"/>
      <c r="AV1120" s="82"/>
      <c r="AW1120" s="947"/>
      <c r="AX1120" s="947"/>
      <c r="AY1120" s="947"/>
    </row>
    <row r="1121" spans="31:51" x14ac:dyDescent="0.25">
      <c r="AE1121" s="75"/>
      <c r="AF1121" s="82"/>
      <c r="AG1121" s="82"/>
      <c r="AH1121" s="82"/>
      <c r="AI1121" s="82"/>
      <c r="AJ1121" s="166"/>
      <c r="AK1121" s="82"/>
      <c r="AL1121" s="162"/>
      <c r="AM1121" s="162"/>
      <c r="AN1121" s="162"/>
      <c r="AO1121" s="162"/>
      <c r="AP1121" s="162"/>
      <c r="AQ1121" s="162"/>
      <c r="AR1121" s="710"/>
      <c r="AV1121" s="82"/>
      <c r="AW1121" s="947"/>
      <c r="AX1121" s="947"/>
      <c r="AY1121" s="947"/>
    </row>
    <row r="1122" spans="31:51" x14ac:dyDescent="0.25">
      <c r="AE1122" s="75"/>
      <c r="AF1122" s="82"/>
      <c r="AG1122" s="82"/>
      <c r="AH1122" s="82"/>
      <c r="AI1122" s="82"/>
      <c r="AJ1122" s="166"/>
      <c r="AK1122" s="82"/>
      <c r="AL1122" s="162"/>
      <c r="AM1122" s="162"/>
      <c r="AN1122" s="162"/>
      <c r="AO1122" s="162"/>
      <c r="AP1122" s="162"/>
      <c r="AQ1122" s="162"/>
      <c r="AR1122" s="710"/>
      <c r="AV1122" s="82"/>
      <c r="AW1122" s="947"/>
      <c r="AX1122" s="947"/>
      <c r="AY1122" s="947"/>
    </row>
    <row r="1123" spans="31:51" x14ac:dyDescent="0.25">
      <c r="AE1123" s="75"/>
      <c r="AF1123" s="82"/>
      <c r="AG1123" s="82"/>
      <c r="AH1123" s="82"/>
      <c r="AI1123" s="82"/>
      <c r="AJ1123" s="166"/>
      <c r="AK1123" s="82"/>
      <c r="AL1123" s="162"/>
      <c r="AM1123" s="162"/>
      <c r="AN1123" s="162"/>
      <c r="AO1123" s="162"/>
      <c r="AP1123" s="162"/>
      <c r="AQ1123" s="162"/>
      <c r="AR1123" s="710"/>
      <c r="AV1123" s="82"/>
      <c r="AW1123" s="947"/>
      <c r="AX1123" s="947"/>
      <c r="AY1123" s="947"/>
    </row>
    <row r="1124" spans="31:51" x14ac:dyDescent="0.25">
      <c r="AE1124" s="75"/>
      <c r="AF1124" s="82"/>
      <c r="AG1124" s="82"/>
      <c r="AH1124" s="82"/>
      <c r="AI1124" s="82"/>
      <c r="AJ1124" s="166"/>
      <c r="AK1124" s="82"/>
      <c r="AL1124" s="162"/>
      <c r="AM1124" s="162"/>
      <c r="AN1124" s="162"/>
      <c r="AO1124" s="162"/>
      <c r="AP1124" s="162"/>
      <c r="AQ1124" s="162"/>
      <c r="AR1124" s="710"/>
      <c r="AV1124" s="82"/>
      <c r="AW1124" s="947"/>
      <c r="AX1124" s="947"/>
      <c r="AY1124" s="947"/>
    </row>
    <row r="1125" spans="31:51" x14ac:dyDescent="0.25">
      <c r="AE1125" s="75"/>
      <c r="AF1125" s="82"/>
      <c r="AG1125" s="82"/>
      <c r="AH1125" s="82"/>
      <c r="AI1125" s="82"/>
      <c r="AJ1125" s="166"/>
      <c r="AK1125" s="82"/>
      <c r="AL1125" s="162"/>
      <c r="AM1125" s="162"/>
      <c r="AN1125" s="162"/>
      <c r="AO1125" s="162"/>
      <c r="AP1125" s="162"/>
      <c r="AQ1125" s="162"/>
      <c r="AR1125" s="710"/>
      <c r="AV1125" s="82"/>
      <c r="AW1125" s="947"/>
      <c r="AX1125" s="947"/>
      <c r="AY1125" s="947"/>
    </row>
    <row r="1126" spans="31:51" x14ac:dyDescent="0.25">
      <c r="AE1126" s="75"/>
      <c r="AF1126" s="82"/>
      <c r="AG1126" s="82"/>
      <c r="AH1126" s="82"/>
      <c r="AI1126" s="82"/>
      <c r="AJ1126" s="166"/>
      <c r="AK1126" s="82"/>
      <c r="AL1126" s="162"/>
      <c r="AM1126" s="162"/>
      <c r="AN1126" s="162"/>
      <c r="AO1126" s="162"/>
      <c r="AP1126" s="162"/>
      <c r="AQ1126" s="162"/>
      <c r="AR1126" s="710"/>
      <c r="AV1126" s="82"/>
      <c r="AW1126" s="947"/>
      <c r="AX1126" s="947"/>
      <c r="AY1126" s="947"/>
    </row>
    <row r="1127" spans="31:51" x14ac:dyDescent="0.25">
      <c r="AE1127" s="75"/>
      <c r="AF1127" s="82"/>
      <c r="AG1127" s="82"/>
      <c r="AH1127" s="82"/>
      <c r="AI1127" s="82"/>
      <c r="AJ1127" s="166"/>
      <c r="AK1127" s="82"/>
      <c r="AL1127" s="162"/>
      <c r="AM1127" s="162"/>
      <c r="AN1127" s="162"/>
      <c r="AO1127" s="162"/>
      <c r="AP1127" s="162"/>
      <c r="AQ1127" s="162"/>
      <c r="AR1127" s="710"/>
      <c r="AV1127" s="82"/>
      <c r="AW1127" s="947"/>
      <c r="AX1127" s="947"/>
      <c r="AY1127" s="947"/>
    </row>
    <row r="1128" spans="31:51" x14ac:dyDescent="0.25">
      <c r="AE1128" s="75"/>
      <c r="AF1128" s="82"/>
      <c r="AG1128" s="82"/>
      <c r="AH1128" s="82"/>
      <c r="AI1128" s="82"/>
      <c r="AJ1128" s="166"/>
      <c r="AK1128" s="82"/>
      <c r="AL1128" s="162"/>
      <c r="AM1128" s="162"/>
      <c r="AN1128" s="162"/>
      <c r="AO1128" s="162"/>
      <c r="AP1128" s="162"/>
      <c r="AQ1128" s="162"/>
      <c r="AR1128" s="710"/>
      <c r="AV1128" s="82"/>
      <c r="AW1128" s="947"/>
      <c r="AX1128" s="947"/>
      <c r="AY1128" s="947"/>
    </row>
    <row r="1129" spans="31:51" x14ac:dyDescent="0.25">
      <c r="AE1129" s="75"/>
      <c r="AF1129" s="82"/>
      <c r="AG1129" s="82"/>
      <c r="AH1129" s="82"/>
      <c r="AI1129" s="82"/>
      <c r="AJ1129" s="166"/>
      <c r="AK1129" s="82"/>
      <c r="AL1129" s="162"/>
      <c r="AM1129" s="162"/>
      <c r="AN1129" s="162"/>
      <c r="AO1129" s="162"/>
      <c r="AP1129" s="162"/>
      <c r="AQ1129" s="162"/>
      <c r="AR1129" s="710"/>
      <c r="AV1129" s="82"/>
      <c r="AW1129" s="947"/>
      <c r="AX1129" s="947"/>
      <c r="AY1129" s="947"/>
    </row>
    <row r="1130" spans="31:51" x14ac:dyDescent="0.25">
      <c r="AE1130" s="75"/>
      <c r="AF1130" s="82"/>
      <c r="AG1130" s="82"/>
      <c r="AH1130" s="82"/>
      <c r="AI1130" s="82"/>
      <c r="AJ1130" s="166"/>
      <c r="AK1130" s="82"/>
      <c r="AL1130" s="162"/>
      <c r="AM1130" s="162"/>
      <c r="AN1130" s="162"/>
      <c r="AO1130" s="162"/>
      <c r="AP1130" s="162"/>
      <c r="AQ1130" s="162"/>
      <c r="AR1130" s="710"/>
      <c r="AV1130" s="82"/>
      <c r="AW1130" s="947"/>
      <c r="AX1130" s="947"/>
      <c r="AY1130" s="947"/>
    </row>
    <row r="1131" spans="31:51" x14ac:dyDescent="0.25">
      <c r="AE1131" s="75"/>
      <c r="AF1131" s="82"/>
      <c r="AG1131" s="82"/>
      <c r="AH1131" s="82"/>
      <c r="AI1131" s="82"/>
      <c r="AJ1131" s="166"/>
      <c r="AK1131" s="82"/>
      <c r="AL1131" s="162"/>
      <c r="AM1131" s="162"/>
      <c r="AN1131" s="162"/>
      <c r="AO1131" s="162"/>
      <c r="AP1131" s="162"/>
      <c r="AQ1131" s="162"/>
      <c r="AR1131" s="710"/>
      <c r="AV1131" s="82"/>
      <c r="AW1131" s="947"/>
      <c r="AX1131" s="947"/>
      <c r="AY1131" s="947"/>
    </row>
    <row r="1132" spans="31:51" x14ac:dyDescent="0.25">
      <c r="AE1132" s="75"/>
      <c r="AF1132" s="82"/>
      <c r="AG1132" s="82"/>
      <c r="AH1132" s="82"/>
      <c r="AI1132" s="82"/>
      <c r="AJ1132" s="166"/>
      <c r="AK1132" s="82"/>
      <c r="AL1132" s="162"/>
      <c r="AM1132" s="162"/>
      <c r="AN1132" s="162"/>
      <c r="AO1132" s="162"/>
      <c r="AP1132" s="162"/>
      <c r="AQ1132" s="162"/>
      <c r="AR1132" s="710"/>
      <c r="AV1132" s="82"/>
      <c r="AW1132" s="947"/>
      <c r="AX1132" s="947"/>
      <c r="AY1132" s="947"/>
    </row>
    <row r="1133" spans="31:51" x14ac:dyDescent="0.25">
      <c r="AE1133" s="75"/>
      <c r="AF1133" s="82"/>
      <c r="AG1133" s="82"/>
      <c r="AH1133" s="82"/>
      <c r="AI1133" s="82"/>
      <c r="AJ1133" s="166"/>
      <c r="AK1133" s="82"/>
      <c r="AL1133" s="162"/>
      <c r="AM1133" s="162"/>
      <c r="AN1133" s="162"/>
      <c r="AO1133" s="162"/>
      <c r="AP1133" s="162"/>
      <c r="AQ1133" s="162"/>
      <c r="AR1133" s="710"/>
      <c r="AV1133" s="82"/>
      <c r="AW1133" s="947"/>
      <c r="AX1133" s="947"/>
      <c r="AY1133" s="947"/>
    </row>
    <row r="1134" spans="31:51" x14ac:dyDescent="0.25">
      <c r="AE1134" s="75"/>
      <c r="AF1134" s="82"/>
      <c r="AG1134" s="82"/>
      <c r="AH1134" s="82"/>
      <c r="AI1134" s="82"/>
      <c r="AJ1134" s="166"/>
      <c r="AK1134" s="82"/>
      <c r="AL1134" s="162"/>
      <c r="AM1134" s="162"/>
      <c r="AN1134" s="162"/>
      <c r="AO1134" s="162"/>
      <c r="AP1134" s="162"/>
      <c r="AQ1134" s="162"/>
      <c r="AR1134" s="710"/>
      <c r="AV1134" s="82"/>
      <c r="AW1134" s="947"/>
      <c r="AX1134" s="947"/>
      <c r="AY1134" s="947"/>
    </row>
    <row r="1135" spans="31:51" x14ac:dyDescent="0.25">
      <c r="AE1135" s="75"/>
      <c r="AF1135" s="82"/>
      <c r="AG1135" s="82"/>
      <c r="AH1135" s="82"/>
      <c r="AI1135" s="82"/>
      <c r="AJ1135" s="166"/>
      <c r="AK1135" s="82"/>
      <c r="AL1135" s="162"/>
      <c r="AM1135" s="162"/>
      <c r="AN1135" s="162"/>
      <c r="AO1135" s="162"/>
      <c r="AP1135" s="162"/>
      <c r="AQ1135" s="162"/>
      <c r="AR1135" s="710"/>
      <c r="AV1135" s="82"/>
      <c r="AW1135" s="947"/>
      <c r="AX1135" s="947"/>
      <c r="AY1135" s="947"/>
    </row>
    <row r="1136" spans="31:51" x14ac:dyDescent="0.25">
      <c r="AE1136" s="75"/>
      <c r="AF1136" s="82"/>
      <c r="AG1136" s="82"/>
      <c r="AH1136" s="82"/>
      <c r="AI1136" s="82"/>
      <c r="AJ1136" s="166"/>
      <c r="AK1136" s="82"/>
      <c r="AL1136" s="162"/>
      <c r="AM1136" s="162"/>
      <c r="AN1136" s="162"/>
      <c r="AO1136" s="162"/>
      <c r="AP1136" s="162"/>
      <c r="AQ1136" s="162"/>
      <c r="AR1136" s="710"/>
      <c r="AV1136" s="82"/>
      <c r="AW1136" s="947"/>
      <c r="AX1136" s="947"/>
      <c r="AY1136" s="947"/>
    </row>
    <row r="1137" spans="31:51" x14ac:dyDescent="0.25">
      <c r="AE1137" s="75"/>
      <c r="AF1137" s="82"/>
      <c r="AG1137" s="82"/>
      <c r="AH1137" s="82"/>
      <c r="AI1137" s="82"/>
      <c r="AJ1137" s="166"/>
      <c r="AK1137" s="82"/>
      <c r="AL1137" s="162"/>
      <c r="AM1137" s="162"/>
      <c r="AN1137" s="162"/>
      <c r="AO1137" s="162"/>
      <c r="AP1137" s="162"/>
      <c r="AQ1137" s="162"/>
      <c r="AR1137" s="710"/>
      <c r="AV1137" s="82"/>
      <c r="AW1137" s="947"/>
      <c r="AX1137" s="947"/>
      <c r="AY1137" s="947"/>
    </row>
    <row r="1138" spans="31:51" x14ac:dyDescent="0.25">
      <c r="AE1138" s="75"/>
      <c r="AF1138" s="82"/>
      <c r="AG1138" s="82"/>
      <c r="AH1138" s="82"/>
      <c r="AI1138" s="82"/>
      <c r="AJ1138" s="166"/>
      <c r="AK1138" s="82"/>
      <c r="AL1138" s="162"/>
      <c r="AM1138" s="162"/>
      <c r="AN1138" s="162"/>
      <c r="AO1138" s="162"/>
      <c r="AP1138" s="162"/>
      <c r="AQ1138" s="162"/>
      <c r="AR1138" s="710"/>
      <c r="AV1138" s="82"/>
      <c r="AW1138" s="947"/>
      <c r="AX1138" s="947"/>
      <c r="AY1138" s="947"/>
    </row>
    <row r="1139" spans="31:51" x14ac:dyDescent="0.25">
      <c r="AE1139" s="75"/>
      <c r="AF1139" s="82"/>
      <c r="AG1139" s="82"/>
      <c r="AH1139" s="82"/>
      <c r="AI1139" s="82"/>
      <c r="AJ1139" s="166"/>
      <c r="AK1139" s="82"/>
      <c r="AL1139" s="162"/>
      <c r="AM1139" s="162"/>
      <c r="AN1139" s="162"/>
      <c r="AO1139" s="162"/>
      <c r="AP1139" s="162"/>
      <c r="AQ1139" s="162"/>
      <c r="AR1139" s="710"/>
      <c r="AV1139" s="82"/>
      <c r="AW1139" s="947"/>
      <c r="AX1139" s="947"/>
      <c r="AY1139" s="947"/>
    </row>
    <row r="1140" spans="31:51" x14ac:dyDescent="0.25">
      <c r="AE1140" s="75"/>
      <c r="AF1140" s="82"/>
      <c r="AG1140" s="82"/>
      <c r="AH1140" s="82"/>
      <c r="AI1140" s="82"/>
      <c r="AJ1140" s="166"/>
      <c r="AK1140" s="82"/>
      <c r="AL1140" s="162"/>
      <c r="AM1140" s="162"/>
      <c r="AN1140" s="162"/>
      <c r="AO1140" s="162"/>
      <c r="AP1140" s="162"/>
      <c r="AQ1140" s="162"/>
      <c r="AR1140" s="710"/>
      <c r="AV1140" s="82"/>
      <c r="AW1140" s="947"/>
      <c r="AX1140" s="947"/>
      <c r="AY1140" s="947"/>
    </row>
    <row r="1141" spans="31:51" x14ac:dyDescent="0.25">
      <c r="AE1141" s="75"/>
      <c r="AF1141" s="82"/>
      <c r="AG1141" s="82"/>
      <c r="AH1141" s="82"/>
      <c r="AI1141" s="82"/>
      <c r="AJ1141" s="166"/>
      <c r="AK1141" s="82"/>
      <c r="AL1141" s="162"/>
      <c r="AM1141" s="162"/>
      <c r="AN1141" s="162"/>
      <c r="AO1141" s="162"/>
      <c r="AP1141" s="162"/>
      <c r="AQ1141" s="162"/>
      <c r="AR1141" s="710"/>
      <c r="AV1141" s="82"/>
      <c r="AW1141" s="947"/>
      <c r="AX1141" s="947"/>
      <c r="AY1141" s="947"/>
    </row>
    <row r="1142" spans="31:51" x14ac:dyDescent="0.25">
      <c r="AE1142" s="75"/>
      <c r="AF1142" s="82"/>
      <c r="AG1142" s="82"/>
      <c r="AH1142" s="82"/>
      <c r="AI1142" s="82"/>
      <c r="AJ1142" s="166"/>
      <c r="AK1142" s="82"/>
      <c r="AL1142" s="162"/>
      <c r="AM1142" s="162"/>
      <c r="AN1142" s="162"/>
      <c r="AO1142" s="162"/>
      <c r="AP1142" s="162"/>
      <c r="AQ1142" s="162"/>
      <c r="AR1142" s="710"/>
      <c r="AV1142" s="82"/>
      <c r="AW1142" s="947"/>
      <c r="AX1142" s="947"/>
      <c r="AY1142" s="947"/>
    </row>
    <row r="1143" spans="31:51" x14ac:dyDescent="0.25">
      <c r="AE1143" s="75"/>
      <c r="AF1143" s="82"/>
      <c r="AG1143" s="82"/>
      <c r="AH1143" s="82"/>
      <c r="AI1143" s="82"/>
      <c r="AJ1143" s="166"/>
      <c r="AK1143" s="82"/>
      <c r="AL1143" s="162"/>
      <c r="AM1143" s="162"/>
      <c r="AN1143" s="162"/>
      <c r="AO1143" s="162"/>
      <c r="AP1143" s="162"/>
      <c r="AQ1143" s="162"/>
      <c r="AR1143" s="710"/>
      <c r="AV1143" s="82"/>
      <c r="AW1143" s="947"/>
      <c r="AX1143" s="947"/>
      <c r="AY1143" s="947"/>
    </row>
    <row r="1144" spans="31:51" x14ac:dyDescent="0.25">
      <c r="AE1144" s="75"/>
      <c r="AF1144" s="82"/>
      <c r="AG1144" s="82"/>
      <c r="AH1144" s="82"/>
      <c r="AI1144" s="82"/>
      <c r="AJ1144" s="166"/>
      <c r="AK1144" s="82"/>
      <c r="AL1144" s="162"/>
      <c r="AM1144" s="162"/>
      <c r="AN1144" s="162"/>
      <c r="AO1144" s="162"/>
      <c r="AP1144" s="162"/>
      <c r="AQ1144" s="162"/>
      <c r="AR1144" s="710"/>
      <c r="AV1144" s="82"/>
      <c r="AW1144" s="947"/>
      <c r="AX1144" s="947"/>
      <c r="AY1144" s="947"/>
    </row>
    <row r="1145" spans="31:51" x14ac:dyDescent="0.25">
      <c r="AE1145" s="75"/>
      <c r="AF1145" s="82"/>
      <c r="AG1145" s="82"/>
      <c r="AH1145" s="82"/>
      <c r="AI1145" s="82"/>
      <c r="AJ1145" s="166"/>
      <c r="AK1145" s="82"/>
      <c r="AL1145" s="162"/>
      <c r="AM1145" s="162"/>
      <c r="AN1145" s="162"/>
      <c r="AO1145" s="162"/>
      <c r="AP1145" s="162"/>
      <c r="AQ1145" s="162"/>
      <c r="AR1145" s="710"/>
      <c r="AV1145" s="82"/>
      <c r="AW1145" s="947"/>
      <c r="AX1145" s="947"/>
      <c r="AY1145" s="947"/>
    </row>
    <row r="1146" spans="31:51" x14ac:dyDescent="0.25">
      <c r="AE1146" s="75"/>
      <c r="AF1146" s="82"/>
      <c r="AG1146" s="82"/>
      <c r="AH1146" s="82"/>
      <c r="AI1146" s="82"/>
      <c r="AJ1146" s="166"/>
      <c r="AK1146" s="82"/>
      <c r="AL1146" s="162"/>
      <c r="AM1146" s="162"/>
      <c r="AN1146" s="162"/>
      <c r="AO1146" s="162"/>
      <c r="AP1146" s="162"/>
      <c r="AQ1146" s="162"/>
      <c r="AR1146" s="710"/>
      <c r="AV1146" s="82"/>
      <c r="AW1146" s="947"/>
      <c r="AX1146" s="947"/>
      <c r="AY1146" s="947"/>
    </row>
    <row r="1147" spans="31:51" x14ac:dyDescent="0.25">
      <c r="AE1147" s="75"/>
      <c r="AF1147" s="82"/>
      <c r="AG1147" s="82"/>
      <c r="AH1147" s="82"/>
      <c r="AI1147" s="82"/>
      <c r="AJ1147" s="166"/>
      <c r="AK1147" s="82"/>
      <c r="AL1147" s="162"/>
      <c r="AM1147" s="162"/>
      <c r="AN1147" s="162"/>
      <c r="AO1147" s="162"/>
      <c r="AP1147" s="162"/>
      <c r="AQ1147" s="162"/>
      <c r="AR1147" s="710"/>
      <c r="AV1147" s="82"/>
      <c r="AW1147" s="947"/>
      <c r="AX1147" s="947"/>
      <c r="AY1147" s="947"/>
    </row>
    <row r="1148" spans="31:51" x14ac:dyDescent="0.25">
      <c r="AE1148" s="75"/>
      <c r="AF1148" s="82"/>
      <c r="AG1148" s="82"/>
      <c r="AH1148" s="82"/>
      <c r="AI1148" s="82"/>
      <c r="AJ1148" s="166"/>
      <c r="AK1148" s="82"/>
      <c r="AL1148" s="162"/>
      <c r="AM1148" s="162"/>
      <c r="AN1148" s="162"/>
      <c r="AO1148" s="162"/>
      <c r="AP1148" s="162"/>
      <c r="AQ1148" s="162"/>
      <c r="AR1148" s="710"/>
      <c r="AV1148" s="82"/>
      <c r="AW1148" s="947"/>
      <c r="AX1148" s="947"/>
      <c r="AY1148" s="947"/>
    </row>
    <row r="1149" spans="31:51" x14ac:dyDescent="0.25">
      <c r="AE1149" s="75"/>
      <c r="AF1149" s="82"/>
      <c r="AG1149" s="82"/>
      <c r="AH1149" s="82"/>
      <c r="AI1149" s="82"/>
      <c r="AJ1149" s="166"/>
      <c r="AK1149" s="82"/>
      <c r="AL1149" s="162"/>
      <c r="AM1149" s="162"/>
      <c r="AN1149" s="162"/>
      <c r="AO1149" s="162"/>
      <c r="AP1149" s="162"/>
      <c r="AQ1149" s="162"/>
      <c r="AR1149" s="710"/>
      <c r="AV1149" s="82"/>
      <c r="AW1149" s="947"/>
      <c r="AX1149" s="947"/>
      <c r="AY1149" s="947"/>
    </row>
    <row r="1150" spans="31:51" x14ac:dyDescent="0.25">
      <c r="AE1150" s="75"/>
      <c r="AF1150" s="82"/>
      <c r="AG1150" s="82"/>
      <c r="AH1150" s="82"/>
      <c r="AI1150" s="82"/>
      <c r="AJ1150" s="166"/>
      <c r="AK1150" s="82"/>
      <c r="AL1150" s="162"/>
      <c r="AM1150" s="162"/>
      <c r="AN1150" s="162"/>
      <c r="AO1150" s="162"/>
      <c r="AP1150" s="162"/>
      <c r="AQ1150" s="162"/>
      <c r="AR1150" s="710"/>
      <c r="AV1150" s="82"/>
      <c r="AW1150" s="947"/>
      <c r="AX1150" s="947"/>
      <c r="AY1150" s="947"/>
    </row>
    <row r="1151" spans="31:51" x14ac:dyDescent="0.25">
      <c r="AE1151" s="75"/>
      <c r="AF1151" s="82"/>
      <c r="AG1151" s="82"/>
      <c r="AH1151" s="82"/>
      <c r="AI1151" s="82"/>
      <c r="AJ1151" s="166"/>
      <c r="AK1151" s="82"/>
      <c r="AL1151" s="162"/>
      <c r="AM1151" s="162"/>
      <c r="AN1151" s="162"/>
      <c r="AO1151" s="162"/>
      <c r="AP1151" s="162"/>
      <c r="AQ1151" s="162"/>
      <c r="AR1151" s="710"/>
      <c r="AV1151" s="82"/>
      <c r="AW1151" s="947"/>
      <c r="AX1151" s="947"/>
      <c r="AY1151" s="947"/>
    </row>
    <row r="1152" spans="31:51" x14ac:dyDescent="0.25">
      <c r="AE1152" s="75"/>
      <c r="AF1152" s="82"/>
      <c r="AG1152" s="82"/>
      <c r="AH1152" s="82"/>
      <c r="AI1152" s="82"/>
      <c r="AJ1152" s="166"/>
      <c r="AK1152" s="82"/>
      <c r="AL1152" s="162"/>
      <c r="AM1152" s="162"/>
      <c r="AN1152" s="162"/>
      <c r="AO1152" s="162"/>
      <c r="AP1152" s="162"/>
      <c r="AQ1152" s="162"/>
      <c r="AR1152" s="710"/>
      <c r="AV1152" s="82"/>
      <c r="AW1152" s="947"/>
      <c r="AX1152" s="947"/>
      <c r="AY1152" s="947"/>
    </row>
    <row r="1153" spans="31:51" x14ac:dyDescent="0.25">
      <c r="AE1153" s="75"/>
      <c r="AF1153" s="82"/>
      <c r="AG1153" s="82"/>
      <c r="AH1153" s="82"/>
      <c r="AI1153" s="82"/>
      <c r="AJ1153" s="166"/>
      <c r="AK1153" s="82"/>
      <c r="AL1153" s="162"/>
      <c r="AM1153" s="162"/>
      <c r="AN1153" s="162"/>
      <c r="AO1153" s="162"/>
      <c r="AP1153" s="162"/>
      <c r="AQ1153" s="162"/>
      <c r="AR1153" s="710"/>
      <c r="AV1153" s="82"/>
      <c r="AW1153" s="947"/>
      <c r="AX1153" s="947"/>
      <c r="AY1153" s="947"/>
    </row>
    <row r="1154" spans="31:51" x14ac:dyDescent="0.25">
      <c r="AE1154" s="75"/>
      <c r="AF1154" s="82"/>
      <c r="AG1154" s="82"/>
      <c r="AH1154" s="82"/>
      <c r="AI1154" s="82"/>
      <c r="AJ1154" s="166"/>
      <c r="AK1154" s="82"/>
      <c r="AL1154" s="162"/>
      <c r="AM1154" s="162"/>
      <c r="AN1154" s="162"/>
      <c r="AO1154" s="162"/>
      <c r="AP1154" s="162"/>
      <c r="AQ1154" s="162"/>
      <c r="AR1154" s="710"/>
      <c r="AV1154" s="82"/>
      <c r="AW1154" s="947"/>
      <c r="AX1154" s="947"/>
      <c r="AY1154" s="947"/>
    </row>
    <row r="1155" spans="31:51" x14ac:dyDescent="0.25">
      <c r="AE1155" s="75"/>
      <c r="AF1155" s="82"/>
      <c r="AG1155" s="82"/>
      <c r="AH1155" s="82"/>
      <c r="AI1155" s="82"/>
      <c r="AJ1155" s="166"/>
      <c r="AK1155" s="82"/>
      <c r="AL1155" s="162"/>
      <c r="AM1155" s="162"/>
      <c r="AN1155" s="162"/>
      <c r="AO1155" s="162"/>
      <c r="AP1155" s="162"/>
      <c r="AQ1155" s="162"/>
      <c r="AR1155" s="710"/>
      <c r="AV1155" s="82"/>
      <c r="AW1155" s="947"/>
      <c r="AX1155" s="947"/>
      <c r="AY1155" s="947"/>
    </row>
    <row r="1156" spans="31:51" x14ac:dyDescent="0.25">
      <c r="AE1156" s="75"/>
      <c r="AF1156" s="82"/>
      <c r="AG1156" s="82"/>
      <c r="AH1156" s="82"/>
      <c r="AI1156" s="82"/>
      <c r="AJ1156" s="166"/>
      <c r="AK1156" s="82"/>
      <c r="AL1156" s="162"/>
      <c r="AM1156" s="162"/>
      <c r="AN1156" s="162"/>
      <c r="AO1156" s="162"/>
      <c r="AP1156" s="162"/>
      <c r="AQ1156" s="162"/>
      <c r="AR1156" s="710"/>
      <c r="AV1156" s="82"/>
      <c r="AW1156" s="947"/>
      <c r="AX1156" s="947"/>
      <c r="AY1156" s="947"/>
    </row>
    <row r="1157" spans="31:51" x14ac:dyDescent="0.25">
      <c r="AE1157" s="75"/>
      <c r="AF1157" s="82"/>
      <c r="AG1157" s="82"/>
      <c r="AH1157" s="82"/>
      <c r="AI1157" s="82"/>
      <c r="AJ1157" s="166"/>
      <c r="AK1157" s="82"/>
      <c r="AL1157" s="162"/>
      <c r="AM1157" s="162"/>
      <c r="AN1157" s="162"/>
      <c r="AO1157" s="162"/>
      <c r="AP1157" s="162"/>
      <c r="AQ1157" s="162"/>
      <c r="AR1157" s="710"/>
      <c r="AV1157" s="82"/>
      <c r="AW1157" s="947"/>
      <c r="AX1157" s="947"/>
      <c r="AY1157" s="947"/>
    </row>
    <row r="1158" spans="31:51" x14ac:dyDescent="0.25">
      <c r="AE1158" s="75"/>
      <c r="AF1158" s="82"/>
      <c r="AG1158" s="82"/>
      <c r="AH1158" s="82"/>
      <c r="AI1158" s="82"/>
      <c r="AJ1158" s="166"/>
      <c r="AK1158" s="82"/>
      <c r="AL1158" s="162"/>
      <c r="AM1158" s="162"/>
      <c r="AN1158" s="162"/>
      <c r="AO1158" s="162"/>
      <c r="AP1158" s="162"/>
      <c r="AQ1158" s="162"/>
      <c r="AR1158" s="710"/>
      <c r="AV1158" s="82"/>
      <c r="AW1158" s="947"/>
      <c r="AX1158" s="947"/>
      <c r="AY1158" s="947"/>
    </row>
    <row r="1159" spans="31:51" x14ac:dyDescent="0.25">
      <c r="AE1159" s="75"/>
      <c r="AF1159" s="82"/>
      <c r="AG1159" s="82"/>
      <c r="AH1159" s="82"/>
      <c r="AI1159" s="82"/>
      <c r="AJ1159" s="166"/>
      <c r="AK1159" s="82"/>
      <c r="AL1159" s="162"/>
      <c r="AM1159" s="162"/>
      <c r="AN1159" s="162"/>
      <c r="AO1159" s="162"/>
      <c r="AP1159" s="162"/>
      <c r="AQ1159" s="162"/>
      <c r="AR1159" s="710"/>
      <c r="AV1159" s="82"/>
      <c r="AW1159" s="947"/>
      <c r="AX1159" s="947"/>
      <c r="AY1159" s="947"/>
    </row>
    <row r="1160" spans="31:51" x14ac:dyDescent="0.25">
      <c r="AE1160" s="75"/>
      <c r="AF1160" s="82"/>
      <c r="AG1160" s="82"/>
      <c r="AH1160" s="82"/>
      <c r="AI1160" s="82"/>
      <c r="AJ1160" s="166"/>
      <c r="AK1160" s="82"/>
      <c r="AL1160" s="162"/>
      <c r="AM1160" s="162"/>
      <c r="AN1160" s="162"/>
      <c r="AO1160" s="162"/>
      <c r="AP1160" s="162"/>
      <c r="AQ1160" s="162"/>
      <c r="AR1160" s="710"/>
      <c r="AV1160" s="82"/>
      <c r="AW1160" s="947"/>
      <c r="AX1160" s="947"/>
      <c r="AY1160" s="947"/>
    </row>
    <row r="1161" spans="31:51" x14ac:dyDescent="0.25">
      <c r="AE1161" s="75"/>
      <c r="AF1161" s="82"/>
      <c r="AG1161" s="82"/>
      <c r="AH1161" s="82"/>
      <c r="AI1161" s="82"/>
      <c r="AJ1161" s="166"/>
      <c r="AK1161" s="82"/>
      <c r="AL1161" s="162"/>
      <c r="AM1161" s="162"/>
      <c r="AN1161" s="162"/>
      <c r="AO1161" s="162"/>
      <c r="AP1161" s="162"/>
      <c r="AQ1161" s="162"/>
      <c r="AR1161" s="710"/>
      <c r="AV1161" s="82"/>
      <c r="AW1161" s="947"/>
      <c r="AX1161" s="947"/>
      <c r="AY1161" s="947"/>
    </row>
    <row r="1162" spans="31:51" x14ac:dyDescent="0.25">
      <c r="AE1162" s="75"/>
      <c r="AF1162" s="82"/>
      <c r="AG1162" s="82"/>
      <c r="AH1162" s="82"/>
      <c r="AI1162" s="82"/>
      <c r="AJ1162" s="166"/>
      <c r="AK1162" s="82"/>
      <c r="AL1162" s="162"/>
      <c r="AM1162" s="162"/>
      <c r="AN1162" s="162"/>
      <c r="AO1162" s="162"/>
      <c r="AP1162" s="162"/>
      <c r="AQ1162" s="162"/>
      <c r="AR1162" s="710"/>
      <c r="AV1162" s="82"/>
      <c r="AW1162" s="947"/>
      <c r="AX1162" s="947"/>
      <c r="AY1162" s="947"/>
    </row>
    <row r="1163" spans="31:51" x14ac:dyDescent="0.25">
      <c r="AE1163" s="75"/>
      <c r="AF1163" s="82"/>
      <c r="AG1163" s="82"/>
      <c r="AH1163" s="82"/>
      <c r="AI1163" s="82"/>
      <c r="AJ1163" s="166"/>
      <c r="AK1163" s="82"/>
      <c r="AL1163" s="162"/>
      <c r="AM1163" s="162"/>
      <c r="AN1163" s="162"/>
      <c r="AO1163" s="162"/>
      <c r="AP1163" s="162"/>
      <c r="AQ1163" s="162"/>
      <c r="AR1163" s="710"/>
      <c r="AV1163" s="82"/>
      <c r="AW1163" s="947"/>
      <c r="AX1163" s="947"/>
      <c r="AY1163" s="947"/>
    </row>
    <row r="1164" spans="31:51" x14ac:dyDescent="0.25">
      <c r="AE1164" s="75"/>
      <c r="AF1164" s="82"/>
      <c r="AG1164" s="82"/>
      <c r="AH1164" s="82"/>
      <c r="AI1164" s="82"/>
      <c r="AJ1164" s="166"/>
      <c r="AK1164" s="82"/>
      <c r="AL1164" s="162"/>
      <c r="AM1164" s="162"/>
      <c r="AN1164" s="162"/>
      <c r="AO1164" s="162"/>
      <c r="AP1164" s="162"/>
      <c r="AQ1164" s="162"/>
      <c r="AR1164" s="710"/>
      <c r="AV1164" s="82"/>
      <c r="AW1164" s="947"/>
      <c r="AX1164" s="947"/>
      <c r="AY1164" s="947"/>
    </row>
    <row r="1165" spans="31:51" x14ac:dyDescent="0.25">
      <c r="AE1165" s="75"/>
      <c r="AF1165" s="82"/>
      <c r="AG1165" s="82"/>
      <c r="AH1165" s="82"/>
      <c r="AI1165" s="82"/>
      <c r="AJ1165" s="166"/>
      <c r="AK1165" s="82"/>
      <c r="AL1165" s="162"/>
      <c r="AM1165" s="162"/>
      <c r="AN1165" s="162"/>
      <c r="AO1165" s="162"/>
      <c r="AP1165" s="162"/>
      <c r="AQ1165" s="162"/>
      <c r="AR1165" s="710"/>
      <c r="AV1165" s="82"/>
      <c r="AW1165" s="947"/>
      <c r="AX1165" s="947"/>
      <c r="AY1165" s="947"/>
    </row>
    <row r="1166" spans="31:51" x14ac:dyDescent="0.25">
      <c r="AE1166" s="75"/>
      <c r="AF1166" s="82"/>
      <c r="AG1166" s="82"/>
      <c r="AH1166" s="82"/>
      <c r="AI1166" s="82"/>
      <c r="AJ1166" s="166"/>
      <c r="AK1166" s="82"/>
      <c r="AL1166" s="162"/>
      <c r="AM1166" s="162"/>
      <c r="AN1166" s="162"/>
      <c r="AO1166" s="162"/>
      <c r="AP1166" s="162"/>
      <c r="AQ1166" s="162"/>
      <c r="AR1166" s="710"/>
      <c r="AV1166" s="82"/>
      <c r="AW1166" s="947"/>
      <c r="AX1166" s="947"/>
      <c r="AY1166" s="947"/>
    </row>
    <row r="1167" spans="31:51" x14ac:dyDescent="0.25">
      <c r="AE1167" s="75"/>
      <c r="AF1167" s="82"/>
      <c r="AG1167" s="82"/>
      <c r="AH1167" s="82"/>
      <c r="AI1167" s="82"/>
      <c r="AJ1167" s="166"/>
      <c r="AK1167" s="82"/>
      <c r="AL1167" s="162"/>
      <c r="AM1167" s="162"/>
      <c r="AN1167" s="162"/>
      <c r="AO1167" s="162"/>
      <c r="AP1167" s="162"/>
      <c r="AQ1167" s="162"/>
      <c r="AR1167" s="710"/>
      <c r="AV1167" s="82"/>
      <c r="AW1167" s="947"/>
      <c r="AX1167" s="947"/>
      <c r="AY1167" s="947"/>
    </row>
    <row r="1168" spans="31:51" x14ac:dyDescent="0.25">
      <c r="AE1168" s="75"/>
      <c r="AF1168" s="82"/>
      <c r="AG1168" s="82"/>
      <c r="AH1168" s="82"/>
      <c r="AI1168" s="82"/>
      <c r="AJ1168" s="166"/>
      <c r="AK1168" s="82"/>
      <c r="AL1168" s="162"/>
      <c r="AM1168" s="162"/>
      <c r="AN1168" s="162"/>
      <c r="AO1168" s="162"/>
      <c r="AP1168" s="162"/>
      <c r="AQ1168" s="162"/>
      <c r="AR1168" s="710"/>
      <c r="AV1168" s="82"/>
      <c r="AW1168" s="947"/>
      <c r="AX1168" s="947"/>
      <c r="AY1168" s="947"/>
    </row>
    <row r="1169" spans="31:51" x14ac:dyDescent="0.25">
      <c r="AE1169" s="75"/>
      <c r="AF1169" s="82"/>
      <c r="AG1169" s="82"/>
      <c r="AH1169" s="82"/>
      <c r="AI1169" s="82"/>
      <c r="AJ1169" s="166"/>
      <c r="AK1169" s="82"/>
      <c r="AL1169" s="162"/>
      <c r="AM1169" s="162"/>
      <c r="AN1169" s="162"/>
      <c r="AO1169" s="162"/>
      <c r="AP1169" s="162"/>
      <c r="AQ1169" s="162"/>
      <c r="AR1169" s="710"/>
      <c r="AV1169" s="82"/>
      <c r="AW1169" s="947"/>
      <c r="AX1169" s="947"/>
      <c r="AY1169" s="947"/>
    </row>
    <row r="1170" spans="31:51" x14ac:dyDescent="0.25">
      <c r="AE1170" s="75"/>
      <c r="AF1170" s="82"/>
      <c r="AG1170" s="82"/>
      <c r="AH1170" s="82"/>
      <c r="AI1170" s="82"/>
      <c r="AJ1170" s="166"/>
      <c r="AK1170" s="82"/>
      <c r="AL1170" s="162"/>
      <c r="AM1170" s="162"/>
      <c r="AN1170" s="162"/>
      <c r="AO1170" s="162"/>
      <c r="AP1170" s="162"/>
      <c r="AQ1170" s="162"/>
      <c r="AR1170" s="710"/>
      <c r="AV1170" s="82"/>
      <c r="AW1170" s="947"/>
      <c r="AX1170" s="947"/>
      <c r="AY1170" s="947"/>
    </row>
    <row r="1171" spans="31:51" x14ac:dyDescent="0.25">
      <c r="AE1171" s="75"/>
      <c r="AF1171" s="82"/>
      <c r="AG1171" s="82"/>
      <c r="AH1171" s="82"/>
      <c r="AI1171" s="82"/>
      <c r="AJ1171" s="166"/>
      <c r="AK1171" s="82"/>
      <c r="AL1171" s="162"/>
      <c r="AM1171" s="162"/>
      <c r="AN1171" s="162"/>
      <c r="AO1171" s="162"/>
      <c r="AP1171" s="162"/>
      <c r="AQ1171" s="162"/>
      <c r="AR1171" s="710"/>
      <c r="AV1171" s="82"/>
      <c r="AW1171" s="947"/>
      <c r="AX1171" s="947"/>
      <c r="AY1171" s="947"/>
    </row>
    <row r="1172" spans="31:51" x14ac:dyDescent="0.25">
      <c r="AE1172" s="75"/>
      <c r="AF1172" s="82"/>
      <c r="AG1172" s="82"/>
      <c r="AH1172" s="82"/>
      <c r="AI1172" s="82"/>
      <c r="AJ1172" s="166"/>
      <c r="AK1172" s="82"/>
      <c r="AL1172" s="162"/>
      <c r="AM1172" s="162"/>
      <c r="AN1172" s="162"/>
      <c r="AO1172" s="162"/>
      <c r="AP1172" s="162"/>
      <c r="AQ1172" s="162"/>
      <c r="AR1172" s="710"/>
      <c r="AV1172" s="82"/>
      <c r="AW1172" s="947"/>
      <c r="AX1172" s="947"/>
      <c r="AY1172" s="947"/>
    </row>
    <row r="1173" spans="31:51" x14ac:dyDescent="0.25">
      <c r="AE1173" s="75"/>
      <c r="AF1173" s="82"/>
      <c r="AG1173" s="82"/>
      <c r="AH1173" s="82"/>
      <c r="AI1173" s="82"/>
      <c r="AJ1173" s="166"/>
      <c r="AK1173" s="82"/>
      <c r="AL1173" s="162"/>
      <c r="AM1173" s="162"/>
      <c r="AN1173" s="162"/>
      <c r="AO1173" s="162"/>
      <c r="AP1173" s="162"/>
      <c r="AQ1173" s="162"/>
      <c r="AR1173" s="710"/>
      <c r="AV1173" s="82"/>
      <c r="AW1173" s="947"/>
      <c r="AX1173" s="947"/>
      <c r="AY1173" s="947"/>
    </row>
    <row r="1174" spans="31:51" x14ac:dyDescent="0.25">
      <c r="AE1174" s="75"/>
      <c r="AF1174" s="82"/>
      <c r="AG1174" s="82"/>
      <c r="AH1174" s="82"/>
      <c r="AI1174" s="82"/>
      <c r="AJ1174" s="166"/>
      <c r="AK1174" s="82"/>
      <c r="AL1174" s="162"/>
      <c r="AM1174" s="162"/>
      <c r="AN1174" s="162"/>
      <c r="AO1174" s="162"/>
      <c r="AP1174" s="162"/>
      <c r="AQ1174" s="162"/>
      <c r="AR1174" s="710"/>
      <c r="AV1174" s="82"/>
      <c r="AW1174" s="947"/>
      <c r="AX1174" s="947"/>
      <c r="AY1174" s="947"/>
    </row>
    <row r="1175" spans="31:51" x14ac:dyDescent="0.25">
      <c r="AE1175" s="75"/>
      <c r="AF1175" s="82"/>
      <c r="AG1175" s="82"/>
      <c r="AH1175" s="82"/>
      <c r="AI1175" s="82"/>
      <c r="AJ1175" s="166"/>
      <c r="AK1175" s="82"/>
      <c r="AL1175" s="162"/>
      <c r="AM1175" s="162"/>
      <c r="AN1175" s="162"/>
      <c r="AO1175" s="162"/>
      <c r="AP1175" s="162"/>
      <c r="AQ1175" s="162"/>
      <c r="AR1175" s="710"/>
      <c r="AV1175" s="82"/>
      <c r="AW1175" s="947"/>
      <c r="AX1175" s="947"/>
      <c r="AY1175" s="947"/>
    </row>
    <row r="1176" spans="31:51" x14ac:dyDescent="0.25">
      <c r="AE1176" s="75"/>
      <c r="AF1176" s="82"/>
      <c r="AG1176" s="82"/>
      <c r="AH1176" s="82"/>
      <c r="AI1176" s="82"/>
      <c r="AJ1176" s="166"/>
      <c r="AK1176" s="82"/>
      <c r="AL1176" s="162"/>
      <c r="AM1176" s="162"/>
      <c r="AN1176" s="162"/>
      <c r="AO1176" s="162"/>
      <c r="AP1176" s="162"/>
      <c r="AQ1176" s="162"/>
      <c r="AR1176" s="710"/>
      <c r="AV1176" s="82"/>
      <c r="AW1176" s="947"/>
      <c r="AX1176" s="947"/>
      <c r="AY1176" s="947"/>
    </row>
    <row r="1177" spans="31:51" x14ac:dyDescent="0.25">
      <c r="AE1177" s="75"/>
      <c r="AF1177" s="82"/>
      <c r="AG1177" s="82"/>
      <c r="AH1177" s="82"/>
      <c r="AI1177" s="82"/>
      <c r="AJ1177" s="166"/>
      <c r="AK1177" s="82"/>
      <c r="AL1177" s="162"/>
      <c r="AM1177" s="162"/>
      <c r="AN1177" s="162"/>
      <c r="AO1177" s="162"/>
      <c r="AP1177" s="162"/>
      <c r="AQ1177" s="162"/>
      <c r="AR1177" s="710"/>
      <c r="AV1177" s="82"/>
      <c r="AW1177" s="947"/>
      <c r="AX1177" s="947"/>
      <c r="AY1177" s="947"/>
    </row>
    <row r="1178" spans="31:51" x14ac:dyDescent="0.25">
      <c r="AE1178" s="75"/>
      <c r="AF1178" s="82"/>
      <c r="AG1178" s="82"/>
      <c r="AH1178" s="82"/>
      <c r="AI1178" s="82"/>
      <c r="AJ1178" s="166"/>
      <c r="AK1178" s="82"/>
      <c r="AL1178" s="162"/>
      <c r="AM1178" s="162"/>
      <c r="AN1178" s="162"/>
      <c r="AO1178" s="162"/>
      <c r="AP1178" s="162"/>
      <c r="AQ1178" s="162"/>
      <c r="AR1178" s="710"/>
      <c r="AV1178" s="82"/>
      <c r="AW1178" s="947"/>
      <c r="AX1178" s="947"/>
      <c r="AY1178" s="947"/>
    </row>
    <row r="1179" spans="31:51" x14ac:dyDescent="0.25">
      <c r="AE1179" s="75"/>
      <c r="AF1179" s="82"/>
      <c r="AG1179" s="82"/>
      <c r="AH1179" s="82"/>
      <c r="AI1179" s="82"/>
      <c r="AJ1179" s="166"/>
      <c r="AK1179" s="82"/>
      <c r="AL1179" s="162"/>
      <c r="AM1179" s="162"/>
      <c r="AN1179" s="162"/>
      <c r="AO1179" s="162"/>
      <c r="AP1179" s="162"/>
      <c r="AQ1179" s="162"/>
      <c r="AR1179" s="710"/>
      <c r="AV1179" s="82"/>
      <c r="AW1179" s="947"/>
      <c r="AX1179" s="947"/>
      <c r="AY1179" s="947"/>
    </row>
    <row r="1180" spans="31:51" x14ac:dyDescent="0.25">
      <c r="AE1180" s="75"/>
      <c r="AF1180" s="82"/>
      <c r="AG1180" s="82"/>
      <c r="AH1180" s="82"/>
      <c r="AI1180" s="82"/>
      <c r="AJ1180" s="166"/>
      <c r="AK1180" s="82"/>
      <c r="AL1180" s="162"/>
      <c r="AM1180" s="162"/>
      <c r="AN1180" s="162"/>
      <c r="AO1180" s="162"/>
      <c r="AP1180" s="162"/>
      <c r="AQ1180" s="162"/>
      <c r="AR1180" s="710"/>
      <c r="AV1180" s="82"/>
      <c r="AW1180" s="947"/>
      <c r="AX1180" s="947"/>
      <c r="AY1180" s="947"/>
    </row>
    <row r="1181" spans="31:51" x14ac:dyDescent="0.25">
      <c r="AE1181" s="75"/>
      <c r="AF1181" s="82"/>
      <c r="AG1181" s="82"/>
      <c r="AH1181" s="82"/>
      <c r="AI1181" s="82"/>
      <c r="AJ1181" s="166"/>
      <c r="AK1181" s="82"/>
      <c r="AL1181" s="162"/>
      <c r="AM1181" s="162"/>
      <c r="AN1181" s="162"/>
      <c r="AO1181" s="162"/>
      <c r="AP1181" s="162"/>
      <c r="AQ1181" s="162"/>
      <c r="AR1181" s="710"/>
      <c r="AV1181" s="82"/>
      <c r="AW1181" s="947"/>
      <c r="AX1181" s="947"/>
      <c r="AY1181" s="947"/>
    </row>
    <row r="1182" spans="31:51" x14ac:dyDescent="0.25">
      <c r="AE1182" s="75"/>
      <c r="AF1182" s="82"/>
      <c r="AG1182" s="82"/>
      <c r="AH1182" s="82"/>
      <c r="AI1182" s="82"/>
      <c r="AJ1182" s="166"/>
      <c r="AK1182" s="82"/>
      <c r="AL1182" s="162"/>
      <c r="AM1182" s="162"/>
      <c r="AN1182" s="162"/>
      <c r="AO1182" s="162"/>
      <c r="AP1182" s="162"/>
      <c r="AQ1182" s="162"/>
      <c r="AR1182" s="710"/>
      <c r="AV1182" s="82"/>
      <c r="AW1182" s="947"/>
      <c r="AX1182" s="947"/>
      <c r="AY1182" s="947"/>
    </row>
    <row r="1183" spans="31:51" x14ac:dyDescent="0.25">
      <c r="AE1183" s="75"/>
      <c r="AF1183" s="82"/>
      <c r="AG1183" s="82"/>
      <c r="AH1183" s="82"/>
      <c r="AI1183" s="82"/>
      <c r="AJ1183" s="166"/>
      <c r="AK1183" s="82"/>
      <c r="AL1183" s="162"/>
      <c r="AM1183" s="162"/>
      <c r="AN1183" s="162"/>
      <c r="AO1183" s="162"/>
      <c r="AP1183" s="162"/>
      <c r="AQ1183" s="162"/>
      <c r="AR1183" s="710"/>
      <c r="AV1183" s="82"/>
      <c r="AW1183" s="947"/>
      <c r="AX1183" s="947"/>
      <c r="AY1183" s="947"/>
    </row>
    <row r="1184" spans="31:51" x14ac:dyDescent="0.25">
      <c r="AE1184" s="75"/>
      <c r="AF1184" s="82"/>
      <c r="AG1184" s="82"/>
      <c r="AH1184" s="82"/>
      <c r="AI1184" s="82"/>
      <c r="AJ1184" s="166"/>
      <c r="AK1184" s="82"/>
      <c r="AL1184" s="162"/>
      <c r="AM1184" s="162"/>
      <c r="AN1184" s="162"/>
      <c r="AO1184" s="162"/>
      <c r="AP1184" s="162"/>
      <c r="AQ1184" s="162"/>
      <c r="AR1184" s="710"/>
      <c r="AV1184" s="82"/>
      <c r="AW1184" s="947"/>
      <c r="AX1184" s="947"/>
      <c r="AY1184" s="947"/>
    </row>
    <row r="1185" spans="31:51" x14ac:dyDescent="0.25">
      <c r="AE1185" s="75"/>
      <c r="AF1185" s="82"/>
      <c r="AG1185" s="82"/>
      <c r="AH1185" s="82"/>
      <c r="AI1185" s="82"/>
      <c r="AJ1185" s="166"/>
      <c r="AK1185" s="82"/>
      <c r="AL1185" s="162"/>
      <c r="AM1185" s="162"/>
      <c r="AN1185" s="162"/>
      <c r="AO1185" s="162"/>
      <c r="AP1185" s="162"/>
      <c r="AQ1185" s="162"/>
      <c r="AR1185" s="710"/>
      <c r="AV1185" s="82"/>
      <c r="AW1185" s="947"/>
      <c r="AX1185" s="947"/>
      <c r="AY1185" s="947"/>
    </row>
    <row r="1186" spans="31:51" x14ac:dyDescent="0.25">
      <c r="AE1186" s="75"/>
      <c r="AF1186" s="82"/>
      <c r="AG1186" s="82"/>
      <c r="AH1186" s="82"/>
      <c r="AI1186" s="82"/>
      <c r="AJ1186" s="166"/>
      <c r="AK1186" s="82"/>
      <c r="AL1186" s="162"/>
      <c r="AM1186" s="162"/>
      <c r="AN1186" s="162"/>
      <c r="AO1186" s="162"/>
      <c r="AP1186" s="162"/>
      <c r="AQ1186" s="162"/>
      <c r="AR1186" s="710"/>
      <c r="AV1186" s="82"/>
      <c r="AW1186" s="947"/>
      <c r="AX1186" s="947"/>
      <c r="AY1186" s="947"/>
    </row>
    <row r="1187" spans="31:51" x14ac:dyDescent="0.25">
      <c r="AE1187" s="75"/>
      <c r="AF1187" s="82"/>
      <c r="AG1187" s="82"/>
      <c r="AH1187" s="82"/>
      <c r="AI1187" s="82"/>
      <c r="AJ1187" s="166"/>
      <c r="AK1187" s="82"/>
      <c r="AL1187" s="162"/>
      <c r="AM1187" s="162"/>
      <c r="AN1187" s="162"/>
      <c r="AO1187" s="162"/>
      <c r="AP1187" s="162"/>
      <c r="AQ1187" s="162"/>
      <c r="AR1187" s="710"/>
      <c r="AV1187" s="82"/>
      <c r="AW1187" s="947"/>
      <c r="AX1187" s="947"/>
      <c r="AY1187" s="947"/>
    </row>
    <row r="1188" spans="31:51" x14ac:dyDescent="0.25">
      <c r="AE1188" s="75"/>
      <c r="AF1188" s="82"/>
      <c r="AG1188" s="82"/>
      <c r="AH1188" s="82"/>
      <c r="AI1188" s="82"/>
      <c r="AJ1188" s="166"/>
      <c r="AK1188" s="82"/>
      <c r="AL1188" s="162"/>
      <c r="AM1188" s="162"/>
      <c r="AN1188" s="162"/>
      <c r="AO1188" s="162"/>
      <c r="AP1188" s="162"/>
      <c r="AQ1188" s="162"/>
      <c r="AR1188" s="710"/>
      <c r="AV1188" s="82"/>
      <c r="AW1188" s="947"/>
      <c r="AX1188" s="947"/>
      <c r="AY1188" s="947"/>
    </row>
    <row r="1189" spans="31:51" x14ac:dyDescent="0.25">
      <c r="AE1189" s="75"/>
      <c r="AF1189" s="82"/>
      <c r="AG1189" s="82"/>
      <c r="AH1189" s="82"/>
      <c r="AI1189" s="82"/>
      <c r="AJ1189" s="166"/>
      <c r="AK1189" s="82"/>
      <c r="AL1189" s="162"/>
      <c r="AM1189" s="162"/>
      <c r="AN1189" s="162"/>
      <c r="AO1189" s="162"/>
      <c r="AP1189" s="162"/>
      <c r="AQ1189" s="162"/>
      <c r="AR1189" s="710"/>
      <c r="AV1189" s="82"/>
      <c r="AW1189" s="947"/>
      <c r="AX1189" s="947"/>
      <c r="AY1189" s="947"/>
    </row>
    <row r="1190" spans="31:51" x14ac:dyDescent="0.25">
      <c r="AE1190" s="75"/>
      <c r="AF1190" s="82"/>
      <c r="AG1190" s="82"/>
      <c r="AH1190" s="82"/>
      <c r="AI1190" s="82"/>
      <c r="AJ1190" s="166"/>
      <c r="AK1190" s="82"/>
      <c r="AL1190" s="162"/>
      <c r="AM1190" s="162"/>
      <c r="AN1190" s="162"/>
      <c r="AO1190" s="162"/>
      <c r="AP1190" s="162"/>
      <c r="AQ1190" s="162"/>
      <c r="AR1190" s="710"/>
      <c r="AV1190" s="82"/>
      <c r="AW1190" s="947"/>
      <c r="AX1190" s="947"/>
      <c r="AY1190" s="947"/>
    </row>
    <row r="1191" spans="31:51" x14ac:dyDescent="0.25">
      <c r="AE1191" s="75"/>
      <c r="AF1191" s="82"/>
      <c r="AG1191" s="82"/>
      <c r="AH1191" s="82"/>
      <c r="AI1191" s="82"/>
      <c r="AJ1191" s="166"/>
      <c r="AK1191" s="82"/>
      <c r="AL1191" s="162"/>
      <c r="AM1191" s="162"/>
      <c r="AN1191" s="162"/>
      <c r="AO1191" s="162"/>
      <c r="AP1191" s="162"/>
      <c r="AQ1191" s="162"/>
      <c r="AR1191" s="710"/>
      <c r="AV1191" s="82"/>
      <c r="AW1191" s="947"/>
      <c r="AX1191" s="947"/>
      <c r="AY1191" s="947"/>
    </row>
    <row r="1192" spans="31:51" x14ac:dyDescent="0.25">
      <c r="AE1192" s="75"/>
      <c r="AF1192" s="82"/>
      <c r="AG1192" s="82"/>
      <c r="AH1192" s="82"/>
      <c r="AI1192" s="82"/>
      <c r="AJ1192" s="166"/>
      <c r="AK1192" s="82"/>
      <c r="AL1192" s="162"/>
      <c r="AM1192" s="162"/>
      <c r="AN1192" s="162"/>
      <c r="AO1192" s="162"/>
      <c r="AP1192" s="162"/>
      <c r="AQ1192" s="162"/>
      <c r="AR1192" s="710"/>
      <c r="AV1192" s="82"/>
      <c r="AW1192" s="947"/>
      <c r="AX1192" s="947"/>
      <c r="AY1192" s="947"/>
    </row>
    <row r="1193" spans="31:51" x14ac:dyDescent="0.25">
      <c r="AE1193" s="75"/>
      <c r="AF1193" s="82"/>
      <c r="AG1193" s="82"/>
      <c r="AH1193" s="82"/>
      <c r="AI1193" s="82"/>
      <c r="AJ1193" s="166"/>
      <c r="AK1193" s="82"/>
      <c r="AL1193" s="162"/>
      <c r="AM1193" s="162"/>
      <c r="AN1193" s="162"/>
      <c r="AO1193" s="162"/>
      <c r="AP1193" s="162"/>
      <c r="AQ1193" s="162"/>
      <c r="AR1193" s="710"/>
      <c r="AV1193" s="82"/>
      <c r="AW1193" s="947"/>
      <c r="AX1193" s="947"/>
      <c r="AY1193" s="947"/>
    </row>
    <row r="1194" spans="31:51" x14ac:dyDescent="0.25">
      <c r="AE1194" s="75"/>
      <c r="AF1194" s="82"/>
      <c r="AG1194" s="82"/>
      <c r="AH1194" s="82"/>
      <c r="AI1194" s="82"/>
      <c r="AJ1194" s="166"/>
      <c r="AK1194" s="82"/>
      <c r="AL1194" s="162"/>
      <c r="AM1194" s="162"/>
      <c r="AN1194" s="162"/>
      <c r="AO1194" s="162"/>
      <c r="AP1194" s="162"/>
      <c r="AQ1194" s="162"/>
      <c r="AR1194" s="710"/>
      <c r="AV1194" s="82"/>
      <c r="AW1194" s="947"/>
      <c r="AX1194" s="947"/>
      <c r="AY1194" s="947"/>
    </row>
    <row r="1195" spans="31:51" x14ac:dyDescent="0.25">
      <c r="AE1195" s="75"/>
      <c r="AF1195" s="82"/>
      <c r="AG1195" s="82"/>
      <c r="AH1195" s="82"/>
      <c r="AI1195" s="82"/>
      <c r="AJ1195" s="166"/>
      <c r="AK1195" s="82"/>
      <c r="AL1195" s="162"/>
      <c r="AM1195" s="162"/>
      <c r="AN1195" s="162"/>
      <c r="AO1195" s="162"/>
      <c r="AP1195" s="162"/>
      <c r="AQ1195" s="162"/>
      <c r="AR1195" s="710"/>
      <c r="AV1195" s="82"/>
      <c r="AW1195" s="947"/>
      <c r="AX1195" s="947"/>
      <c r="AY1195" s="947"/>
    </row>
    <row r="1196" spans="31:51" x14ac:dyDescent="0.25">
      <c r="AE1196" s="75"/>
      <c r="AF1196" s="82"/>
      <c r="AG1196" s="82"/>
      <c r="AH1196" s="82"/>
      <c r="AI1196" s="82"/>
      <c r="AJ1196" s="166"/>
      <c r="AK1196" s="82"/>
      <c r="AL1196" s="162"/>
      <c r="AM1196" s="162"/>
      <c r="AN1196" s="162"/>
      <c r="AO1196" s="162"/>
      <c r="AP1196" s="162"/>
      <c r="AQ1196" s="162"/>
      <c r="AR1196" s="710"/>
      <c r="AV1196" s="82"/>
      <c r="AW1196" s="947"/>
      <c r="AX1196" s="947"/>
      <c r="AY1196" s="947"/>
    </row>
    <row r="1197" spans="31:51" x14ac:dyDescent="0.25">
      <c r="AE1197" s="75"/>
      <c r="AF1197" s="82"/>
      <c r="AG1197" s="82"/>
      <c r="AH1197" s="82"/>
      <c r="AI1197" s="82"/>
      <c r="AJ1197" s="166"/>
      <c r="AK1197" s="82"/>
      <c r="AL1197" s="162"/>
      <c r="AM1197" s="162"/>
      <c r="AN1197" s="162"/>
      <c r="AO1197" s="162"/>
      <c r="AP1197" s="162"/>
      <c r="AQ1197" s="162"/>
      <c r="AR1197" s="710"/>
      <c r="AV1197" s="82"/>
      <c r="AW1197" s="947"/>
      <c r="AX1197" s="947"/>
      <c r="AY1197" s="947"/>
    </row>
    <row r="1198" spans="31:51" x14ac:dyDescent="0.25">
      <c r="AE1198" s="75"/>
      <c r="AF1198" s="82"/>
      <c r="AG1198" s="82"/>
      <c r="AH1198" s="82"/>
      <c r="AI1198" s="82"/>
      <c r="AJ1198" s="166"/>
      <c r="AK1198" s="82"/>
      <c r="AL1198" s="162"/>
      <c r="AM1198" s="162"/>
      <c r="AN1198" s="162"/>
      <c r="AO1198" s="162"/>
      <c r="AP1198" s="162"/>
      <c r="AQ1198" s="162"/>
      <c r="AR1198" s="710"/>
      <c r="AV1198" s="82"/>
      <c r="AW1198" s="947"/>
      <c r="AX1198" s="947"/>
      <c r="AY1198" s="947"/>
    </row>
    <row r="1199" spans="31:51" x14ac:dyDescent="0.25">
      <c r="AE1199" s="75"/>
      <c r="AF1199" s="82"/>
      <c r="AG1199" s="82"/>
      <c r="AH1199" s="82"/>
      <c r="AI1199" s="82"/>
      <c r="AJ1199" s="166"/>
      <c r="AK1199" s="82"/>
      <c r="AL1199" s="162"/>
      <c r="AM1199" s="162"/>
      <c r="AN1199" s="162"/>
      <c r="AO1199" s="162"/>
      <c r="AP1199" s="162"/>
      <c r="AQ1199" s="162"/>
      <c r="AR1199" s="710"/>
      <c r="AV1199" s="82"/>
      <c r="AW1199" s="947"/>
      <c r="AX1199" s="947"/>
      <c r="AY1199" s="947"/>
    </row>
    <row r="1200" spans="31:51" x14ac:dyDescent="0.25">
      <c r="AE1200" s="75"/>
      <c r="AF1200" s="82"/>
      <c r="AG1200" s="82"/>
      <c r="AH1200" s="82"/>
      <c r="AI1200" s="82"/>
      <c r="AJ1200" s="166"/>
      <c r="AK1200" s="82"/>
      <c r="AL1200" s="162"/>
      <c r="AM1200" s="162"/>
      <c r="AN1200" s="162"/>
      <c r="AO1200" s="162"/>
      <c r="AP1200" s="162"/>
      <c r="AQ1200" s="162"/>
      <c r="AR1200" s="710"/>
      <c r="AV1200" s="82"/>
      <c r="AW1200" s="947"/>
      <c r="AX1200" s="947"/>
      <c r="AY1200" s="947"/>
    </row>
    <row r="1201" spans="31:51" x14ac:dyDescent="0.25">
      <c r="AE1201" s="75"/>
      <c r="AF1201" s="82"/>
      <c r="AG1201" s="82"/>
      <c r="AH1201" s="82"/>
      <c r="AI1201" s="82"/>
      <c r="AJ1201" s="166"/>
      <c r="AK1201" s="82"/>
      <c r="AL1201" s="162"/>
      <c r="AM1201" s="162"/>
      <c r="AN1201" s="162"/>
      <c r="AO1201" s="162"/>
      <c r="AP1201" s="162"/>
      <c r="AQ1201" s="162"/>
      <c r="AR1201" s="710"/>
      <c r="AV1201" s="82"/>
      <c r="AW1201" s="947"/>
      <c r="AX1201" s="947"/>
      <c r="AY1201" s="947"/>
    </row>
    <row r="1202" spans="31:51" x14ac:dyDescent="0.25">
      <c r="AE1202" s="75"/>
      <c r="AF1202" s="82"/>
      <c r="AG1202" s="82"/>
      <c r="AH1202" s="82"/>
      <c r="AI1202" s="82"/>
      <c r="AJ1202" s="166"/>
      <c r="AK1202" s="82"/>
      <c r="AL1202" s="162"/>
      <c r="AM1202" s="162"/>
      <c r="AN1202" s="162"/>
      <c r="AO1202" s="162"/>
      <c r="AP1202" s="162"/>
      <c r="AQ1202" s="162"/>
      <c r="AR1202" s="710"/>
      <c r="AV1202" s="82"/>
      <c r="AW1202" s="947"/>
      <c r="AX1202" s="947"/>
      <c r="AY1202" s="947"/>
    </row>
    <row r="1203" spans="31:51" x14ac:dyDescent="0.25">
      <c r="AE1203" s="75"/>
      <c r="AF1203" s="82"/>
      <c r="AG1203" s="82"/>
      <c r="AH1203" s="82"/>
      <c r="AI1203" s="82"/>
      <c r="AJ1203" s="166"/>
      <c r="AK1203" s="82"/>
      <c r="AL1203" s="162"/>
      <c r="AM1203" s="162"/>
      <c r="AN1203" s="162"/>
      <c r="AO1203" s="162"/>
      <c r="AP1203" s="162"/>
      <c r="AQ1203" s="162"/>
      <c r="AR1203" s="710"/>
      <c r="AV1203" s="82"/>
      <c r="AW1203" s="947"/>
      <c r="AX1203" s="947"/>
      <c r="AY1203" s="947"/>
    </row>
    <row r="1204" spans="31:51" x14ac:dyDescent="0.25">
      <c r="AE1204" s="75"/>
      <c r="AF1204" s="82"/>
      <c r="AG1204" s="82"/>
      <c r="AH1204" s="82"/>
      <c r="AI1204" s="82"/>
      <c r="AJ1204" s="166"/>
      <c r="AK1204" s="82"/>
      <c r="AL1204" s="162"/>
      <c r="AM1204" s="162"/>
      <c r="AN1204" s="162"/>
      <c r="AO1204" s="162"/>
      <c r="AP1204" s="162"/>
      <c r="AQ1204" s="162"/>
      <c r="AR1204" s="710"/>
      <c r="AV1204" s="82"/>
      <c r="AW1204" s="947"/>
      <c r="AX1204" s="947"/>
      <c r="AY1204" s="947"/>
    </row>
    <row r="1205" spans="31:51" x14ac:dyDescent="0.25">
      <c r="AE1205" s="75"/>
      <c r="AF1205" s="82"/>
      <c r="AG1205" s="82"/>
      <c r="AH1205" s="82"/>
      <c r="AI1205" s="82"/>
      <c r="AJ1205" s="166"/>
      <c r="AK1205" s="82"/>
      <c r="AL1205" s="162"/>
      <c r="AM1205" s="162"/>
      <c r="AN1205" s="162"/>
      <c r="AO1205" s="162"/>
      <c r="AP1205" s="162"/>
      <c r="AQ1205" s="162"/>
      <c r="AR1205" s="710"/>
      <c r="AV1205" s="82"/>
      <c r="AW1205" s="947"/>
      <c r="AX1205" s="947"/>
      <c r="AY1205" s="947"/>
    </row>
    <row r="1206" spans="31:51" x14ac:dyDescent="0.25">
      <c r="AE1206" s="75"/>
      <c r="AF1206" s="82"/>
      <c r="AG1206" s="82"/>
      <c r="AH1206" s="82"/>
      <c r="AI1206" s="82"/>
      <c r="AJ1206" s="166"/>
      <c r="AK1206" s="82"/>
      <c r="AL1206" s="162"/>
      <c r="AM1206" s="162"/>
      <c r="AN1206" s="162"/>
      <c r="AO1206" s="162"/>
      <c r="AP1206" s="162"/>
      <c r="AQ1206" s="162"/>
      <c r="AR1206" s="710"/>
      <c r="AV1206" s="82"/>
      <c r="AW1206" s="947"/>
      <c r="AX1206" s="947"/>
      <c r="AY1206" s="947"/>
    </row>
    <row r="1207" spans="31:51" x14ac:dyDescent="0.25">
      <c r="AE1207" s="75"/>
      <c r="AF1207" s="82"/>
      <c r="AG1207" s="82"/>
      <c r="AH1207" s="82"/>
      <c r="AI1207" s="82"/>
      <c r="AJ1207" s="166"/>
      <c r="AK1207" s="82"/>
      <c r="AL1207" s="162"/>
      <c r="AM1207" s="162"/>
      <c r="AN1207" s="162"/>
      <c r="AO1207" s="162"/>
      <c r="AP1207" s="162"/>
      <c r="AQ1207" s="162"/>
      <c r="AR1207" s="710"/>
      <c r="AV1207" s="82"/>
      <c r="AW1207" s="947"/>
      <c r="AX1207" s="947"/>
      <c r="AY1207" s="947"/>
    </row>
    <row r="1208" spans="31:51" x14ac:dyDescent="0.25">
      <c r="AE1208" s="75"/>
      <c r="AF1208" s="82"/>
      <c r="AG1208" s="82"/>
      <c r="AH1208" s="82"/>
      <c r="AI1208" s="82"/>
      <c r="AJ1208" s="166"/>
      <c r="AK1208" s="82"/>
      <c r="AL1208" s="162"/>
      <c r="AM1208" s="162"/>
      <c r="AN1208" s="162"/>
      <c r="AO1208" s="162"/>
      <c r="AP1208" s="162"/>
      <c r="AQ1208" s="162"/>
      <c r="AR1208" s="710"/>
      <c r="AV1208" s="82"/>
      <c r="AW1208" s="947"/>
      <c r="AX1208" s="947"/>
      <c r="AY1208" s="947"/>
    </row>
    <row r="1209" spans="31:51" x14ac:dyDescent="0.25">
      <c r="AE1209" s="75"/>
      <c r="AF1209" s="82"/>
      <c r="AG1209" s="82"/>
      <c r="AH1209" s="82"/>
      <c r="AI1209" s="82"/>
      <c r="AJ1209" s="166"/>
      <c r="AK1209" s="82"/>
      <c r="AL1209" s="162"/>
      <c r="AM1209" s="162"/>
      <c r="AN1209" s="162"/>
      <c r="AO1209" s="162"/>
      <c r="AP1209" s="162"/>
      <c r="AQ1209" s="162"/>
      <c r="AR1209" s="710"/>
      <c r="AV1209" s="82"/>
      <c r="AW1209" s="947"/>
      <c r="AX1209" s="947"/>
      <c r="AY1209" s="947"/>
    </row>
    <row r="1210" spans="31:51" x14ac:dyDescent="0.25">
      <c r="AE1210" s="75"/>
      <c r="AF1210" s="82"/>
      <c r="AG1210" s="82"/>
      <c r="AH1210" s="82"/>
      <c r="AI1210" s="82"/>
      <c r="AJ1210" s="166"/>
      <c r="AK1210" s="82"/>
      <c r="AL1210" s="162"/>
      <c r="AM1210" s="162"/>
      <c r="AN1210" s="162"/>
      <c r="AO1210" s="162"/>
      <c r="AP1210" s="162"/>
      <c r="AQ1210" s="162"/>
      <c r="AR1210" s="710"/>
      <c r="AV1210" s="82"/>
      <c r="AW1210" s="947"/>
      <c r="AX1210" s="947"/>
      <c r="AY1210" s="947"/>
    </row>
    <row r="1211" spans="31:51" x14ac:dyDescent="0.25">
      <c r="AE1211" s="75"/>
      <c r="AF1211" s="82"/>
      <c r="AG1211" s="82"/>
      <c r="AH1211" s="82"/>
      <c r="AI1211" s="82"/>
      <c r="AJ1211" s="166"/>
      <c r="AK1211" s="82"/>
      <c r="AL1211" s="162"/>
      <c r="AM1211" s="162"/>
      <c r="AN1211" s="162"/>
      <c r="AO1211" s="162"/>
      <c r="AP1211" s="162"/>
      <c r="AQ1211" s="162"/>
      <c r="AR1211" s="710"/>
      <c r="AV1211" s="82"/>
      <c r="AW1211" s="947"/>
      <c r="AX1211" s="947"/>
      <c r="AY1211" s="947"/>
    </row>
    <row r="1212" spans="31:51" x14ac:dyDescent="0.25">
      <c r="AE1212" s="75"/>
      <c r="AF1212" s="82"/>
      <c r="AG1212" s="82"/>
      <c r="AH1212" s="82"/>
      <c r="AI1212" s="82"/>
      <c r="AJ1212" s="166"/>
      <c r="AK1212" s="82"/>
      <c r="AL1212" s="162"/>
      <c r="AM1212" s="162"/>
      <c r="AN1212" s="162"/>
      <c r="AO1212" s="162"/>
      <c r="AP1212" s="162"/>
      <c r="AQ1212" s="162"/>
      <c r="AR1212" s="710"/>
      <c r="AV1212" s="82"/>
      <c r="AW1212" s="947"/>
      <c r="AX1212" s="947"/>
      <c r="AY1212" s="947"/>
    </row>
    <row r="1213" spans="31:51" x14ac:dyDescent="0.25">
      <c r="AE1213" s="75"/>
      <c r="AF1213" s="82"/>
      <c r="AG1213" s="82"/>
      <c r="AH1213" s="82"/>
      <c r="AI1213" s="82"/>
      <c r="AJ1213" s="166"/>
      <c r="AK1213" s="82"/>
      <c r="AL1213" s="162"/>
      <c r="AM1213" s="162"/>
      <c r="AN1213" s="162"/>
      <c r="AO1213" s="162"/>
      <c r="AP1213" s="162"/>
      <c r="AQ1213" s="162"/>
      <c r="AR1213" s="710"/>
      <c r="AV1213" s="82"/>
      <c r="AW1213" s="947"/>
      <c r="AX1213" s="947"/>
      <c r="AY1213" s="947"/>
    </row>
    <row r="1214" spans="31:51" x14ac:dyDescent="0.25">
      <c r="AE1214" s="75"/>
      <c r="AF1214" s="82"/>
      <c r="AG1214" s="82"/>
      <c r="AH1214" s="82"/>
      <c r="AI1214" s="82"/>
      <c r="AJ1214" s="166"/>
      <c r="AK1214" s="82"/>
      <c r="AL1214" s="162"/>
      <c r="AM1214" s="162"/>
      <c r="AN1214" s="162"/>
      <c r="AO1214" s="162"/>
      <c r="AP1214" s="162"/>
      <c r="AQ1214" s="162"/>
      <c r="AR1214" s="710"/>
      <c r="AV1214" s="82"/>
      <c r="AW1214" s="947"/>
      <c r="AX1214" s="947"/>
      <c r="AY1214" s="947"/>
    </row>
    <row r="1215" spans="31:51" x14ac:dyDescent="0.25">
      <c r="AE1215" s="75"/>
      <c r="AF1215" s="82"/>
      <c r="AG1215" s="82"/>
      <c r="AH1215" s="82"/>
      <c r="AI1215" s="82"/>
      <c r="AJ1215" s="166"/>
      <c r="AK1215" s="82"/>
      <c r="AL1215" s="162"/>
      <c r="AM1215" s="162"/>
      <c r="AN1215" s="162"/>
      <c r="AO1215" s="162"/>
      <c r="AP1215" s="162"/>
      <c r="AQ1215" s="162"/>
      <c r="AR1215" s="710"/>
      <c r="AV1215" s="82"/>
      <c r="AW1215" s="947"/>
      <c r="AX1215" s="947"/>
      <c r="AY1215" s="947"/>
    </row>
    <row r="1216" spans="31:51" x14ac:dyDescent="0.25">
      <c r="AE1216" s="75"/>
      <c r="AF1216" s="82"/>
      <c r="AG1216" s="82"/>
      <c r="AH1216" s="82"/>
      <c r="AI1216" s="82"/>
      <c r="AJ1216" s="166"/>
      <c r="AK1216" s="82"/>
      <c r="AL1216" s="162"/>
      <c r="AM1216" s="162"/>
      <c r="AN1216" s="162"/>
      <c r="AO1216" s="162"/>
      <c r="AP1216" s="162"/>
      <c r="AQ1216" s="162"/>
      <c r="AR1216" s="710"/>
      <c r="AV1216" s="82"/>
      <c r="AW1216" s="947"/>
      <c r="AX1216" s="947"/>
      <c r="AY1216" s="947"/>
    </row>
    <row r="1217" spans="31:51" x14ac:dyDescent="0.25">
      <c r="AE1217" s="75"/>
      <c r="AF1217" s="82"/>
      <c r="AG1217" s="82"/>
      <c r="AH1217" s="82"/>
      <c r="AI1217" s="82"/>
      <c r="AJ1217" s="166"/>
      <c r="AK1217" s="82"/>
      <c r="AL1217" s="162"/>
      <c r="AM1217" s="162"/>
      <c r="AN1217" s="162"/>
      <c r="AO1217" s="162"/>
      <c r="AP1217" s="162"/>
      <c r="AQ1217" s="162"/>
      <c r="AR1217" s="710"/>
      <c r="AV1217" s="82"/>
      <c r="AW1217" s="947"/>
      <c r="AX1217" s="947"/>
      <c r="AY1217" s="947"/>
    </row>
    <row r="1218" spans="31:51" x14ac:dyDescent="0.25">
      <c r="AE1218" s="75"/>
      <c r="AF1218" s="82"/>
      <c r="AG1218" s="82"/>
      <c r="AH1218" s="82"/>
      <c r="AI1218" s="82"/>
      <c r="AJ1218" s="166"/>
      <c r="AK1218" s="82"/>
      <c r="AL1218" s="162"/>
      <c r="AM1218" s="162"/>
      <c r="AN1218" s="162"/>
      <c r="AO1218" s="162"/>
      <c r="AP1218" s="162"/>
      <c r="AQ1218" s="162"/>
      <c r="AR1218" s="710"/>
      <c r="AV1218" s="82"/>
      <c r="AW1218" s="947"/>
      <c r="AX1218" s="947"/>
      <c r="AY1218" s="947"/>
    </row>
    <row r="1219" spans="31:51" x14ac:dyDescent="0.25">
      <c r="AE1219" s="75"/>
      <c r="AF1219" s="82"/>
      <c r="AG1219" s="82"/>
      <c r="AH1219" s="82"/>
      <c r="AI1219" s="82"/>
      <c r="AJ1219" s="166"/>
      <c r="AK1219" s="82"/>
      <c r="AL1219" s="162"/>
      <c r="AM1219" s="162"/>
      <c r="AN1219" s="162"/>
      <c r="AO1219" s="162"/>
      <c r="AP1219" s="162"/>
      <c r="AQ1219" s="162"/>
      <c r="AR1219" s="710"/>
      <c r="AV1219" s="82"/>
      <c r="AW1219" s="947"/>
      <c r="AX1219" s="947"/>
      <c r="AY1219" s="947"/>
    </row>
    <row r="1220" spans="31:51" x14ac:dyDescent="0.25">
      <c r="AE1220" s="75"/>
      <c r="AF1220" s="82"/>
      <c r="AG1220" s="82"/>
      <c r="AH1220" s="82"/>
      <c r="AI1220" s="82"/>
      <c r="AJ1220" s="166"/>
      <c r="AK1220" s="82"/>
      <c r="AL1220" s="162"/>
      <c r="AM1220" s="162"/>
      <c r="AN1220" s="162"/>
      <c r="AO1220" s="162"/>
      <c r="AP1220" s="162"/>
      <c r="AQ1220" s="162"/>
      <c r="AR1220" s="710"/>
      <c r="AV1220" s="82"/>
      <c r="AW1220" s="947"/>
      <c r="AX1220" s="947"/>
      <c r="AY1220" s="947"/>
    </row>
    <row r="1221" spans="31:51" x14ac:dyDescent="0.25">
      <c r="AE1221" s="75"/>
      <c r="AF1221" s="82"/>
      <c r="AG1221" s="82"/>
      <c r="AH1221" s="82"/>
      <c r="AI1221" s="82"/>
      <c r="AJ1221" s="166"/>
      <c r="AK1221" s="82"/>
      <c r="AL1221" s="162"/>
      <c r="AM1221" s="162"/>
      <c r="AN1221" s="162"/>
      <c r="AO1221" s="162"/>
      <c r="AP1221" s="162"/>
      <c r="AQ1221" s="162"/>
      <c r="AR1221" s="710"/>
      <c r="AV1221" s="82"/>
      <c r="AW1221" s="947"/>
      <c r="AX1221" s="947"/>
      <c r="AY1221" s="947"/>
    </row>
    <row r="1222" spans="31:51" x14ac:dyDescent="0.25">
      <c r="AE1222" s="75"/>
      <c r="AF1222" s="82"/>
      <c r="AG1222" s="82"/>
      <c r="AH1222" s="82"/>
      <c r="AI1222" s="82"/>
      <c r="AJ1222" s="166"/>
      <c r="AK1222" s="82"/>
      <c r="AL1222" s="162"/>
      <c r="AM1222" s="162"/>
      <c r="AN1222" s="162"/>
      <c r="AO1222" s="162"/>
      <c r="AP1222" s="162"/>
      <c r="AQ1222" s="162"/>
      <c r="AR1222" s="710"/>
      <c r="AV1222" s="82"/>
      <c r="AW1222" s="947"/>
      <c r="AX1222" s="947"/>
      <c r="AY1222" s="947"/>
    </row>
    <row r="1223" spans="31:51" x14ac:dyDescent="0.25">
      <c r="AE1223" s="75"/>
      <c r="AF1223" s="82"/>
      <c r="AG1223" s="82"/>
      <c r="AH1223" s="82"/>
      <c r="AI1223" s="82"/>
      <c r="AJ1223" s="166"/>
      <c r="AK1223" s="82"/>
      <c r="AL1223" s="162"/>
      <c r="AM1223" s="162"/>
      <c r="AN1223" s="162"/>
      <c r="AO1223" s="162"/>
      <c r="AP1223" s="162"/>
      <c r="AQ1223" s="162"/>
      <c r="AR1223" s="710"/>
      <c r="AV1223" s="82"/>
      <c r="AW1223" s="947"/>
      <c r="AX1223" s="947"/>
      <c r="AY1223" s="947"/>
    </row>
    <row r="1224" spans="31:51" x14ac:dyDescent="0.25">
      <c r="AE1224" s="75"/>
      <c r="AF1224" s="82"/>
      <c r="AG1224" s="82"/>
      <c r="AH1224" s="82"/>
      <c r="AI1224" s="82"/>
      <c r="AJ1224" s="166"/>
      <c r="AK1224" s="82"/>
      <c r="AL1224" s="162"/>
      <c r="AM1224" s="162"/>
      <c r="AN1224" s="162"/>
      <c r="AO1224" s="162"/>
      <c r="AP1224" s="162"/>
      <c r="AQ1224" s="162"/>
      <c r="AR1224" s="710"/>
      <c r="AV1224" s="82"/>
      <c r="AW1224" s="947"/>
      <c r="AX1224" s="947"/>
      <c r="AY1224" s="947"/>
    </row>
    <row r="1225" spans="31:51" x14ac:dyDescent="0.25">
      <c r="AE1225" s="75"/>
      <c r="AF1225" s="82"/>
      <c r="AG1225" s="82"/>
      <c r="AH1225" s="82"/>
      <c r="AI1225" s="82"/>
      <c r="AJ1225" s="166"/>
      <c r="AK1225" s="82"/>
      <c r="AL1225" s="162"/>
      <c r="AM1225" s="162"/>
      <c r="AN1225" s="162"/>
      <c r="AO1225" s="162"/>
      <c r="AP1225" s="162"/>
      <c r="AQ1225" s="162"/>
      <c r="AR1225" s="710"/>
      <c r="AV1225" s="82"/>
      <c r="AW1225" s="947"/>
      <c r="AX1225" s="947"/>
      <c r="AY1225" s="947"/>
    </row>
    <row r="1226" spans="31:51" x14ac:dyDescent="0.25">
      <c r="AE1226" s="75"/>
      <c r="AF1226" s="82"/>
      <c r="AG1226" s="82"/>
      <c r="AH1226" s="82"/>
      <c r="AI1226" s="82"/>
      <c r="AJ1226" s="166"/>
      <c r="AK1226" s="82"/>
      <c r="AL1226" s="162"/>
      <c r="AM1226" s="162"/>
      <c r="AN1226" s="162"/>
      <c r="AO1226" s="162"/>
      <c r="AP1226" s="162"/>
      <c r="AQ1226" s="162"/>
      <c r="AR1226" s="710"/>
      <c r="AV1226" s="82"/>
      <c r="AW1226" s="947"/>
      <c r="AX1226" s="947"/>
      <c r="AY1226" s="947"/>
    </row>
    <row r="1227" spans="31:51" x14ac:dyDescent="0.25">
      <c r="AE1227" s="75"/>
      <c r="AF1227" s="82"/>
      <c r="AG1227" s="82"/>
      <c r="AH1227" s="82"/>
      <c r="AI1227" s="82"/>
      <c r="AJ1227" s="166"/>
      <c r="AK1227" s="82"/>
      <c r="AL1227" s="162"/>
      <c r="AM1227" s="162"/>
      <c r="AN1227" s="162"/>
      <c r="AO1227" s="162"/>
      <c r="AP1227" s="162"/>
      <c r="AQ1227" s="162"/>
      <c r="AR1227" s="710"/>
      <c r="AV1227" s="82"/>
      <c r="AW1227" s="947"/>
      <c r="AX1227" s="947"/>
      <c r="AY1227" s="947"/>
    </row>
    <row r="1228" spans="31:51" x14ac:dyDescent="0.25">
      <c r="AE1228" s="75"/>
      <c r="AF1228" s="82"/>
      <c r="AG1228" s="82"/>
      <c r="AH1228" s="82"/>
      <c r="AI1228" s="82"/>
      <c r="AJ1228" s="166"/>
      <c r="AK1228" s="82"/>
      <c r="AL1228" s="162"/>
      <c r="AM1228" s="162"/>
      <c r="AN1228" s="162"/>
      <c r="AO1228" s="162"/>
      <c r="AP1228" s="162"/>
      <c r="AQ1228" s="162"/>
      <c r="AR1228" s="710"/>
      <c r="AV1228" s="82"/>
      <c r="AW1228" s="947"/>
      <c r="AX1228" s="947"/>
      <c r="AY1228" s="947"/>
    </row>
    <row r="1229" spans="31:51" x14ac:dyDescent="0.25">
      <c r="AE1229" s="75"/>
      <c r="AF1229" s="82"/>
      <c r="AG1229" s="82"/>
      <c r="AH1229" s="82"/>
      <c r="AI1229" s="82"/>
      <c r="AJ1229" s="166"/>
      <c r="AK1229" s="82"/>
      <c r="AL1229" s="162"/>
      <c r="AM1229" s="162"/>
      <c r="AN1229" s="162"/>
      <c r="AO1229" s="162"/>
      <c r="AP1229" s="162"/>
      <c r="AQ1229" s="162"/>
      <c r="AR1229" s="710"/>
      <c r="AV1229" s="82"/>
      <c r="AW1229" s="947"/>
      <c r="AX1229" s="947"/>
      <c r="AY1229" s="947"/>
    </row>
    <row r="1230" spans="31:51" x14ac:dyDescent="0.25">
      <c r="AE1230" s="75"/>
      <c r="AF1230" s="82"/>
      <c r="AG1230" s="82"/>
      <c r="AH1230" s="82"/>
      <c r="AI1230" s="82"/>
      <c r="AJ1230" s="166"/>
      <c r="AK1230" s="82"/>
      <c r="AL1230" s="162"/>
      <c r="AM1230" s="162"/>
      <c r="AN1230" s="162"/>
      <c r="AO1230" s="162"/>
      <c r="AP1230" s="162"/>
      <c r="AQ1230" s="162"/>
      <c r="AR1230" s="710"/>
      <c r="AV1230" s="82"/>
      <c r="AW1230" s="947"/>
      <c r="AX1230" s="947"/>
      <c r="AY1230" s="947"/>
    </row>
    <row r="1231" spans="31:51" x14ac:dyDescent="0.25">
      <c r="AE1231" s="75"/>
      <c r="AF1231" s="82"/>
      <c r="AG1231" s="82"/>
      <c r="AH1231" s="82"/>
      <c r="AI1231" s="82"/>
      <c r="AJ1231" s="166"/>
      <c r="AK1231" s="82"/>
      <c r="AL1231" s="162"/>
      <c r="AM1231" s="162"/>
      <c r="AN1231" s="162"/>
      <c r="AO1231" s="162"/>
      <c r="AP1231" s="162"/>
      <c r="AQ1231" s="162"/>
      <c r="AR1231" s="710"/>
      <c r="AV1231" s="82"/>
      <c r="AW1231" s="947"/>
      <c r="AX1231" s="947"/>
      <c r="AY1231" s="947"/>
    </row>
    <row r="1232" spans="31:51" x14ac:dyDescent="0.25">
      <c r="AE1232" s="75"/>
      <c r="AF1232" s="82"/>
      <c r="AG1232" s="82"/>
      <c r="AH1232" s="82"/>
      <c r="AI1232" s="82"/>
      <c r="AJ1232" s="166"/>
      <c r="AK1232" s="82"/>
      <c r="AL1232" s="162"/>
      <c r="AM1232" s="162"/>
      <c r="AN1232" s="162"/>
      <c r="AO1232" s="162"/>
      <c r="AP1232" s="162"/>
      <c r="AQ1232" s="162"/>
      <c r="AR1232" s="710"/>
      <c r="AV1232" s="82"/>
      <c r="AW1232" s="947"/>
      <c r="AX1232" s="947"/>
      <c r="AY1232" s="947"/>
    </row>
    <row r="1233" spans="31:51" x14ac:dyDescent="0.25">
      <c r="AE1233" s="75"/>
      <c r="AF1233" s="82"/>
      <c r="AG1233" s="82"/>
      <c r="AH1233" s="82"/>
      <c r="AI1233" s="82"/>
      <c r="AJ1233" s="166"/>
      <c r="AK1233" s="82"/>
      <c r="AL1233" s="162"/>
      <c r="AM1233" s="162"/>
      <c r="AN1233" s="162"/>
      <c r="AO1233" s="162"/>
      <c r="AP1233" s="162"/>
      <c r="AQ1233" s="162"/>
      <c r="AR1233" s="710"/>
      <c r="AV1233" s="82"/>
      <c r="AW1233" s="947"/>
      <c r="AX1233" s="947"/>
      <c r="AY1233" s="947"/>
    </row>
    <row r="1234" spans="31:51" x14ac:dyDescent="0.25">
      <c r="AE1234" s="75"/>
      <c r="AF1234" s="82"/>
      <c r="AG1234" s="82"/>
      <c r="AH1234" s="82"/>
      <c r="AI1234" s="82"/>
      <c r="AJ1234" s="166"/>
      <c r="AK1234" s="82"/>
      <c r="AL1234" s="162"/>
      <c r="AM1234" s="162"/>
      <c r="AN1234" s="162"/>
      <c r="AO1234" s="162"/>
      <c r="AP1234" s="162"/>
      <c r="AQ1234" s="162"/>
      <c r="AR1234" s="710"/>
      <c r="AV1234" s="82"/>
      <c r="AW1234" s="947"/>
      <c r="AX1234" s="947"/>
      <c r="AY1234" s="947"/>
    </row>
    <row r="1235" spans="31:51" x14ac:dyDescent="0.25">
      <c r="AE1235" s="75"/>
      <c r="AF1235" s="82"/>
      <c r="AG1235" s="82"/>
      <c r="AH1235" s="82"/>
      <c r="AI1235" s="82"/>
      <c r="AJ1235" s="166"/>
      <c r="AK1235" s="82"/>
      <c r="AL1235" s="162"/>
      <c r="AM1235" s="162"/>
      <c r="AN1235" s="162"/>
      <c r="AO1235" s="162"/>
      <c r="AP1235" s="162"/>
      <c r="AQ1235" s="162"/>
      <c r="AR1235" s="710"/>
      <c r="AV1235" s="82"/>
      <c r="AW1235" s="947"/>
      <c r="AX1235" s="947"/>
      <c r="AY1235" s="947"/>
    </row>
    <row r="1236" spans="31:51" x14ac:dyDescent="0.25">
      <c r="AE1236" s="75"/>
      <c r="AF1236" s="82"/>
      <c r="AG1236" s="82"/>
      <c r="AH1236" s="82"/>
      <c r="AI1236" s="82"/>
      <c r="AJ1236" s="166"/>
      <c r="AK1236" s="82"/>
      <c r="AL1236" s="162"/>
      <c r="AM1236" s="162"/>
      <c r="AN1236" s="162"/>
      <c r="AO1236" s="162"/>
      <c r="AP1236" s="162"/>
      <c r="AQ1236" s="162"/>
      <c r="AR1236" s="710"/>
      <c r="AV1236" s="82"/>
      <c r="AW1236" s="947"/>
      <c r="AX1236" s="947"/>
      <c r="AY1236" s="947"/>
    </row>
    <row r="1237" spans="31:51" x14ac:dyDescent="0.25">
      <c r="AE1237" s="75"/>
      <c r="AF1237" s="82"/>
      <c r="AG1237" s="82"/>
      <c r="AH1237" s="82"/>
      <c r="AI1237" s="82"/>
      <c r="AJ1237" s="166"/>
      <c r="AK1237" s="82"/>
      <c r="AL1237" s="162"/>
      <c r="AM1237" s="162"/>
      <c r="AN1237" s="162"/>
      <c r="AO1237" s="162"/>
      <c r="AP1237" s="162"/>
      <c r="AQ1237" s="162"/>
      <c r="AR1237" s="710"/>
      <c r="AV1237" s="82"/>
      <c r="AW1237" s="947"/>
      <c r="AX1237" s="947"/>
      <c r="AY1237" s="947"/>
    </row>
    <row r="1238" spans="31:51" x14ac:dyDescent="0.25">
      <c r="AE1238" s="75"/>
      <c r="AF1238" s="82"/>
      <c r="AG1238" s="82"/>
      <c r="AH1238" s="82"/>
      <c r="AI1238" s="82"/>
      <c r="AJ1238" s="166"/>
      <c r="AK1238" s="82"/>
      <c r="AL1238" s="162"/>
      <c r="AM1238" s="162"/>
      <c r="AN1238" s="162"/>
      <c r="AO1238" s="162"/>
      <c r="AP1238" s="162"/>
      <c r="AQ1238" s="162"/>
      <c r="AR1238" s="710"/>
      <c r="AV1238" s="82"/>
      <c r="AW1238" s="947"/>
      <c r="AX1238" s="947"/>
      <c r="AY1238" s="947"/>
    </row>
    <row r="1239" spans="31:51" x14ac:dyDescent="0.25">
      <c r="AE1239" s="75"/>
      <c r="AF1239" s="82"/>
      <c r="AG1239" s="82"/>
      <c r="AH1239" s="82"/>
      <c r="AI1239" s="82"/>
      <c r="AJ1239" s="166"/>
      <c r="AK1239" s="82"/>
      <c r="AL1239" s="162"/>
      <c r="AM1239" s="162"/>
      <c r="AN1239" s="162"/>
      <c r="AO1239" s="162"/>
      <c r="AP1239" s="162"/>
      <c r="AQ1239" s="162"/>
      <c r="AR1239" s="710"/>
      <c r="AV1239" s="82"/>
      <c r="AW1239" s="947"/>
      <c r="AX1239" s="947"/>
      <c r="AY1239" s="947"/>
    </row>
    <row r="1240" spans="31:51" x14ac:dyDescent="0.25">
      <c r="AE1240" s="75"/>
      <c r="AF1240" s="82"/>
      <c r="AG1240" s="82"/>
      <c r="AH1240" s="82"/>
      <c r="AI1240" s="82"/>
      <c r="AJ1240" s="166"/>
      <c r="AK1240" s="82"/>
      <c r="AL1240" s="162"/>
      <c r="AM1240" s="162"/>
      <c r="AN1240" s="162"/>
      <c r="AO1240" s="162"/>
      <c r="AP1240" s="162"/>
      <c r="AQ1240" s="162"/>
      <c r="AR1240" s="710"/>
      <c r="AV1240" s="82"/>
      <c r="AW1240" s="947"/>
      <c r="AX1240" s="947"/>
      <c r="AY1240" s="947"/>
    </row>
    <row r="1241" spans="31:51" x14ac:dyDescent="0.25">
      <c r="AE1241" s="75"/>
      <c r="AF1241" s="82"/>
      <c r="AG1241" s="82"/>
      <c r="AH1241" s="82"/>
      <c r="AI1241" s="82"/>
      <c r="AJ1241" s="166"/>
      <c r="AK1241" s="82"/>
      <c r="AL1241" s="162"/>
      <c r="AM1241" s="162"/>
      <c r="AN1241" s="162"/>
      <c r="AO1241" s="162"/>
      <c r="AP1241" s="162"/>
      <c r="AQ1241" s="162"/>
      <c r="AR1241" s="710"/>
      <c r="AV1241" s="82"/>
      <c r="AW1241" s="947"/>
      <c r="AX1241" s="947"/>
      <c r="AY1241" s="947"/>
    </row>
    <row r="1242" spans="31:51" x14ac:dyDescent="0.25">
      <c r="AE1242" s="75"/>
      <c r="AF1242" s="82"/>
      <c r="AG1242" s="82"/>
      <c r="AH1242" s="82"/>
      <c r="AI1242" s="82"/>
      <c r="AJ1242" s="166"/>
      <c r="AK1242" s="82"/>
      <c r="AL1242" s="162"/>
      <c r="AM1242" s="162"/>
      <c r="AN1242" s="162"/>
      <c r="AO1242" s="162"/>
      <c r="AP1242" s="162"/>
      <c r="AQ1242" s="162"/>
      <c r="AR1242" s="710"/>
      <c r="AV1242" s="82"/>
      <c r="AW1242" s="947"/>
      <c r="AX1242" s="947"/>
      <c r="AY1242" s="947"/>
    </row>
    <row r="1243" spans="31:51" x14ac:dyDescent="0.25">
      <c r="AE1243" s="75"/>
      <c r="AF1243" s="82"/>
      <c r="AG1243" s="82"/>
      <c r="AH1243" s="82"/>
      <c r="AI1243" s="82"/>
      <c r="AJ1243" s="166"/>
      <c r="AK1243" s="82"/>
      <c r="AL1243" s="162"/>
      <c r="AM1243" s="162"/>
      <c r="AN1243" s="162"/>
      <c r="AO1243" s="162"/>
      <c r="AP1243" s="162"/>
      <c r="AQ1243" s="162"/>
      <c r="AR1243" s="710"/>
      <c r="AV1243" s="82"/>
      <c r="AW1243" s="947"/>
      <c r="AX1243" s="947"/>
      <c r="AY1243" s="947"/>
    </row>
    <row r="1244" spans="31:51" x14ac:dyDescent="0.25">
      <c r="AE1244" s="75"/>
      <c r="AF1244" s="82"/>
      <c r="AG1244" s="82"/>
      <c r="AH1244" s="82"/>
      <c r="AI1244" s="82"/>
      <c r="AJ1244" s="166"/>
      <c r="AK1244" s="82"/>
      <c r="AL1244" s="162"/>
      <c r="AM1244" s="162"/>
      <c r="AN1244" s="162"/>
      <c r="AO1244" s="162"/>
      <c r="AP1244" s="162"/>
      <c r="AQ1244" s="162"/>
      <c r="AR1244" s="710"/>
      <c r="AV1244" s="82"/>
      <c r="AW1244" s="947"/>
      <c r="AX1244" s="947"/>
      <c r="AY1244" s="947"/>
    </row>
    <row r="1245" spans="31:51" x14ac:dyDescent="0.25">
      <c r="AE1245" s="75"/>
      <c r="AF1245" s="82"/>
      <c r="AG1245" s="82"/>
      <c r="AH1245" s="82"/>
      <c r="AI1245" s="82"/>
      <c r="AJ1245" s="166"/>
      <c r="AK1245" s="82"/>
      <c r="AL1245" s="162"/>
      <c r="AM1245" s="162"/>
      <c r="AN1245" s="162"/>
      <c r="AO1245" s="162"/>
      <c r="AP1245" s="162"/>
      <c r="AQ1245" s="162"/>
      <c r="AR1245" s="710"/>
      <c r="AV1245" s="82"/>
      <c r="AW1245" s="947"/>
      <c r="AX1245" s="947"/>
      <c r="AY1245" s="947"/>
    </row>
    <row r="1246" spans="31:51" x14ac:dyDescent="0.25">
      <c r="AE1246" s="75"/>
      <c r="AF1246" s="82"/>
      <c r="AG1246" s="82"/>
      <c r="AH1246" s="82"/>
      <c r="AI1246" s="82"/>
      <c r="AJ1246" s="166"/>
      <c r="AK1246" s="82"/>
      <c r="AL1246" s="162"/>
      <c r="AM1246" s="162"/>
      <c r="AN1246" s="162"/>
      <c r="AO1246" s="162"/>
      <c r="AP1246" s="162"/>
      <c r="AQ1246" s="162"/>
      <c r="AR1246" s="710"/>
      <c r="AV1246" s="82"/>
      <c r="AW1246" s="947"/>
      <c r="AX1246" s="947"/>
      <c r="AY1246" s="947"/>
    </row>
    <row r="1247" spans="31:51" x14ac:dyDescent="0.25">
      <c r="AE1247" s="75"/>
      <c r="AF1247" s="82"/>
      <c r="AG1247" s="82"/>
      <c r="AH1247" s="82"/>
      <c r="AI1247" s="82"/>
      <c r="AJ1247" s="166"/>
      <c r="AK1247" s="82"/>
      <c r="AL1247" s="162"/>
      <c r="AM1247" s="162"/>
      <c r="AN1247" s="162"/>
      <c r="AO1247" s="162"/>
      <c r="AP1247" s="162"/>
      <c r="AQ1247" s="162"/>
      <c r="AR1247" s="710"/>
      <c r="AV1247" s="82"/>
      <c r="AW1247" s="947"/>
      <c r="AX1247" s="947"/>
      <c r="AY1247" s="947"/>
    </row>
    <row r="1248" spans="31:51" x14ac:dyDescent="0.25">
      <c r="AE1248" s="75"/>
      <c r="AF1248" s="82"/>
      <c r="AG1248" s="82"/>
      <c r="AH1248" s="82"/>
      <c r="AI1248" s="82"/>
      <c r="AJ1248" s="166"/>
      <c r="AK1248" s="82"/>
      <c r="AL1248" s="162"/>
      <c r="AM1248" s="162"/>
      <c r="AN1248" s="162"/>
      <c r="AO1248" s="162"/>
      <c r="AP1248" s="162"/>
      <c r="AQ1248" s="162"/>
      <c r="AR1248" s="710"/>
      <c r="AV1248" s="82"/>
      <c r="AW1248" s="947"/>
      <c r="AX1248" s="947"/>
      <c r="AY1248" s="947"/>
    </row>
    <row r="1249" spans="31:51" x14ac:dyDescent="0.25">
      <c r="AE1249" s="75"/>
      <c r="AF1249" s="82"/>
      <c r="AG1249" s="82"/>
      <c r="AH1249" s="82"/>
      <c r="AI1249" s="82"/>
      <c r="AJ1249" s="166"/>
      <c r="AK1249" s="82"/>
      <c r="AL1249" s="162"/>
      <c r="AM1249" s="162"/>
      <c r="AN1249" s="162"/>
      <c r="AO1249" s="162"/>
      <c r="AP1249" s="162"/>
      <c r="AQ1249" s="162"/>
      <c r="AR1249" s="710"/>
      <c r="AV1249" s="82"/>
      <c r="AW1249" s="947"/>
      <c r="AX1249" s="947"/>
      <c r="AY1249" s="947"/>
    </row>
    <row r="1250" spans="31:51" x14ac:dyDescent="0.25">
      <c r="AE1250" s="75"/>
      <c r="AF1250" s="82"/>
      <c r="AG1250" s="82"/>
      <c r="AH1250" s="82"/>
      <c r="AI1250" s="82"/>
      <c r="AJ1250" s="166"/>
      <c r="AK1250" s="82"/>
      <c r="AL1250" s="162"/>
      <c r="AM1250" s="162"/>
      <c r="AN1250" s="162"/>
      <c r="AO1250" s="162"/>
      <c r="AP1250" s="162"/>
      <c r="AQ1250" s="162"/>
      <c r="AR1250" s="710"/>
      <c r="AV1250" s="82"/>
      <c r="AW1250" s="947"/>
      <c r="AX1250" s="947"/>
      <c r="AY1250" s="947"/>
    </row>
    <row r="1251" spans="31:51" x14ac:dyDescent="0.25">
      <c r="AE1251" s="75"/>
      <c r="AF1251" s="82"/>
      <c r="AG1251" s="82"/>
      <c r="AH1251" s="82"/>
      <c r="AI1251" s="82"/>
      <c r="AJ1251" s="166"/>
      <c r="AK1251" s="82"/>
      <c r="AL1251" s="162"/>
      <c r="AM1251" s="162"/>
      <c r="AN1251" s="162"/>
      <c r="AO1251" s="162"/>
      <c r="AP1251" s="162"/>
      <c r="AQ1251" s="162"/>
      <c r="AR1251" s="710"/>
      <c r="AV1251" s="82"/>
      <c r="AW1251" s="947"/>
      <c r="AX1251" s="947"/>
      <c r="AY1251" s="947"/>
    </row>
    <row r="1252" spans="31:51" x14ac:dyDescent="0.25">
      <c r="AE1252" s="75"/>
      <c r="AF1252" s="82"/>
      <c r="AG1252" s="82"/>
      <c r="AH1252" s="82"/>
      <c r="AI1252" s="82"/>
      <c r="AJ1252" s="166"/>
      <c r="AK1252" s="82"/>
      <c r="AL1252" s="162"/>
      <c r="AM1252" s="162"/>
      <c r="AN1252" s="162"/>
      <c r="AO1252" s="162"/>
      <c r="AP1252" s="162"/>
      <c r="AQ1252" s="162"/>
      <c r="AR1252" s="710"/>
      <c r="AV1252" s="82"/>
      <c r="AW1252" s="947"/>
      <c r="AX1252" s="947"/>
      <c r="AY1252" s="947"/>
    </row>
    <row r="1253" spans="31:51" x14ac:dyDescent="0.25">
      <c r="AE1253" s="75"/>
      <c r="AF1253" s="82"/>
      <c r="AG1253" s="82"/>
      <c r="AH1253" s="82"/>
      <c r="AI1253" s="82"/>
      <c r="AJ1253" s="166"/>
      <c r="AK1253" s="82"/>
      <c r="AL1253" s="162"/>
      <c r="AM1253" s="162"/>
      <c r="AN1253" s="162"/>
      <c r="AO1253" s="162"/>
      <c r="AP1253" s="162"/>
      <c r="AQ1253" s="162"/>
      <c r="AR1253" s="710"/>
      <c r="AV1253" s="82"/>
      <c r="AW1253" s="947"/>
      <c r="AX1253" s="947"/>
      <c r="AY1253" s="947"/>
    </row>
    <row r="1254" spans="31:51" x14ac:dyDescent="0.25">
      <c r="AE1254" s="75"/>
      <c r="AF1254" s="82"/>
      <c r="AG1254" s="82"/>
      <c r="AH1254" s="82"/>
      <c r="AI1254" s="82"/>
      <c r="AJ1254" s="166"/>
      <c r="AK1254" s="82"/>
      <c r="AL1254" s="162"/>
      <c r="AM1254" s="162"/>
      <c r="AN1254" s="162"/>
      <c r="AO1254" s="162"/>
      <c r="AP1254" s="162"/>
      <c r="AQ1254" s="162"/>
      <c r="AR1254" s="710"/>
      <c r="AV1254" s="82"/>
      <c r="AW1254" s="947"/>
      <c r="AX1254" s="947"/>
      <c r="AY1254" s="947"/>
    </row>
    <row r="1255" spans="31:51" x14ac:dyDescent="0.25">
      <c r="AE1255" s="75"/>
      <c r="AF1255" s="82"/>
      <c r="AG1255" s="82"/>
      <c r="AH1255" s="82"/>
      <c r="AI1255" s="82"/>
      <c r="AJ1255" s="166"/>
      <c r="AK1255" s="82"/>
      <c r="AL1255" s="162"/>
      <c r="AM1255" s="162"/>
      <c r="AN1255" s="162"/>
      <c r="AO1255" s="162"/>
      <c r="AP1255" s="162"/>
      <c r="AQ1255" s="162"/>
      <c r="AR1255" s="710"/>
      <c r="AV1255" s="82"/>
      <c r="AW1255" s="947"/>
      <c r="AX1255" s="947"/>
      <c r="AY1255" s="947"/>
    </row>
    <row r="1256" spans="31:51" x14ac:dyDescent="0.25">
      <c r="AE1256" s="75"/>
      <c r="AF1256" s="82"/>
      <c r="AG1256" s="82"/>
      <c r="AH1256" s="82"/>
      <c r="AI1256" s="82"/>
      <c r="AJ1256" s="166"/>
      <c r="AK1256" s="82"/>
      <c r="AL1256" s="162"/>
      <c r="AM1256" s="162"/>
      <c r="AN1256" s="162"/>
      <c r="AO1256" s="162"/>
      <c r="AP1256" s="162"/>
      <c r="AQ1256" s="162"/>
      <c r="AR1256" s="710"/>
      <c r="AV1256" s="82"/>
      <c r="AW1256" s="947"/>
      <c r="AX1256" s="947"/>
      <c r="AY1256" s="947"/>
    </row>
    <row r="1257" spans="31:51" x14ac:dyDescent="0.25">
      <c r="AE1257" s="75"/>
      <c r="AF1257" s="82"/>
      <c r="AG1257" s="82"/>
      <c r="AH1257" s="82"/>
      <c r="AI1257" s="82"/>
      <c r="AJ1257" s="166"/>
      <c r="AK1257" s="82"/>
      <c r="AL1257" s="162"/>
      <c r="AM1257" s="162"/>
      <c r="AN1257" s="162"/>
      <c r="AO1257" s="162"/>
      <c r="AP1257" s="162"/>
      <c r="AQ1257" s="162"/>
      <c r="AR1257" s="710"/>
      <c r="AV1257" s="82"/>
      <c r="AW1257" s="947"/>
      <c r="AX1257" s="947"/>
      <c r="AY1257" s="947"/>
    </row>
    <row r="1258" spans="31:51" x14ac:dyDescent="0.25">
      <c r="AE1258" s="75"/>
      <c r="AF1258" s="82"/>
      <c r="AG1258" s="82"/>
      <c r="AH1258" s="82"/>
      <c r="AI1258" s="82"/>
      <c r="AJ1258" s="166"/>
      <c r="AK1258" s="82"/>
      <c r="AL1258" s="162"/>
      <c r="AM1258" s="162"/>
      <c r="AN1258" s="162"/>
      <c r="AO1258" s="162"/>
      <c r="AP1258" s="162"/>
      <c r="AQ1258" s="162"/>
      <c r="AR1258" s="710"/>
      <c r="AV1258" s="82"/>
      <c r="AW1258" s="947"/>
      <c r="AX1258" s="947"/>
      <c r="AY1258" s="947"/>
    </row>
    <row r="1259" spans="31:51" x14ac:dyDescent="0.25">
      <c r="AE1259" s="75"/>
      <c r="AF1259" s="82"/>
      <c r="AG1259" s="82"/>
      <c r="AH1259" s="82"/>
      <c r="AI1259" s="82"/>
      <c r="AJ1259" s="166"/>
      <c r="AK1259" s="82"/>
      <c r="AL1259" s="162"/>
      <c r="AM1259" s="162"/>
      <c r="AN1259" s="162"/>
      <c r="AO1259" s="162"/>
      <c r="AP1259" s="162"/>
      <c r="AQ1259" s="162"/>
      <c r="AR1259" s="710"/>
      <c r="AV1259" s="82"/>
      <c r="AW1259" s="947"/>
      <c r="AX1259" s="947"/>
      <c r="AY1259" s="947"/>
    </row>
    <row r="1260" spans="31:51" x14ac:dyDescent="0.25">
      <c r="AE1260" s="75"/>
      <c r="AF1260" s="82"/>
      <c r="AG1260" s="82"/>
      <c r="AH1260" s="82"/>
      <c r="AI1260" s="82"/>
      <c r="AJ1260" s="166"/>
      <c r="AK1260" s="82"/>
      <c r="AL1260" s="162"/>
      <c r="AM1260" s="162"/>
      <c r="AN1260" s="162"/>
      <c r="AO1260" s="162"/>
      <c r="AP1260" s="162"/>
      <c r="AQ1260" s="162"/>
      <c r="AR1260" s="710"/>
      <c r="AV1260" s="82"/>
      <c r="AW1260" s="947"/>
      <c r="AX1260" s="947"/>
      <c r="AY1260" s="947"/>
    </row>
    <row r="1261" spans="31:51" x14ac:dyDescent="0.25">
      <c r="AE1261" s="75"/>
      <c r="AF1261" s="82"/>
      <c r="AG1261" s="82"/>
      <c r="AH1261" s="82"/>
      <c r="AI1261" s="82"/>
      <c r="AJ1261" s="166"/>
      <c r="AK1261" s="82"/>
      <c r="AL1261" s="162"/>
      <c r="AM1261" s="162"/>
      <c r="AN1261" s="162"/>
      <c r="AO1261" s="162"/>
      <c r="AP1261" s="162"/>
      <c r="AQ1261" s="162"/>
      <c r="AR1261" s="710"/>
      <c r="AV1261" s="82"/>
      <c r="AW1261" s="947"/>
      <c r="AX1261" s="947"/>
      <c r="AY1261" s="947"/>
    </row>
    <row r="1262" spans="31:51" x14ac:dyDescent="0.25">
      <c r="AE1262" s="75"/>
      <c r="AF1262" s="82"/>
      <c r="AG1262" s="82"/>
      <c r="AH1262" s="82"/>
      <c r="AI1262" s="82"/>
      <c r="AJ1262" s="166"/>
      <c r="AK1262" s="82"/>
      <c r="AL1262" s="162"/>
      <c r="AM1262" s="162"/>
      <c r="AN1262" s="162"/>
      <c r="AO1262" s="162"/>
      <c r="AP1262" s="162"/>
      <c r="AQ1262" s="162"/>
      <c r="AR1262" s="710"/>
      <c r="AV1262" s="82"/>
      <c r="AW1262" s="947"/>
      <c r="AX1262" s="947"/>
      <c r="AY1262" s="947"/>
    </row>
    <row r="1263" spans="31:51" x14ac:dyDescent="0.25">
      <c r="AE1263" s="75"/>
      <c r="AF1263" s="82"/>
      <c r="AG1263" s="82"/>
      <c r="AH1263" s="82"/>
      <c r="AI1263" s="82"/>
      <c r="AJ1263" s="166"/>
      <c r="AK1263" s="82"/>
      <c r="AL1263" s="162"/>
      <c r="AM1263" s="162"/>
      <c r="AN1263" s="162"/>
      <c r="AO1263" s="162"/>
      <c r="AP1263" s="162"/>
      <c r="AQ1263" s="162"/>
      <c r="AR1263" s="710"/>
      <c r="AV1263" s="82"/>
      <c r="AW1263" s="947"/>
      <c r="AX1263" s="947"/>
      <c r="AY1263" s="947"/>
    </row>
    <row r="1264" spans="31:51" x14ac:dyDescent="0.25">
      <c r="AE1264" s="75"/>
      <c r="AF1264" s="82"/>
      <c r="AG1264" s="82"/>
      <c r="AH1264" s="82"/>
      <c r="AI1264" s="82"/>
      <c r="AJ1264" s="166"/>
      <c r="AK1264" s="82"/>
      <c r="AL1264" s="162"/>
      <c r="AM1264" s="162"/>
      <c r="AN1264" s="162"/>
      <c r="AO1264" s="162"/>
      <c r="AP1264" s="162"/>
      <c r="AQ1264" s="162"/>
      <c r="AR1264" s="710"/>
      <c r="AV1264" s="82"/>
      <c r="AW1264" s="947"/>
      <c r="AX1264" s="947"/>
      <c r="AY1264" s="947"/>
    </row>
    <row r="1265" spans="31:51" x14ac:dyDescent="0.25">
      <c r="AE1265" s="75"/>
      <c r="AF1265" s="82"/>
      <c r="AG1265" s="82"/>
      <c r="AH1265" s="82"/>
      <c r="AI1265" s="82"/>
      <c r="AJ1265" s="166"/>
      <c r="AK1265" s="82"/>
      <c r="AL1265" s="162"/>
      <c r="AM1265" s="162"/>
      <c r="AN1265" s="162"/>
      <c r="AO1265" s="162"/>
      <c r="AP1265" s="162"/>
      <c r="AQ1265" s="162"/>
      <c r="AR1265" s="710"/>
      <c r="AV1265" s="82"/>
      <c r="AW1265" s="947"/>
      <c r="AX1265" s="947"/>
      <c r="AY1265" s="947"/>
    </row>
    <row r="1266" spans="31:51" x14ac:dyDescent="0.25">
      <c r="AE1266" s="75"/>
      <c r="AF1266" s="82"/>
      <c r="AG1266" s="82"/>
      <c r="AH1266" s="82"/>
      <c r="AI1266" s="82"/>
      <c r="AJ1266" s="166"/>
      <c r="AK1266" s="82"/>
      <c r="AL1266" s="162"/>
      <c r="AM1266" s="162"/>
      <c r="AN1266" s="162"/>
      <c r="AO1266" s="162"/>
      <c r="AP1266" s="162"/>
      <c r="AQ1266" s="162"/>
      <c r="AR1266" s="710"/>
      <c r="AV1266" s="82"/>
      <c r="AW1266" s="947"/>
      <c r="AX1266" s="947"/>
      <c r="AY1266" s="947"/>
    </row>
    <row r="1267" spans="31:51" x14ac:dyDescent="0.25">
      <c r="AE1267" s="75"/>
      <c r="AF1267" s="82"/>
      <c r="AG1267" s="82"/>
      <c r="AH1267" s="82"/>
      <c r="AI1267" s="82"/>
      <c r="AJ1267" s="166"/>
      <c r="AK1267" s="82"/>
      <c r="AL1267" s="162"/>
      <c r="AM1267" s="162"/>
      <c r="AN1267" s="162"/>
      <c r="AO1267" s="162"/>
      <c r="AP1267" s="162"/>
      <c r="AQ1267" s="162"/>
      <c r="AR1267" s="710"/>
      <c r="AV1267" s="82"/>
      <c r="AW1267" s="947"/>
      <c r="AX1267" s="947"/>
      <c r="AY1267" s="947"/>
    </row>
    <row r="1268" spans="31:51" x14ac:dyDescent="0.25">
      <c r="AE1268" s="75"/>
      <c r="AF1268" s="82"/>
      <c r="AG1268" s="82"/>
      <c r="AH1268" s="82"/>
      <c r="AI1268" s="82"/>
      <c r="AJ1268" s="166"/>
      <c r="AK1268" s="82"/>
      <c r="AL1268" s="162"/>
      <c r="AM1268" s="162"/>
      <c r="AN1268" s="162"/>
      <c r="AO1268" s="162"/>
      <c r="AP1268" s="162"/>
      <c r="AQ1268" s="162"/>
      <c r="AR1268" s="710"/>
      <c r="AV1268" s="82"/>
      <c r="AW1268" s="947"/>
      <c r="AX1268" s="947"/>
      <c r="AY1268" s="947"/>
    </row>
    <row r="1269" spans="31:51" x14ac:dyDescent="0.25">
      <c r="AE1269" s="75"/>
      <c r="AF1269" s="82"/>
      <c r="AG1269" s="82"/>
      <c r="AH1269" s="82"/>
      <c r="AI1269" s="82"/>
      <c r="AJ1269" s="166"/>
      <c r="AK1269" s="82"/>
      <c r="AL1269" s="162"/>
      <c r="AM1269" s="162"/>
      <c r="AN1269" s="162"/>
      <c r="AO1269" s="162"/>
      <c r="AP1269" s="162"/>
      <c r="AQ1269" s="162"/>
      <c r="AR1269" s="710"/>
      <c r="AV1269" s="82"/>
      <c r="AW1269" s="947"/>
      <c r="AX1269" s="947"/>
      <c r="AY1269" s="947"/>
    </row>
    <row r="1270" spans="31:51" x14ac:dyDescent="0.25">
      <c r="AE1270" s="75"/>
      <c r="AF1270" s="82"/>
      <c r="AG1270" s="82"/>
      <c r="AH1270" s="82"/>
      <c r="AI1270" s="82"/>
      <c r="AJ1270" s="166"/>
      <c r="AK1270" s="82"/>
      <c r="AL1270" s="162"/>
      <c r="AM1270" s="162"/>
      <c r="AN1270" s="162"/>
      <c r="AO1270" s="162"/>
      <c r="AP1270" s="162"/>
      <c r="AQ1270" s="162"/>
      <c r="AR1270" s="710"/>
      <c r="AV1270" s="82"/>
      <c r="AW1270" s="947"/>
      <c r="AX1270" s="947"/>
      <c r="AY1270" s="947"/>
    </row>
    <row r="1271" spans="31:51" x14ac:dyDescent="0.25">
      <c r="AE1271" s="75"/>
      <c r="AF1271" s="82"/>
      <c r="AG1271" s="82"/>
      <c r="AH1271" s="82"/>
      <c r="AI1271" s="82"/>
      <c r="AJ1271" s="166"/>
      <c r="AK1271" s="82"/>
      <c r="AL1271" s="162"/>
      <c r="AM1271" s="162"/>
      <c r="AN1271" s="162"/>
      <c r="AO1271" s="162"/>
      <c r="AP1271" s="162"/>
      <c r="AQ1271" s="162"/>
      <c r="AR1271" s="710"/>
      <c r="AV1271" s="82"/>
      <c r="AW1271" s="947"/>
      <c r="AX1271" s="947"/>
      <c r="AY1271" s="947"/>
    </row>
    <row r="1272" spans="31:51" x14ac:dyDescent="0.25">
      <c r="AE1272" s="75"/>
      <c r="AF1272" s="82"/>
      <c r="AG1272" s="82"/>
      <c r="AH1272" s="82"/>
      <c r="AI1272" s="82"/>
      <c r="AJ1272" s="166"/>
      <c r="AK1272" s="82"/>
      <c r="AL1272" s="162"/>
      <c r="AM1272" s="162"/>
      <c r="AN1272" s="162"/>
      <c r="AO1272" s="162"/>
      <c r="AP1272" s="162"/>
      <c r="AQ1272" s="162"/>
      <c r="AR1272" s="710"/>
      <c r="AV1272" s="82"/>
      <c r="AW1272" s="947"/>
      <c r="AX1272" s="947"/>
      <c r="AY1272" s="947"/>
    </row>
    <row r="1273" spans="31:51" x14ac:dyDescent="0.25">
      <c r="AE1273" s="75"/>
      <c r="AF1273" s="82"/>
      <c r="AG1273" s="82"/>
      <c r="AH1273" s="82"/>
      <c r="AI1273" s="82"/>
      <c r="AJ1273" s="166"/>
      <c r="AK1273" s="82"/>
      <c r="AL1273" s="162"/>
      <c r="AM1273" s="162"/>
      <c r="AN1273" s="162"/>
      <c r="AO1273" s="162"/>
      <c r="AP1273" s="162"/>
      <c r="AQ1273" s="162"/>
      <c r="AR1273" s="710"/>
      <c r="AV1273" s="82"/>
      <c r="AW1273" s="947"/>
      <c r="AX1273" s="947"/>
      <c r="AY1273" s="947"/>
    </row>
    <row r="1274" spans="31:51" x14ac:dyDescent="0.25">
      <c r="AE1274" s="75"/>
      <c r="AF1274" s="82"/>
      <c r="AG1274" s="82"/>
      <c r="AH1274" s="82"/>
      <c r="AI1274" s="82"/>
      <c r="AJ1274" s="166"/>
      <c r="AK1274" s="82"/>
      <c r="AL1274" s="162"/>
      <c r="AM1274" s="162"/>
      <c r="AN1274" s="162"/>
      <c r="AO1274" s="162"/>
      <c r="AP1274" s="162"/>
      <c r="AQ1274" s="162"/>
      <c r="AR1274" s="710"/>
      <c r="AV1274" s="82"/>
      <c r="AW1274" s="947"/>
      <c r="AX1274" s="947"/>
      <c r="AY1274" s="947"/>
    </row>
    <row r="1275" spans="31:51" x14ac:dyDescent="0.25">
      <c r="AE1275" s="75"/>
      <c r="AF1275" s="82"/>
      <c r="AG1275" s="82"/>
      <c r="AH1275" s="82"/>
      <c r="AI1275" s="82"/>
      <c r="AJ1275" s="166"/>
      <c r="AK1275" s="82"/>
      <c r="AL1275" s="162"/>
      <c r="AM1275" s="162"/>
      <c r="AN1275" s="162"/>
      <c r="AO1275" s="162"/>
      <c r="AP1275" s="162"/>
      <c r="AQ1275" s="162"/>
      <c r="AR1275" s="710"/>
      <c r="AV1275" s="82"/>
      <c r="AW1275" s="947"/>
      <c r="AX1275" s="947"/>
      <c r="AY1275" s="947"/>
    </row>
    <row r="1276" spans="31:51" x14ac:dyDescent="0.25">
      <c r="AE1276" s="75"/>
      <c r="AF1276" s="82"/>
      <c r="AG1276" s="82"/>
      <c r="AH1276" s="82"/>
      <c r="AI1276" s="82"/>
      <c r="AJ1276" s="166"/>
      <c r="AK1276" s="82"/>
      <c r="AL1276" s="162"/>
      <c r="AM1276" s="162"/>
      <c r="AN1276" s="162"/>
      <c r="AO1276" s="162"/>
      <c r="AP1276" s="162"/>
      <c r="AQ1276" s="162"/>
      <c r="AR1276" s="710"/>
      <c r="AV1276" s="82"/>
      <c r="AW1276" s="947"/>
      <c r="AX1276" s="947"/>
      <c r="AY1276" s="947"/>
    </row>
    <row r="1277" spans="31:51" x14ac:dyDescent="0.25">
      <c r="AE1277" s="75"/>
      <c r="AF1277" s="82"/>
      <c r="AG1277" s="82"/>
      <c r="AH1277" s="82"/>
      <c r="AI1277" s="82"/>
      <c r="AJ1277" s="166"/>
      <c r="AK1277" s="82"/>
      <c r="AL1277" s="162"/>
      <c r="AM1277" s="162"/>
      <c r="AN1277" s="162"/>
      <c r="AO1277" s="162"/>
      <c r="AP1277" s="162"/>
      <c r="AQ1277" s="162"/>
      <c r="AR1277" s="710"/>
      <c r="AV1277" s="82"/>
      <c r="AW1277" s="947"/>
      <c r="AX1277" s="947"/>
      <c r="AY1277" s="947"/>
    </row>
    <row r="1278" spans="31:51" x14ac:dyDescent="0.25">
      <c r="AE1278" s="75"/>
      <c r="AF1278" s="82"/>
      <c r="AG1278" s="82"/>
      <c r="AH1278" s="82"/>
      <c r="AI1278" s="82"/>
      <c r="AJ1278" s="166"/>
      <c r="AK1278" s="82"/>
      <c r="AL1278" s="162"/>
      <c r="AM1278" s="162"/>
      <c r="AN1278" s="162"/>
      <c r="AO1278" s="162"/>
      <c r="AP1278" s="162"/>
      <c r="AQ1278" s="162"/>
      <c r="AR1278" s="710"/>
      <c r="AV1278" s="82"/>
      <c r="AW1278" s="947"/>
      <c r="AX1278" s="947"/>
      <c r="AY1278" s="947"/>
    </row>
    <row r="1279" spans="31:51" x14ac:dyDescent="0.25">
      <c r="AE1279" s="75"/>
      <c r="AF1279" s="82"/>
      <c r="AG1279" s="82"/>
      <c r="AH1279" s="82"/>
      <c r="AI1279" s="82"/>
      <c r="AJ1279" s="166"/>
      <c r="AK1279" s="82"/>
      <c r="AL1279" s="162"/>
      <c r="AM1279" s="162"/>
      <c r="AN1279" s="162"/>
      <c r="AO1279" s="162"/>
      <c r="AP1279" s="162"/>
      <c r="AQ1279" s="162"/>
      <c r="AR1279" s="710"/>
      <c r="AV1279" s="82"/>
      <c r="AW1279" s="947"/>
      <c r="AX1279" s="947"/>
      <c r="AY1279" s="947"/>
    </row>
    <row r="1280" spans="31:51" x14ac:dyDescent="0.25">
      <c r="AE1280" s="75"/>
      <c r="AF1280" s="82"/>
      <c r="AG1280" s="82"/>
      <c r="AH1280" s="82"/>
      <c r="AI1280" s="82"/>
      <c r="AJ1280" s="166"/>
      <c r="AK1280" s="82"/>
      <c r="AL1280" s="162"/>
      <c r="AM1280" s="162"/>
      <c r="AN1280" s="162"/>
      <c r="AO1280" s="162"/>
      <c r="AP1280" s="162"/>
      <c r="AQ1280" s="162"/>
      <c r="AR1280" s="710"/>
      <c r="AV1280" s="82"/>
      <c r="AW1280" s="947"/>
      <c r="AX1280" s="947"/>
      <c r="AY1280" s="947"/>
    </row>
    <row r="1281" spans="31:51" x14ac:dyDescent="0.25">
      <c r="AE1281" s="75"/>
      <c r="AF1281" s="82"/>
      <c r="AG1281" s="82"/>
      <c r="AH1281" s="82"/>
      <c r="AI1281" s="82"/>
      <c r="AJ1281" s="166"/>
      <c r="AK1281" s="82"/>
      <c r="AL1281" s="162"/>
      <c r="AM1281" s="162"/>
      <c r="AN1281" s="162"/>
      <c r="AO1281" s="162"/>
      <c r="AP1281" s="162"/>
      <c r="AQ1281" s="162"/>
      <c r="AR1281" s="710"/>
      <c r="AV1281" s="82"/>
      <c r="AW1281" s="947"/>
      <c r="AX1281" s="947"/>
      <c r="AY1281" s="947"/>
    </row>
    <row r="1282" spans="31:51" x14ac:dyDescent="0.25">
      <c r="AE1282" s="75"/>
      <c r="AF1282" s="82"/>
      <c r="AG1282" s="82"/>
      <c r="AH1282" s="82"/>
      <c r="AI1282" s="82"/>
      <c r="AJ1282" s="166"/>
      <c r="AK1282" s="82"/>
      <c r="AL1282" s="162"/>
      <c r="AM1282" s="162"/>
      <c r="AN1282" s="162"/>
      <c r="AO1282" s="162"/>
      <c r="AP1282" s="162"/>
      <c r="AQ1282" s="162"/>
      <c r="AR1282" s="710"/>
      <c r="AV1282" s="82"/>
      <c r="AW1282" s="947"/>
      <c r="AX1282" s="947"/>
      <c r="AY1282" s="947"/>
    </row>
    <row r="1283" spans="31:51" x14ac:dyDescent="0.25">
      <c r="AE1283" s="75"/>
      <c r="AF1283" s="82"/>
      <c r="AG1283" s="82"/>
      <c r="AH1283" s="82"/>
      <c r="AI1283" s="82"/>
      <c r="AJ1283" s="166"/>
      <c r="AK1283" s="82"/>
      <c r="AL1283" s="162"/>
      <c r="AM1283" s="162"/>
      <c r="AN1283" s="162"/>
      <c r="AO1283" s="162"/>
      <c r="AP1283" s="162"/>
      <c r="AQ1283" s="162"/>
      <c r="AR1283" s="710"/>
      <c r="AV1283" s="82"/>
      <c r="AW1283" s="947"/>
      <c r="AX1283" s="947"/>
      <c r="AY1283" s="947"/>
    </row>
    <row r="1284" spans="31:51" x14ac:dyDescent="0.25">
      <c r="AE1284" s="75"/>
      <c r="AF1284" s="82"/>
      <c r="AG1284" s="82"/>
      <c r="AH1284" s="82"/>
      <c r="AI1284" s="82"/>
      <c r="AJ1284" s="166"/>
      <c r="AK1284" s="82"/>
      <c r="AL1284" s="162"/>
      <c r="AM1284" s="162"/>
      <c r="AN1284" s="162"/>
      <c r="AO1284" s="162"/>
      <c r="AP1284" s="162"/>
      <c r="AQ1284" s="162"/>
      <c r="AR1284" s="710"/>
      <c r="AV1284" s="82"/>
      <c r="AW1284" s="947"/>
      <c r="AX1284" s="947"/>
      <c r="AY1284" s="947"/>
    </row>
    <row r="1285" spans="31:51" x14ac:dyDescent="0.25">
      <c r="AE1285" s="75"/>
      <c r="AF1285" s="82"/>
      <c r="AG1285" s="82"/>
      <c r="AH1285" s="82"/>
      <c r="AI1285" s="82"/>
      <c r="AJ1285" s="166"/>
      <c r="AK1285" s="82"/>
      <c r="AL1285" s="162"/>
      <c r="AM1285" s="162"/>
      <c r="AN1285" s="162"/>
      <c r="AO1285" s="162"/>
      <c r="AP1285" s="162"/>
      <c r="AQ1285" s="162"/>
      <c r="AR1285" s="710"/>
      <c r="AV1285" s="82"/>
      <c r="AW1285" s="947"/>
      <c r="AX1285" s="947"/>
      <c r="AY1285" s="947"/>
    </row>
    <row r="1286" spans="31:51" x14ac:dyDescent="0.25">
      <c r="AE1286" s="75"/>
      <c r="AF1286" s="82"/>
      <c r="AG1286" s="82"/>
      <c r="AH1286" s="82"/>
      <c r="AI1286" s="82"/>
      <c r="AJ1286" s="166"/>
      <c r="AK1286" s="82"/>
      <c r="AL1286" s="162"/>
      <c r="AM1286" s="162"/>
      <c r="AN1286" s="162"/>
      <c r="AO1286" s="162"/>
      <c r="AP1286" s="162"/>
      <c r="AQ1286" s="162"/>
      <c r="AR1286" s="710"/>
      <c r="AV1286" s="82"/>
      <c r="AW1286" s="947"/>
      <c r="AX1286" s="947"/>
      <c r="AY1286" s="947"/>
    </row>
    <row r="1287" spans="31:51" x14ac:dyDescent="0.25">
      <c r="AE1287" s="75"/>
      <c r="AF1287" s="82"/>
      <c r="AG1287" s="82"/>
      <c r="AH1287" s="82"/>
      <c r="AI1287" s="82"/>
      <c r="AJ1287" s="166"/>
      <c r="AK1287" s="82"/>
      <c r="AL1287" s="162"/>
      <c r="AM1287" s="162"/>
      <c r="AN1287" s="162"/>
      <c r="AO1287" s="162"/>
      <c r="AP1287" s="162"/>
      <c r="AQ1287" s="162"/>
      <c r="AR1287" s="710"/>
      <c r="AV1287" s="82"/>
      <c r="AW1287" s="947"/>
      <c r="AX1287" s="947"/>
      <c r="AY1287" s="947"/>
    </row>
    <row r="1288" spans="31:51" x14ac:dyDescent="0.25">
      <c r="AE1288" s="75"/>
      <c r="AF1288" s="82"/>
      <c r="AG1288" s="82"/>
      <c r="AH1288" s="82"/>
      <c r="AI1288" s="82"/>
      <c r="AJ1288" s="166"/>
      <c r="AK1288" s="82"/>
      <c r="AL1288" s="162"/>
      <c r="AM1288" s="162"/>
      <c r="AN1288" s="162"/>
      <c r="AO1288" s="162"/>
      <c r="AP1288" s="162"/>
      <c r="AQ1288" s="162"/>
      <c r="AR1288" s="710"/>
      <c r="AV1288" s="82"/>
      <c r="AW1288" s="947"/>
      <c r="AX1288" s="947"/>
      <c r="AY1288" s="947"/>
    </row>
    <row r="1289" spans="31:51" x14ac:dyDescent="0.25">
      <c r="AE1289" s="75"/>
      <c r="AF1289" s="82"/>
      <c r="AG1289" s="82"/>
      <c r="AH1289" s="82"/>
      <c r="AI1289" s="82"/>
      <c r="AJ1289" s="166"/>
      <c r="AK1289" s="82"/>
      <c r="AL1289" s="162"/>
      <c r="AM1289" s="162"/>
      <c r="AN1289" s="162"/>
      <c r="AO1289" s="162"/>
      <c r="AP1289" s="162"/>
      <c r="AQ1289" s="162"/>
      <c r="AR1289" s="710"/>
      <c r="AV1289" s="82"/>
      <c r="AW1289" s="947"/>
      <c r="AX1289" s="947"/>
      <c r="AY1289" s="947"/>
    </row>
    <row r="1290" spans="31:51" x14ac:dyDescent="0.25">
      <c r="AE1290" s="75"/>
      <c r="AF1290" s="82"/>
      <c r="AG1290" s="82"/>
      <c r="AH1290" s="82"/>
      <c r="AI1290" s="82"/>
      <c r="AJ1290" s="166"/>
      <c r="AK1290" s="82"/>
      <c r="AL1290" s="162"/>
      <c r="AM1290" s="162"/>
      <c r="AN1290" s="162"/>
      <c r="AO1290" s="162"/>
      <c r="AP1290" s="162"/>
      <c r="AQ1290" s="162"/>
      <c r="AR1290" s="710"/>
      <c r="AV1290" s="82"/>
      <c r="AW1290" s="947"/>
      <c r="AX1290" s="947"/>
      <c r="AY1290" s="947"/>
    </row>
    <row r="1291" spans="31:51" x14ac:dyDescent="0.25">
      <c r="AE1291" s="75"/>
      <c r="AF1291" s="82"/>
      <c r="AG1291" s="82"/>
      <c r="AH1291" s="82"/>
      <c r="AI1291" s="82"/>
      <c r="AJ1291" s="166"/>
      <c r="AK1291" s="82"/>
      <c r="AL1291" s="162"/>
      <c r="AM1291" s="162"/>
      <c r="AN1291" s="162"/>
      <c r="AO1291" s="162"/>
      <c r="AP1291" s="162"/>
      <c r="AQ1291" s="162"/>
      <c r="AR1291" s="710"/>
      <c r="AV1291" s="82"/>
      <c r="AW1291" s="947"/>
      <c r="AX1291" s="947"/>
      <c r="AY1291" s="947"/>
    </row>
    <row r="1292" spans="31:51" x14ac:dyDescent="0.25">
      <c r="AE1292" s="75"/>
      <c r="AF1292" s="82"/>
      <c r="AG1292" s="82"/>
      <c r="AH1292" s="82"/>
      <c r="AI1292" s="82"/>
      <c r="AJ1292" s="166"/>
      <c r="AK1292" s="82"/>
      <c r="AL1292" s="162"/>
      <c r="AM1292" s="162"/>
      <c r="AN1292" s="162"/>
      <c r="AO1292" s="162"/>
      <c r="AP1292" s="162"/>
      <c r="AQ1292" s="162"/>
      <c r="AR1292" s="710"/>
      <c r="AV1292" s="82"/>
      <c r="AW1292" s="947"/>
      <c r="AX1292" s="947"/>
      <c r="AY1292" s="947"/>
    </row>
    <row r="1293" spans="31:51" x14ac:dyDescent="0.25">
      <c r="AE1293" s="75"/>
      <c r="AF1293" s="82"/>
      <c r="AG1293" s="82"/>
      <c r="AH1293" s="82"/>
      <c r="AI1293" s="82"/>
      <c r="AJ1293" s="166"/>
      <c r="AK1293" s="82"/>
      <c r="AL1293" s="162"/>
      <c r="AM1293" s="162"/>
      <c r="AN1293" s="162"/>
      <c r="AO1293" s="162"/>
      <c r="AP1293" s="162"/>
      <c r="AQ1293" s="162"/>
      <c r="AR1293" s="710"/>
      <c r="AV1293" s="82"/>
      <c r="AW1293" s="947"/>
      <c r="AX1293" s="947"/>
      <c r="AY1293" s="947"/>
    </row>
    <row r="1294" spans="31:51" x14ac:dyDescent="0.25">
      <c r="AE1294" s="75"/>
      <c r="AF1294" s="82"/>
      <c r="AG1294" s="82"/>
      <c r="AH1294" s="82"/>
      <c r="AI1294" s="82"/>
      <c r="AJ1294" s="166"/>
      <c r="AK1294" s="82"/>
      <c r="AL1294" s="162"/>
      <c r="AM1294" s="162"/>
      <c r="AN1294" s="162"/>
      <c r="AO1294" s="162"/>
      <c r="AP1294" s="162"/>
      <c r="AQ1294" s="162"/>
      <c r="AR1294" s="710"/>
      <c r="AV1294" s="82"/>
      <c r="AW1294" s="947"/>
      <c r="AX1294" s="947"/>
      <c r="AY1294" s="947"/>
    </row>
    <row r="1295" spans="31:51" x14ac:dyDescent="0.25">
      <c r="AE1295" s="75"/>
      <c r="AF1295" s="82"/>
      <c r="AG1295" s="82"/>
      <c r="AH1295" s="82"/>
      <c r="AI1295" s="82"/>
      <c r="AJ1295" s="166"/>
      <c r="AK1295" s="82"/>
      <c r="AL1295" s="162"/>
      <c r="AM1295" s="162"/>
      <c r="AN1295" s="162"/>
      <c r="AO1295" s="162"/>
      <c r="AP1295" s="162"/>
      <c r="AQ1295" s="162"/>
      <c r="AR1295" s="710"/>
      <c r="AV1295" s="82"/>
      <c r="AW1295" s="947"/>
      <c r="AX1295" s="947"/>
      <c r="AY1295" s="947"/>
    </row>
    <row r="1296" spans="31:51" x14ac:dyDescent="0.25">
      <c r="AE1296" s="75"/>
      <c r="AF1296" s="82"/>
      <c r="AG1296" s="82"/>
      <c r="AH1296" s="82"/>
      <c r="AI1296" s="82"/>
      <c r="AJ1296" s="166"/>
      <c r="AK1296" s="82"/>
      <c r="AL1296" s="162"/>
      <c r="AM1296" s="162"/>
      <c r="AN1296" s="162"/>
      <c r="AO1296" s="162"/>
      <c r="AP1296" s="162"/>
      <c r="AQ1296" s="162"/>
      <c r="AR1296" s="710"/>
      <c r="AV1296" s="82"/>
      <c r="AW1296" s="947"/>
      <c r="AX1296" s="947"/>
      <c r="AY1296" s="947"/>
    </row>
    <row r="1297" spans="31:51" x14ac:dyDescent="0.25">
      <c r="AE1297" s="75"/>
      <c r="AF1297" s="82"/>
      <c r="AG1297" s="82"/>
      <c r="AH1297" s="82"/>
      <c r="AI1297" s="82"/>
      <c r="AJ1297" s="166"/>
      <c r="AK1297" s="82"/>
      <c r="AL1297" s="162"/>
      <c r="AM1297" s="162"/>
      <c r="AN1297" s="162"/>
      <c r="AO1297" s="162"/>
      <c r="AP1297" s="162"/>
      <c r="AQ1297" s="162"/>
      <c r="AR1297" s="710"/>
      <c r="AV1297" s="82"/>
      <c r="AW1297" s="947"/>
      <c r="AX1297" s="947"/>
      <c r="AY1297" s="947"/>
    </row>
    <row r="1298" spans="31:51" x14ac:dyDescent="0.25">
      <c r="AE1298" s="75"/>
      <c r="AF1298" s="82"/>
      <c r="AG1298" s="82"/>
      <c r="AH1298" s="82"/>
      <c r="AI1298" s="82"/>
      <c r="AJ1298" s="166"/>
      <c r="AK1298" s="82"/>
      <c r="AL1298" s="162"/>
      <c r="AM1298" s="162"/>
      <c r="AN1298" s="162"/>
      <c r="AO1298" s="162"/>
      <c r="AP1298" s="162"/>
      <c r="AQ1298" s="162"/>
      <c r="AR1298" s="710"/>
      <c r="AV1298" s="82"/>
      <c r="AW1298" s="947"/>
      <c r="AX1298" s="947"/>
      <c r="AY1298" s="947"/>
    </row>
    <row r="1299" spans="31:51" x14ac:dyDescent="0.25">
      <c r="AE1299" s="75"/>
      <c r="AF1299" s="82"/>
      <c r="AG1299" s="82"/>
      <c r="AH1299" s="82"/>
      <c r="AI1299" s="82"/>
      <c r="AJ1299" s="166"/>
      <c r="AK1299" s="82"/>
      <c r="AL1299" s="162"/>
      <c r="AM1299" s="162"/>
      <c r="AN1299" s="162"/>
      <c r="AO1299" s="162"/>
      <c r="AP1299" s="162"/>
      <c r="AQ1299" s="162"/>
      <c r="AR1299" s="710"/>
      <c r="AV1299" s="82"/>
      <c r="AW1299" s="947"/>
      <c r="AX1299" s="947"/>
      <c r="AY1299" s="947"/>
    </row>
    <row r="1300" spans="31:51" x14ac:dyDescent="0.25">
      <c r="AE1300" s="75"/>
      <c r="AF1300" s="82"/>
      <c r="AG1300" s="82"/>
      <c r="AH1300" s="82"/>
      <c r="AI1300" s="82"/>
      <c r="AJ1300" s="166"/>
      <c r="AK1300" s="82"/>
      <c r="AL1300" s="162"/>
      <c r="AM1300" s="162"/>
      <c r="AN1300" s="162"/>
      <c r="AO1300" s="162"/>
      <c r="AP1300" s="162"/>
      <c r="AQ1300" s="162"/>
      <c r="AR1300" s="710"/>
      <c r="AV1300" s="82"/>
      <c r="AW1300" s="947"/>
      <c r="AX1300" s="947"/>
      <c r="AY1300" s="947"/>
    </row>
    <row r="1301" spans="31:51" x14ac:dyDescent="0.25">
      <c r="AE1301" s="75"/>
      <c r="AF1301" s="82"/>
      <c r="AG1301" s="82"/>
      <c r="AH1301" s="82"/>
      <c r="AI1301" s="82"/>
      <c r="AJ1301" s="166"/>
      <c r="AK1301" s="82"/>
      <c r="AL1301" s="162"/>
      <c r="AM1301" s="162"/>
      <c r="AN1301" s="162"/>
      <c r="AO1301" s="162"/>
      <c r="AP1301" s="162"/>
      <c r="AQ1301" s="162"/>
      <c r="AR1301" s="710"/>
      <c r="AV1301" s="82"/>
      <c r="AW1301" s="947"/>
      <c r="AX1301" s="947"/>
      <c r="AY1301" s="947"/>
    </row>
    <row r="1302" spans="31:51" x14ac:dyDescent="0.25">
      <c r="AE1302" s="75"/>
      <c r="AF1302" s="82"/>
      <c r="AG1302" s="82"/>
      <c r="AH1302" s="82"/>
      <c r="AI1302" s="82"/>
      <c r="AJ1302" s="166"/>
      <c r="AK1302" s="82"/>
      <c r="AL1302" s="162"/>
      <c r="AM1302" s="162"/>
      <c r="AN1302" s="162"/>
      <c r="AO1302" s="162"/>
      <c r="AP1302" s="162"/>
      <c r="AQ1302" s="162"/>
      <c r="AR1302" s="710"/>
      <c r="AV1302" s="82"/>
      <c r="AW1302" s="947"/>
      <c r="AX1302" s="947"/>
      <c r="AY1302" s="947"/>
    </row>
    <row r="1303" spans="31:51" x14ac:dyDescent="0.25">
      <c r="AE1303" s="75"/>
      <c r="AF1303" s="82"/>
      <c r="AG1303" s="82"/>
      <c r="AH1303" s="82"/>
      <c r="AI1303" s="82"/>
      <c r="AJ1303" s="166"/>
      <c r="AK1303" s="82"/>
      <c r="AL1303" s="162"/>
      <c r="AM1303" s="162"/>
      <c r="AN1303" s="162"/>
      <c r="AO1303" s="162"/>
      <c r="AP1303" s="162"/>
      <c r="AQ1303" s="162"/>
      <c r="AR1303" s="710"/>
      <c r="AV1303" s="82"/>
      <c r="AW1303" s="947"/>
      <c r="AX1303" s="947"/>
      <c r="AY1303" s="947"/>
    </row>
    <row r="1304" spans="31:51" x14ac:dyDescent="0.25">
      <c r="AE1304" s="75"/>
      <c r="AF1304" s="82"/>
      <c r="AG1304" s="82"/>
      <c r="AH1304" s="82"/>
      <c r="AI1304" s="82"/>
      <c r="AJ1304" s="166"/>
      <c r="AK1304" s="82"/>
      <c r="AL1304" s="162"/>
      <c r="AM1304" s="162"/>
      <c r="AN1304" s="162"/>
      <c r="AO1304" s="162"/>
      <c r="AP1304" s="162"/>
      <c r="AQ1304" s="162"/>
      <c r="AR1304" s="710"/>
      <c r="AV1304" s="82"/>
      <c r="AW1304" s="947"/>
      <c r="AX1304" s="947"/>
      <c r="AY1304" s="947"/>
    </row>
    <row r="1305" spans="31:51" x14ac:dyDescent="0.25">
      <c r="AE1305" s="75"/>
      <c r="AF1305" s="82"/>
      <c r="AG1305" s="82"/>
      <c r="AH1305" s="82"/>
      <c r="AI1305" s="82"/>
      <c r="AJ1305" s="166"/>
      <c r="AK1305" s="82"/>
      <c r="AL1305" s="162"/>
      <c r="AM1305" s="162"/>
      <c r="AN1305" s="162"/>
      <c r="AO1305" s="162"/>
      <c r="AP1305" s="162"/>
      <c r="AQ1305" s="162"/>
      <c r="AR1305" s="710"/>
      <c r="AV1305" s="82"/>
      <c r="AW1305" s="947"/>
      <c r="AX1305" s="947"/>
      <c r="AY1305" s="947"/>
    </row>
    <row r="1306" spans="31:51" x14ac:dyDescent="0.25">
      <c r="AE1306" s="75"/>
      <c r="AF1306" s="82"/>
      <c r="AG1306" s="82"/>
      <c r="AH1306" s="82"/>
      <c r="AI1306" s="82"/>
      <c r="AJ1306" s="166"/>
      <c r="AK1306" s="82"/>
      <c r="AL1306" s="162"/>
      <c r="AM1306" s="162"/>
      <c r="AN1306" s="162"/>
      <c r="AO1306" s="162"/>
      <c r="AP1306" s="162"/>
      <c r="AQ1306" s="162"/>
      <c r="AR1306" s="710"/>
      <c r="AV1306" s="82"/>
      <c r="AW1306" s="947"/>
      <c r="AX1306" s="947"/>
      <c r="AY1306" s="947"/>
    </row>
    <row r="1307" spans="31:51" x14ac:dyDescent="0.25">
      <c r="AE1307" s="75"/>
      <c r="AF1307" s="82"/>
      <c r="AG1307" s="82"/>
      <c r="AH1307" s="82"/>
      <c r="AI1307" s="82"/>
      <c r="AJ1307" s="166"/>
      <c r="AK1307" s="82"/>
      <c r="AL1307" s="162"/>
      <c r="AM1307" s="162"/>
      <c r="AN1307" s="162"/>
      <c r="AO1307" s="162"/>
      <c r="AP1307" s="162"/>
      <c r="AQ1307" s="162"/>
      <c r="AR1307" s="710"/>
      <c r="AV1307" s="82"/>
      <c r="AW1307" s="947"/>
      <c r="AX1307" s="947"/>
      <c r="AY1307" s="947"/>
    </row>
    <row r="1308" spans="31:51" x14ac:dyDescent="0.25">
      <c r="AE1308" s="75"/>
      <c r="AF1308" s="82"/>
      <c r="AG1308" s="82"/>
      <c r="AH1308" s="82"/>
      <c r="AI1308" s="82"/>
      <c r="AJ1308" s="166"/>
      <c r="AK1308" s="82"/>
      <c r="AL1308" s="162"/>
      <c r="AM1308" s="162"/>
      <c r="AN1308" s="162"/>
      <c r="AO1308" s="162"/>
      <c r="AP1308" s="162"/>
      <c r="AQ1308" s="162"/>
      <c r="AR1308" s="710"/>
      <c r="AV1308" s="82"/>
      <c r="AW1308" s="947"/>
      <c r="AX1308" s="947"/>
      <c r="AY1308" s="947"/>
    </row>
    <row r="1309" spans="31:51" x14ac:dyDescent="0.25">
      <c r="AE1309" s="75"/>
      <c r="AF1309" s="82"/>
      <c r="AG1309" s="82"/>
      <c r="AH1309" s="82"/>
      <c r="AI1309" s="82"/>
      <c r="AJ1309" s="166"/>
      <c r="AK1309" s="82"/>
      <c r="AL1309" s="162"/>
      <c r="AM1309" s="162"/>
      <c r="AN1309" s="162"/>
      <c r="AO1309" s="162"/>
      <c r="AP1309" s="162"/>
      <c r="AQ1309" s="162"/>
      <c r="AR1309" s="710"/>
      <c r="AV1309" s="82"/>
      <c r="AW1309" s="947"/>
      <c r="AX1309" s="947"/>
      <c r="AY1309" s="947"/>
    </row>
    <row r="1310" spans="31:51" x14ac:dyDescent="0.25">
      <c r="AE1310" s="75"/>
      <c r="AF1310" s="82"/>
      <c r="AG1310" s="82"/>
      <c r="AH1310" s="82"/>
      <c r="AI1310" s="82"/>
      <c r="AJ1310" s="166"/>
      <c r="AK1310" s="82"/>
      <c r="AL1310" s="162"/>
      <c r="AM1310" s="162"/>
      <c r="AN1310" s="162"/>
      <c r="AO1310" s="162"/>
      <c r="AP1310" s="162"/>
      <c r="AQ1310" s="162"/>
      <c r="AR1310" s="710"/>
      <c r="AV1310" s="82"/>
      <c r="AW1310" s="947"/>
      <c r="AX1310" s="947"/>
      <c r="AY1310" s="947"/>
    </row>
    <row r="1311" spans="31:51" x14ac:dyDescent="0.25">
      <c r="AE1311" s="75"/>
      <c r="AF1311" s="82"/>
      <c r="AG1311" s="82"/>
      <c r="AH1311" s="82"/>
      <c r="AI1311" s="82"/>
      <c r="AJ1311" s="166"/>
      <c r="AK1311" s="82"/>
      <c r="AL1311" s="162"/>
      <c r="AM1311" s="162"/>
      <c r="AN1311" s="162"/>
      <c r="AO1311" s="162"/>
      <c r="AP1311" s="162"/>
      <c r="AQ1311" s="162"/>
      <c r="AR1311" s="710"/>
      <c r="AV1311" s="82"/>
      <c r="AW1311" s="947"/>
      <c r="AX1311" s="947"/>
      <c r="AY1311" s="947"/>
    </row>
    <row r="1312" spans="31:51" x14ac:dyDescent="0.25">
      <c r="AE1312" s="75"/>
      <c r="AF1312" s="82"/>
      <c r="AG1312" s="82"/>
      <c r="AH1312" s="82"/>
      <c r="AI1312" s="82"/>
      <c r="AJ1312" s="166"/>
      <c r="AK1312" s="82"/>
      <c r="AL1312" s="162"/>
      <c r="AM1312" s="162"/>
      <c r="AN1312" s="162"/>
      <c r="AO1312" s="162"/>
      <c r="AP1312" s="162"/>
      <c r="AQ1312" s="162"/>
      <c r="AR1312" s="710"/>
      <c r="AV1312" s="82"/>
      <c r="AW1312" s="947"/>
      <c r="AX1312" s="947"/>
      <c r="AY1312" s="947"/>
    </row>
    <row r="1313" spans="31:51" x14ac:dyDescent="0.25">
      <c r="AE1313" s="75"/>
      <c r="AF1313" s="82"/>
      <c r="AG1313" s="82"/>
      <c r="AH1313" s="82"/>
      <c r="AI1313" s="82"/>
      <c r="AJ1313" s="166"/>
      <c r="AK1313" s="82"/>
      <c r="AL1313" s="162"/>
      <c r="AM1313" s="162"/>
      <c r="AN1313" s="162"/>
      <c r="AO1313" s="162"/>
      <c r="AP1313" s="162"/>
      <c r="AQ1313" s="162"/>
      <c r="AR1313" s="710"/>
      <c r="AV1313" s="82"/>
      <c r="AW1313" s="947"/>
      <c r="AX1313" s="947"/>
      <c r="AY1313" s="947"/>
    </row>
    <row r="1314" spans="31:51" x14ac:dyDescent="0.25">
      <c r="AE1314" s="75"/>
      <c r="AF1314" s="82"/>
      <c r="AG1314" s="82"/>
      <c r="AH1314" s="82"/>
      <c r="AI1314" s="82"/>
      <c r="AJ1314" s="166"/>
      <c r="AK1314" s="82"/>
      <c r="AL1314" s="162"/>
      <c r="AM1314" s="162"/>
      <c r="AN1314" s="162"/>
      <c r="AO1314" s="162"/>
      <c r="AP1314" s="162"/>
      <c r="AQ1314" s="162"/>
      <c r="AR1314" s="710"/>
      <c r="AV1314" s="82"/>
      <c r="AW1314" s="947"/>
      <c r="AX1314" s="947"/>
      <c r="AY1314" s="947"/>
    </row>
    <row r="1315" spans="31:51" x14ac:dyDescent="0.25">
      <c r="AE1315" s="75"/>
      <c r="AF1315" s="82"/>
      <c r="AG1315" s="82"/>
      <c r="AH1315" s="82"/>
      <c r="AI1315" s="82"/>
      <c r="AJ1315" s="166"/>
      <c r="AK1315" s="82"/>
      <c r="AL1315" s="162"/>
      <c r="AM1315" s="162"/>
      <c r="AN1315" s="162"/>
      <c r="AO1315" s="162"/>
      <c r="AP1315" s="162"/>
      <c r="AQ1315" s="162"/>
      <c r="AR1315" s="710"/>
      <c r="AV1315" s="82"/>
      <c r="AW1315" s="947"/>
      <c r="AX1315" s="947"/>
      <c r="AY1315" s="947"/>
    </row>
    <row r="1316" spans="31:51" x14ac:dyDescent="0.25">
      <c r="AE1316" s="75"/>
      <c r="AF1316" s="82"/>
      <c r="AG1316" s="82"/>
      <c r="AH1316" s="82"/>
      <c r="AI1316" s="82"/>
      <c r="AJ1316" s="166"/>
      <c r="AK1316" s="82"/>
      <c r="AL1316" s="162"/>
      <c r="AM1316" s="162"/>
      <c r="AN1316" s="162"/>
      <c r="AO1316" s="162"/>
      <c r="AP1316" s="162"/>
      <c r="AQ1316" s="162"/>
      <c r="AR1316" s="710"/>
      <c r="AV1316" s="82"/>
      <c r="AW1316" s="947"/>
      <c r="AX1316" s="947"/>
      <c r="AY1316" s="947"/>
    </row>
    <row r="1317" spans="31:51" x14ac:dyDescent="0.25">
      <c r="AE1317" s="75"/>
      <c r="AF1317" s="82"/>
      <c r="AG1317" s="82"/>
      <c r="AH1317" s="82"/>
      <c r="AI1317" s="82"/>
      <c r="AJ1317" s="166"/>
      <c r="AK1317" s="82"/>
      <c r="AL1317" s="162"/>
      <c r="AM1317" s="162"/>
      <c r="AN1317" s="162"/>
      <c r="AO1317" s="162"/>
      <c r="AP1317" s="162"/>
      <c r="AQ1317" s="162"/>
      <c r="AR1317" s="710"/>
      <c r="AV1317" s="82"/>
      <c r="AW1317" s="947"/>
      <c r="AX1317" s="947"/>
      <c r="AY1317" s="947"/>
    </row>
    <row r="1318" spans="31:51" x14ac:dyDescent="0.25">
      <c r="AE1318" s="75"/>
      <c r="AF1318" s="82"/>
      <c r="AG1318" s="82"/>
      <c r="AH1318" s="82"/>
      <c r="AI1318" s="82"/>
      <c r="AJ1318" s="166"/>
      <c r="AK1318" s="82"/>
      <c r="AL1318" s="162"/>
      <c r="AM1318" s="162"/>
      <c r="AN1318" s="162"/>
      <c r="AO1318" s="162"/>
      <c r="AP1318" s="162"/>
      <c r="AQ1318" s="162"/>
      <c r="AR1318" s="710"/>
      <c r="AV1318" s="82"/>
      <c r="AW1318" s="947"/>
      <c r="AX1318" s="947"/>
      <c r="AY1318" s="947"/>
    </row>
    <row r="1319" spans="31:51" x14ac:dyDescent="0.25">
      <c r="AE1319" s="75"/>
      <c r="AF1319" s="82"/>
      <c r="AG1319" s="82"/>
      <c r="AH1319" s="82"/>
      <c r="AI1319" s="82"/>
      <c r="AJ1319" s="166"/>
      <c r="AK1319" s="82"/>
      <c r="AL1319" s="162"/>
      <c r="AM1319" s="162"/>
      <c r="AN1319" s="162"/>
      <c r="AO1319" s="162"/>
      <c r="AP1319" s="162"/>
      <c r="AQ1319" s="162"/>
      <c r="AR1319" s="710"/>
      <c r="AV1319" s="82"/>
      <c r="AW1319" s="947"/>
      <c r="AX1319" s="947"/>
      <c r="AY1319" s="947"/>
    </row>
    <row r="1320" spans="31:51" x14ac:dyDescent="0.25">
      <c r="AE1320" s="75"/>
      <c r="AF1320" s="82"/>
      <c r="AG1320" s="82"/>
      <c r="AH1320" s="82"/>
      <c r="AI1320" s="82"/>
      <c r="AJ1320" s="166"/>
      <c r="AK1320" s="82"/>
      <c r="AL1320" s="162"/>
      <c r="AM1320" s="162"/>
      <c r="AN1320" s="162"/>
      <c r="AO1320" s="162"/>
      <c r="AP1320" s="162"/>
      <c r="AQ1320" s="162"/>
      <c r="AR1320" s="710"/>
      <c r="AV1320" s="82"/>
      <c r="AW1320" s="947"/>
      <c r="AX1320" s="947"/>
      <c r="AY1320" s="947"/>
    </row>
    <row r="1321" spans="31:51" x14ac:dyDescent="0.25">
      <c r="AE1321" s="75"/>
      <c r="AF1321" s="82"/>
      <c r="AG1321" s="82"/>
      <c r="AH1321" s="82"/>
      <c r="AI1321" s="82"/>
      <c r="AJ1321" s="166"/>
      <c r="AK1321" s="82"/>
      <c r="AL1321" s="162"/>
      <c r="AM1321" s="162"/>
      <c r="AN1321" s="162"/>
      <c r="AO1321" s="162"/>
      <c r="AP1321" s="162"/>
      <c r="AQ1321" s="162"/>
      <c r="AR1321" s="710"/>
      <c r="AV1321" s="82"/>
      <c r="AW1321" s="947"/>
      <c r="AX1321" s="947"/>
      <c r="AY1321" s="947"/>
    </row>
    <row r="1322" spans="31:51" x14ac:dyDescent="0.25">
      <c r="AE1322" s="75"/>
      <c r="AF1322" s="82"/>
      <c r="AG1322" s="82"/>
      <c r="AH1322" s="82"/>
      <c r="AI1322" s="82"/>
      <c r="AJ1322" s="166"/>
      <c r="AK1322" s="82"/>
      <c r="AL1322" s="162"/>
      <c r="AM1322" s="162"/>
      <c r="AN1322" s="162"/>
      <c r="AO1322" s="162"/>
      <c r="AP1322" s="162"/>
      <c r="AQ1322" s="162"/>
      <c r="AR1322" s="710"/>
      <c r="AV1322" s="82"/>
      <c r="AW1322" s="947"/>
      <c r="AX1322" s="947"/>
      <c r="AY1322" s="947"/>
    </row>
    <row r="1323" spans="31:51" x14ac:dyDescent="0.25">
      <c r="AE1323" s="75"/>
      <c r="AF1323" s="82"/>
      <c r="AG1323" s="82"/>
      <c r="AH1323" s="82"/>
      <c r="AI1323" s="82"/>
      <c r="AJ1323" s="166"/>
      <c r="AK1323" s="82"/>
      <c r="AL1323" s="162"/>
      <c r="AM1323" s="162"/>
      <c r="AN1323" s="162"/>
      <c r="AO1323" s="162"/>
      <c r="AP1323" s="162"/>
      <c r="AQ1323" s="162"/>
      <c r="AR1323" s="710"/>
      <c r="AV1323" s="82"/>
      <c r="AW1323" s="947"/>
      <c r="AX1323" s="947"/>
      <c r="AY1323" s="947"/>
    </row>
    <row r="1324" spans="31:51" x14ac:dyDescent="0.25">
      <c r="AE1324" s="75"/>
      <c r="AF1324" s="82"/>
      <c r="AG1324" s="82"/>
      <c r="AH1324" s="82"/>
      <c r="AI1324" s="82"/>
      <c r="AJ1324" s="166"/>
      <c r="AK1324" s="82"/>
      <c r="AL1324" s="162"/>
      <c r="AM1324" s="162"/>
      <c r="AN1324" s="162"/>
      <c r="AO1324" s="162"/>
      <c r="AP1324" s="162"/>
      <c r="AQ1324" s="162"/>
      <c r="AR1324" s="710"/>
      <c r="AV1324" s="82"/>
      <c r="AW1324" s="947"/>
      <c r="AX1324" s="947"/>
      <c r="AY1324" s="947"/>
    </row>
    <row r="1325" spans="31:51" x14ac:dyDescent="0.25">
      <c r="AE1325" s="75"/>
      <c r="AF1325" s="82"/>
      <c r="AG1325" s="82"/>
      <c r="AH1325" s="82"/>
      <c r="AI1325" s="82"/>
      <c r="AJ1325" s="166"/>
      <c r="AK1325" s="82"/>
      <c r="AL1325" s="162"/>
      <c r="AM1325" s="162"/>
      <c r="AN1325" s="162"/>
      <c r="AO1325" s="162"/>
      <c r="AP1325" s="162"/>
      <c r="AQ1325" s="162"/>
      <c r="AR1325" s="710"/>
      <c r="AV1325" s="82"/>
      <c r="AW1325" s="947"/>
      <c r="AX1325" s="947"/>
      <c r="AY1325" s="947"/>
    </row>
    <row r="1326" spans="31:51" x14ac:dyDescent="0.25">
      <c r="AE1326" s="75"/>
      <c r="AF1326" s="82"/>
      <c r="AG1326" s="82"/>
      <c r="AH1326" s="82"/>
      <c r="AI1326" s="82"/>
      <c r="AJ1326" s="166"/>
      <c r="AK1326" s="82"/>
      <c r="AL1326" s="162"/>
      <c r="AM1326" s="162"/>
      <c r="AN1326" s="162"/>
      <c r="AO1326" s="162"/>
      <c r="AP1326" s="162"/>
      <c r="AQ1326" s="162"/>
      <c r="AR1326" s="710"/>
      <c r="AV1326" s="82"/>
      <c r="AW1326" s="947"/>
      <c r="AX1326" s="947"/>
      <c r="AY1326" s="947"/>
    </row>
    <row r="1327" spans="31:51" x14ac:dyDescent="0.25">
      <c r="AE1327" s="75"/>
      <c r="AF1327" s="82"/>
      <c r="AG1327" s="82"/>
      <c r="AH1327" s="82"/>
      <c r="AI1327" s="82"/>
      <c r="AJ1327" s="166"/>
      <c r="AK1327" s="82"/>
      <c r="AL1327" s="162"/>
      <c r="AM1327" s="162"/>
      <c r="AN1327" s="162"/>
      <c r="AO1327" s="162"/>
      <c r="AP1327" s="162"/>
      <c r="AQ1327" s="162"/>
      <c r="AR1327" s="710"/>
      <c r="AV1327" s="82"/>
      <c r="AW1327" s="947"/>
      <c r="AX1327" s="947"/>
      <c r="AY1327" s="947"/>
    </row>
    <row r="1328" spans="31:51" x14ac:dyDescent="0.25">
      <c r="AE1328" s="75"/>
      <c r="AF1328" s="82"/>
      <c r="AG1328" s="82"/>
      <c r="AH1328" s="82"/>
      <c r="AI1328" s="82"/>
      <c r="AJ1328" s="166"/>
      <c r="AK1328" s="82"/>
      <c r="AL1328" s="162"/>
      <c r="AM1328" s="162"/>
      <c r="AN1328" s="162"/>
      <c r="AO1328" s="162"/>
      <c r="AP1328" s="162"/>
      <c r="AQ1328" s="162"/>
      <c r="AR1328" s="710"/>
      <c r="AV1328" s="82"/>
      <c r="AW1328" s="947"/>
      <c r="AX1328" s="947"/>
      <c r="AY1328" s="947"/>
    </row>
    <row r="1329" spans="31:51" x14ac:dyDescent="0.25">
      <c r="AE1329" s="75"/>
      <c r="AF1329" s="82"/>
      <c r="AG1329" s="82"/>
      <c r="AH1329" s="82"/>
      <c r="AI1329" s="82"/>
      <c r="AJ1329" s="166"/>
      <c r="AK1329" s="82"/>
      <c r="AL1329" s="162"/>
      <c r="AM1329" s="162"/>
      <c r="AN1329" s="162"/>
      <c r="AO1329" s="162"/>
      <c r="AP1329" s="162"/>
      <c r="AQ1329" s="162"/>
      <c r="AR1329" s="710"/>
      <c r="AV1329" s="82"/>
      <c r="AW1329" s="947"/>
      <c r="AX1329" s="947"/>
      <c r="AY1329" s="947"/>
    </row>
    <row r="1330" spans="31:51" x14ac:dyDescent="0.25">
      <c r="AE1330" s="75"/>
      <c r="AF1330" s="82"/>
      <c r="AG1330" s="82"/>
      <c r="AH1330" s="82"/>
      <c r="AI1330" s="82"/>
      <c r="AJ1330" s="166"/>
      <c r="AK1330" s="82"/>
      <c r="AL1330" s="162"/>
      <c r="AM1330" s="162"/>
      <c r="AN1330" s="162"/>
      <c r="AO1330" s="162"/>
      <c r="AP1330" s="162"/>
      <c r="AQ1330" s="162"/>
      <c r="AR1330" s="710"/>
      <c r="AV1330" s="82"/>
      <c r="AW1330" s="947"/>
      <c r="AX1330" s="947"/>
      <c r="AY1330" s="947"/>
    </row>
    <row r="1331" spans="31:51" x14ac:dyDescent="0.25">
      <c r="AE1331" s="75"/>
      <c r="AF1331" s="82"/>
      <c r="AG1331" s="82"/>
      <c r="AH1331" s="82"/>
      <c r="AI1331" s="82"/>
      <c r="AJ1331" s="166"/>
      <c r="AK1331" s="82"/>
      <c r="AL1331" s="162"/>
      <c r="AM1331" s="162"/>
      <c r="AN1331" s="162"/>
      <c r="AO1331" s="162"/>
      <c r="AP1331" s="162"/>
      <c r="AQ1331" s="162"/>
      <c r="AR1331" s="710"/>
      <c r="AV1331" s="82"/>
      <c r="AW1331" s="947"/>
      <c r="AX1331" s="947"/>
      <c r="AY1331" s="947"/>
    </row>
    <row r="1332" spans="31:51" x14ac:dyDescent="0.25">
      <c r="AE1332" s="75"/>
      <c r="AF1332" s="82"/>
      <c r="AG1332" s="82"/>
      <c r="AH1332" s="82"/>
      <c r="AI1332" s="82"/>
      <c r="AJ1332" s="166"/>
      <c r="AK1332" s="82"/>
      <c r="AL1332" s="162"/>
      <c r="AM1332" s="162"/>
      <c r="AN1332" s="162"/>
      <c r="AO1332" s="162"/>
      <c r="AP1332" s="162"/>
      <c r="AQ1332" s="162"/>
      <c r="AR1332" s="710"/>
      <c r="AV1332" s="82"/>
      <c r="AW1332" s="947"/>
      <c r="AX1332" s="947"/>
      <c r="AY1332" s="947"/>
    </row>
    <row r="1333" spans="31:51" x14ac:dyDescent="0.25">
      <c r="AE1333" s="75"/>
      <c r="AF1333" s="82"/>
      <c r="AG1333" s="82"/>
      <c r="AH1333" s="82"/>
      <c r="AI1333" s="82"/>
      <c r="AJ1333" s="166"/>
      <c r="AK1333" s="82"/>
      <c r="AL1333" s="162"/>
      <c r="AM1333" s="162"/>
      <c r="AN1333" s="162"/>
      <c r="AO1333" s="162"/>
      <c r="AP1333" s="162"/>
      <c r="AQ1333" s="162"/>
      <c r="AR1333" s="710"/>
      <c r="AV1333" s="82"/>
      <c r="AW1333" s="947"/>
      <c r="AX1333" s="947"/>
      <c r="AY1333" s="947"/>
    </row>
    <row r="1334" spans="31:51" x14ac:dyDescent="0.25">
      <c r="AE1334" s="75"/>
      <c r="AF1334" s="82"/>
      <c r="AG1334" s="82"/>
      <c r="AH1334" s="82"/>
      <c r="AI1334" s="82"/>
      <c r="AJ1334" s="166"/>
      <c r="AK1334" s="82"/>
      <c r="AL1334" s="162"/>
      <c r="AM1334" s="162"/>
      <c r="AN1334" s="162"/>
      <c r="AO1334" s="162"/>
      <c r="AP1334" s="162"/>
      <c r="AQ1334" s="162"/>
      <c r="AR1334" s="710"/>
      <c r="AV1334" s="82"/>
      <c r="AW1334" s="947"/>
      <c r="AX1334" s="947"/>
      <c r="AY1334" s="947"/>
    </row>
    <row r="1335" spans="31:51" x14ac:dyDescent="0.25">
      <c r="AE1335" s="75"/>
      <c r="AF1335" s="82"/>
      <c r="AG1335" s="82"/>
      <c r="AH1335" s="82"/>
      <c r="AI1335" s="82"/>
      <c r="AJ1335" s="166"/>
      <c r="AK1335" s="82"/>
      <c r="AL1335" s="162"/>
      <c r="AM1335" s="162"/>
      <c r="AN1335" s="162"/>
      <c r="AO1335" s="162"/>
      <c r="AP1335" s="162"/>
      <c r="AQ1335" s="162"/>
      <c r="AR1335" s="710"/>
      <c r="AV1335" s="82"/>
      <c r="AW1335" s="947"/>
      <c r="AX1335" s="947"/>
      <c r="AY1335" s="947"/>
    </row>
    <row r="1336" spans="31:51" x14ac:dyDescent="0.25">
      <c r="AE1336" s="75"/>
      <c r="AF1336" s="82"/>
      <c r="AG1336" s="82"/>
      <c r="AH1336" s="82"/>
      <c r="AI1336" s="82"/>
      <c r="AJ1336" s="166"/>
      <c r="AK1336" s="82"/>
      <c r="AL1336" s="162"/>
      <c r="AM1336" s="162"/>
      <c r="AN1336" s="162"/>
      <c r="AO1336" s="162"/>
      <c r="AP1336" s="162"/>
      <c r="AQ1336" s="162"/>
      <c r="AR1336" s="710"/>
      <c r="AV1336" s="82"/>
      <c r="AW1336" s="947"/>
      <c r="AX1336" s="947"/>
      <c r="AY1336" s="947"/>
    </row>
    <row r="1337" spans="31:51" x14ac:dyDescent="0.25">
      <c r="AE1337" s="75"/>
      <c r="AF1337" s="82"/>
      <c r="AG1337" s="82"/>
      <c r="AH1337" s="82"/>
      <c r="AI1337" s="82"/>
      <c r="AJ1337" s="166"/>
      <c r="AK1337" s="82"/>
      <c r="AL1337" s="162"/>
      <c r="AM1337" s="162"/>
      <c r="AN1337" s="162"/>
      <c r="AO1337" s="162"/>
      <c r="AP1337" s="162"/>
      <c r="AQ1337" s="162"/>
      <c r="AR1337" s="710"/>
      <c r="AV1337" s="82"/>
      <c r="AW1337" s="947"/>
      <c r="AX1337" s="947"/>
      <c r="AY1337" s="947"/>
    </row>
    <row r="1338" spans="31:51" x14ac:dyDescent="0.25">
      <c r="AE1338" s="75"/>
      <c r="AF1338" s="82"/>
      <c r="AG1338" s="82"/>
      <c r="AH1338" s="82"/>
      <c r="AI1338" s="82"/>
      <c r="AJ1338" s="166"/>
      <c r="AK1338" s="82"/>
      <c r="AL1338" s="162"/>
      <c r="AM1338" s="162"/>
      <c r="AN1338" s="162"/>
      <c r="AO1338" s="162"/>
      <c r="AP1338" s="162"/>
      <c r="AQ1338" s="162"/>
      <c r="AR1338" s="710"/>
      <c r="AV1338" s="82"/>
      <c r="AW1338" s="947"/>
      <c r="AX1338" s="947"/>
      <c r="AY1338" s="947"/>
    </row>
    <row r="1339" spans="31:51" x14ac:dyDescent="0.25">
      <c r="AE1339" s="75"/>
      <c r="AF1339" s="82"/>
      <c r="AG1339" s="82"/>
      <c r="AH1339" s="82"/>
      <c r="AI1339" s="82"/>
      <c r="AJ1339" s="166"/>
      <c r="AK1339" s="82"/>
      <c r="AL1339" s="162"/>
      <c r="AM1339" s="162"/>
      <c r="AN1339" s="162"/>
      <c r="AO1339" s="162"/>
      <c r="AP1339" s="162"/>
      <c r="AQ1339" s="162"/>
      <c r="AR1339" s="710"/>
      <c r="AV1339" s="82"/>
      <c r="AW1339" s="947"/>
      <c r="AX1339" s="947"/>
      <c r="AY1339" s="947"/>
    </row>
    <row r="1340" spans="31:51" x14ac:dyDescent="0.25">
      <c r="AE1340" s="75"/>
      <c r="AF1340" s="82"/>
      <c r="AG1340" s="82"/>
      <c r="AH1340" s="82"/>
      <c r="AI1340" s="82"/>
      <c r="AJ1340" s="166"/>
      <c r="AK1340" s="82"/>
      <c r="AL1340" s="162"/>
      <c r="AM1340" s="162"/>
      <c r="AN1340" s="162"/>
      <c r="AO1340" s="162"/>
      <c r="AP1340" s="162"/>
      <c r="AQ1340" s="162"/>
      <c r="AR1340" s="710"/>
      <c r="AV1340" s="82"/>
      <c r="AW1340" s="947"/>
      <c r="AX1340" s="947"/>
      <c r="AY1340" s="947"/>
    </row>
    <row r="1341" spans="31:51" x14ac:dyDescent="0.25">
      <c r="AE1341" s="75"/>
      <c r="AF1341" s="82"/>
      <c r="AG1341" s="82"/>
      <c r="AH1341" s="82"/>
      <c r="AI1341" s="82"/>
      <c r="AJ1341" s="166"/>
      <c r="AK1341" s="82"/>
      <c r="AL1341" s="162"/>
      <c r="AM1341" s="162"/>
      <c r="AN1341" s="162"/>
      <c r="AO1341" s="162"/>
      <c r="AP1341" s="162"/>
      <c r="AQ1341" s="162"/>
      <c r="AR1341" s="710"/>
      <c r="AV1341" s="82"/>
      <c r="AW1341" s="947"/>
      <c r="AX1341" s="947"/>
      <c r="AY1341" s="947"/>
    </row>
    <row r="1342" spans="31:51" x14ac:dyDescent="0.25">
      <c r="AE1342" s="75"/>
      <c r="AF1342" s="82"/>
      <c r="AG1342" s="82"/>
      <c r="AH1342" s="82"/>
      <c r="AI1342" s="82"/>
      <c r="AJ1342" s="166"/>
      <c r="AK1342" s="82"/>
      <c r="AL1342" s="162"/>
      <c r="AM1342" s="162"/>
      <c r="AN1342" s="162"/>
      <c r="AO1342" s="162"/>
      <c r="AP1342" s="162"/>
      <c r="AQ1342" s="162"/>
      <c r="AR1342" s="710"/>
      <c r="AV1342" s="82"/>
      <c r="AW1342" s="947"/>
      <c r="AX1342" s="947"/>
      <c r="AY1342" s="947"/>
    </row>
    <row r="1343" spans="31:51" x14ac:dyDescent="0.25">
      <c r="AE1343" s="75"/>
      <c r="AF1343" s="82"/>
      <c r="AG1343" s="82"/>
      <c r="AH1343" s="82"/>
      <c r="AI1343" s="82"/>
      <c r="AJ1343" s="166"/>
      <c r="AK1343" s="82"/>
      <c r="AL1343" s="162"/>
      <c r="AM1343" s="162"/>
      <c r="AN1343" s="162"/>
      <c r="AO1343" s="162"/>
      <c r="AP1343" s="162"/>
      <c r="AQ1343" s="162"/>
      <c r="AR1343" s="710"/>
      <c r="AV1343" s="82"/>
      <c r="AW1343" s="947"/>
      <c r="AX1343" s="947"/>
      <c r="AY1343" s="947"/>
    </row>
    <row r="1344" spans="31:51" x14ac:dyDescent="0.25">
      <c r="AE1344" s="75"/>
      <c r="AF1344" s="82"/>
      <c r="AG1344" s="82"/>
      <c r="AH1344" s="82"/>
      <c r="AI1344" s="82"/>
      <c r="AJ1344" s="166"/>
      <c r="AK1344" s="82"/>
      <c r="AL1344" s="162"/>
      <c r="AM1344" s="162"/>
      <c r="AN1344" s="162"/>
      <c r="AO1344" s="162"/>
      <c r="AP1344" s="162"/>
      <c r="AQ1344" s="162"/>
      <c r="AR1344" s="710"/>
      <c r="AV1344" s="82"/>
      <c r="AW1344" s="947"/>
      <c r="AX1344" s="947"/>
      <c r="AY1344" s="947"/>
    </row>
    <row r="1345" spans="31:51" x14ac:dyDescent="0.25">
      <c r="AE1345" s="75"/>
      <c r="AF1345" s="82"/>
      <c r="AG1345" s="82"/>
      <c r="AH1345" s="82"/>
      <c r="AI1345" s="82"/>
      <c r="AJ1345" s="166"/>
      <c r="AK1345" s="82"/>
      <c r="AL1345" s="162"/>
      <c r="AM1345" s="162"/>
      <c r="AN1345" s="162"/>
      <c r="AO1345" s="162"/>
      <c r="AP1345" s="162"/>
      <c r="AQ1345" s="162"/>
      <c r="AR1345" s="710"/>
      <c r="AV1345" s="82"/>
      <c r="AW1345" s="947"/>
      <c r="AX1345" s="947"/>
      <c r="AY1345" s="947"/>
    </row>
    <row r="1346" spans="31:51" x14ac:dyDescent="0.25">
      <c r="AE1346" s="75"/>
      <c r="AF1346" s="82"/>
      <c r="AG1346" s="82"/>
      <c r="AH1346" s="82"/>
      <c r="AI1346" s="82"/>
      <c r="AJ1346" s="166"/>
      <c r="AK1346" s="82"/>
      <c r="AL1346" s="162"/>
      <c r="AM1346" s="162"/>
      <c r="AN1346" s="162"/>
      <c r="AO1346" s="162"/>
      <c r="AP1346" s="162"/>
      <c r="AQ1346" s="162"/>
      <c r="AR1346" s="710"/>
      <c r="AV1346" s="82"/>
      <c r="AW1346" s="947"/>
      <c r="AX1346" s="947"/>
      <c r="AY1346" s="947"/>
    </row>
    <row r="1347" spans="31:51" x14ac:dyDescent="0.25">
      <c r="AE1347" s="75"/>
      <c r="AF1347" s="82"/>
      <c r="AG1347" s="82"/>
      <c r="AH1347" s="82"/>
      <c r="AI1347" s="82"/>
      <c r="AJ1347" s="166"/>
      <c r="AK1347" s="82"/>
      <c r="AL1347" s="162"/>
      <c r="AM1347" s="162"/>
      <c r="AN1347" s="162"/>
      <c r="AO1347" s="162"/>
      <c r="AP1347" s="162"/>
      <c r="AQ1347" s="162"/>
      <c r="AR1347" s="710"/>
      <c r="AV1347" s="82"/>
      <c r="AW1347" s="947"/>
      <c r="AX1347" s="947"/>
      <c r="AY1347" s="947"/>
    </row>
    <row r="1348" spans="31:51" x14ac:dyDescent="0.25">
      <c r="AE1348" s="75"/>
      <c r="AF1348" s="82"/>
      <c r="AG1348" s="82"/>
      <c r="AH1348" s="82"/>
      <c r="AI1348" s="82"/>
      <c r="AJ1348" s="166"/>
      <c r="AK1348" s="82"/>
      <c r="AL1348" s="162"/>
      <c r="AM1348" s="162"/>
      <c r="AN1348" s="162"/>
      <c r="AO1348" s="162"/>
      <c r="AP1348" s="162"/>
      <c r="AQ1348" s="162"/>
      <c r="AR1348" s="710"/>
      <c r="AV1348" s="82"/>
      <c r="AW1348" s="947"/>
      <c r="AX1348" s="947"/>
      <c r="AY1348" s="947"/>
    </row>
    <row r="1349" spans="31:51" x14ac:dyDescent="0.25">
      <c r="AE1349" s="75"/>
      <c r="AF1349" s="82"/>
      <c r="AG1349" s="82"/>
      <c r="AH1349" s="82"/>
      <c r="AI1349" s="82"/>
      <c r="AJ1349" s="166"/>
      <c r="AK1349" s="82"/>
      <c r="AL1349" s="162"/>
      <c r="AM1349" s="162"/>
      <c r="AN1349" s="162"/>
      <c r="AO1349" s="162"/>
      <c r="AP1349" s="162"/>
      <c r="AQ1349" s="162"/>
      <c r="AR1349" s="710"/>
      <c r="AV1349" s="82"/>
      <c r="AW1349" s="947"/>
      <c r="AX1349" s="947"/>
      <c r="AY1349" s="947"/>
    </row>
    <row r="1350" spans="31:51" x14ac:dyDescent="0.25">
      <c r="AE1350" s="75"/>
      <c r="AF1350" s="82"/>
      <c r="AG1350" s="82"/>
      <c r="AH1350" s="82"/>
      <c r="AI1350" s="82"/>
      <c r="AJ1350" s="166"/>
      <c r="AK1350" s="82"/>
      <c r="AL1350" s="162"/>
      <c r="AM1350" s="162"/>
      <c r="AN1350" s="162"/>
      <c r="AO1350" s="162"/>
      <c r="AP1350" s="162"/>
      <c r="AQ1350" s="162"/>
      <c r="AR1350" s="710"/>
      <c r="AV1350" s="82"/>
      <c r="AW1350" s="947"/>
      <c r="AX1350" s="947"/>
      <c r="AY1350" s="947"/>
    </row>
    <row r="1351" spans="31:51" x14ac:dyDescent="0.25">
      <c r="AE1351" s="75"/>
      <c r="AF1351" s="82"/>
      <c r="AG1351" s="82"/>
      <c r="AH1351" s="82"/>
      <c r="AI1351" s="82"/>
      <c r="AJ1351" s="166"/>
      <c r="AK1351" s="82"/>
      <c r="AL1351" s="162"/>
      <c r="AM1351" s="162"/>
      <c r="AN1351" s="162"/>
      <c r="AO1351" s="162"/>
      <c r="AP1351" s="162"/>
      <c r="AQ1351" s="162"/>
      <c r="AR1351" s="710"/>
      <c r="AV1351" s="82"/>
      <c r="AW1351" s="947"/>
      <c r="AX1351" s="947"/>
      <c r="AY1351" s="947"/>
    </row>
    <row r="1352" spans="31:51" x14ac:dyDescent="0.25">
      <c r="AE1352" s="75"/>
      <c r="AF1352" s="82"/>
      <c r="AG1352" s="82"/>
      <c r="AH1352" s="82"/>
      <c r="AI1352" s="82"/>
      <c r="AJ1352" s="166"/>
      <c r="AK1352" s="82"/>
      <c r="AL1352" s="162"/>
      <c r="AM1352" s="162"/>
      <c r="AN1352" s="162"/>
      <c r="AO1352" s="162"/>
      <c r="AP1352" s="162"/>
      <c r="AQ1352" s="162"/>
      <c r="AR1352" s="710"/>
      <c r="AV1352" s="82"/>
      <c r="AW1352" s="947"/>
      <c r="AX1352" s="947"/>
      <c r="AY1352" s="947"/>
    </row>
    <row r="1353" spans="31:51" x14ac:dyDescent="0.25">
      <c r="AE1353" s="75"/>
      <c r="AF1353" s="82"/>
      <c r="AG1353" s="82"/>
      <c r="AH1353" s="82"/>
      <c r="AI1353" s="82"/>
      <c r="AJ1353" s="166"/>
      <c r="AK1353" s="82"/>
      <c r="AL1353" s="162"/>
      <c r="AM1353" s="162"/>
      <c r="AN1353" s="162"/>
      <c r="AO1353" s="162"/>
      <c r="AP1353" s="162"/>
      <c r="AQ1353" s="162"/>
      <c r="AR1353" s="710"/>
      <c r="AV1353" s="82"/>
      <c r="AW1353" s="947"/>
      <c r="AX1353" s="947"/>
      <c r="AY1353" s="947"/>
    </row>
    <row r="1354" spans="31:51" x14ac:dyDescent="0.25">
      <c r="AE1354" s="75"/>
      <c r="AF1354" s="82"/>
      <c r="AG1354" s="82"/>
      <c r="AH1354" s="82"/>
      <c r="AI1354" s="82"/>
      <c r="AJ1354" s="166"/>
      <c r="AK1354" s="82"/>
      <c r="AL1354" s="162"/>
      <c r="AM1354" s="162"/>
      <c r="AN1354" s="162"/>
      <c r="AO1354" s="162"/>
      <c r="AP1354" s="162"/>
      <c r="AQ1354" s="162"/>
      <c r="AR1354" s="710"/>
      <c r="AV1354" s="82"/>
      <c r="AW1354" s="947"/>
      <c r="AX1354" s="947"/>
      <c r="AY1354" s="947"/>
    </row>
    <row r="1355" spans="31:51" x14ac:dyDescent="0.25">
      <c r="AE1355" s="75"/>
      <c r="AF1355" s="82"/>
      <c r="AG1355" s="82"/>
      <c r="AH1355" s="82"/>
      <c r="AI1355" s="82"/>
      <c r="AJ1355" s="166"/>
      <c r="AK1355" s="82"/>
      <c r="AL1355" s="162"/>
      <c r="AM1355" s="162"/>
      <c r="AN1355" s="162"/>
      <c r="AO1355" s="162"/>
      <c r="AP1355" s="162"/>
      <c r="AQ1355" s="162"/>
      <c r="AR1355" s="710"/>
      <c r="AV1355" s="82"/>
      <c r="AW1355" s="947"/>
      <c r="AX1355" s="947"/>
      <c r="AY1355" s="947"/>
    </row>
    <row r="1356" spans="31:51" x14ac:dyDescent="0.25">
      <c r="AE1356" s="75"/>
      <c r="AF1356" s="82"/>
      <c r="AG1356" s="82"/>
      <c r="AH1356" s="82"/>
      <c r="AI1356" s="82"/>
      <c r="AJ1356" s="166"/>
      <c r="AK1356" s="82"/>
      <c r="AL1356" s="162"/>
      <c r="AM1356" s="162"/>
      <c r="AN1356" s="162"/>
      <c r="AO1356" s="162"/>
      <c r="AP1356" s="162"/>
      <c r="AQ1356" s="162"/>
      <c r="AR1356" s="710"/>
      <c r="AV1356" s="82"/>
      <c r="AW1356" s="947"/>
      <c r="AX1356" s="947"/>
      <c r="AY1356" s="947"/>
    </row>
    <row r="1357" spans="31:51" x14ac:dyDescent="0.25">
      <c r="AE1357" s="75"/>
      <c r="AF1357" s="82"/>
      <c r="AG1357" s="82"/>
      <c r="AH1357" s="82"/>
      <c r="AI1357" s="82"/>
      <c r="AJ1357" s="166"/>
      <c r="AK1357" s="82"/>
      <c r="AL1357" s="162"/>
      <c r="AM1357" s="162"/>
      <c r="AN1357" s="162"/>
      <c r="AO1357" s="162"/>
      <c r="AP1357" s="162"/>
      <c r="AQ1357" s="162"/>
      <c r="AR1357" s="710"/>
      <c r="AV1357" s="82"/>
      <c r="AW1357" s="947"/>
      <c r="AX1357" s="947"/>
      <c r="AY1357" s="947"/>
    </row>
    <row r="1358" spans="31:51" x14ac:dyDescent="0.25">
      <c r="AE1358" s="75"/>
      <c r="AF1358" s="82"/>
      <c r="AG1358" s="82"/>
      <c r="AH1358" s="82"/>
      <c r="AI1358" s="82"/>
      <c r="AJ1358" s="166"/>
      <c r="AK1358" s="82"/>
      <c r="AL1358" s="162"/>
      <c r="AM1358" s="162"/>
      <c r="AN1358" s="162"/>
      <c r="AO1358" s="162"/>
      <c r="AP1358" s="162"/>
      <c r="AQ1358" s="162"/>
      <c r="AR1358" s="710"/>
      <c r="AV1358" s="82"/>
      <c r="AW1358" s="947"/>
      <c r="AX1358" s="947"/>
      <c r="AY1358" s="947"/>
    </row>
    <row r="1359" spans="31:51" x14ac:dyDescent="0.25">
      <c r="AE1359" s="75"/>
      <c r="AF1359" s="82"/>
      <c r="AG1359" s="82"/>
      <c r="AH1359" s="82"/>
      <c r="AI1359" s="82"/>
      <c r="AJ1359" s="166"/>
      <c r="AK1359" s="82"/>
      <c r="AL1359" s="162"/>
      <c r="AM1359" s="162"/>
      <c r="AN1359" s="162"/>
      <c r="AO1359" s="162"/>
      <c r="AP1359" s="162"/>
      <c r="AQ1359" s="162"/>
      <c r="AR1359" s="710"/>
      <c r="AV1359" s="82"/>
      <c r="AW1359" s="947"/>
      <c r="AX1359" s="947"/>
      <c r="AY1359" s="947"/>
    </row>
    <row r="1360" spans="31:51" x14ac:dyDescent="0.25">
      <c r="AE1360" s="75"/>
      <c r="AF1360" s="82"/>
      <c r="AG1360" s="82"/>
      <c r="AH1360" s="82"/>
      <c r="AI1360" s="82"/>
      <c r="AJ1360" s="166"/>
      <c r="AK1360" s="82"/>
      <c r="AL1360" s="162"/>
      <c r="AM1360" s="162"/>
      <c r="AN1360" s="162"/>
      <c r="AO1360" s="162"/>
      <c r="AP1360" s="162"/>
      <c r="AQ1360" s="162"/>
      <c r="AR1360" s="710"/>
      <c r="AV1360" s="82"/>
      <c r="AW1360" s="947"/>
      <c r="AX1360" s="947"/>
      <c r="AY1360" s="947"/>
    </row>
    <row r="1361" spans="31:51" x14ac:dyDescent="0.25">
      <c r="AE1361" s="75"/>
      <c r="AF1361" s="82"/>
      <c r="AG1361" s="82"/>
      <c r="AH1361" s="82"/>
      <c r="AI1361" s="82"/>
      <c r="AJ1361" s="166"/>
      <c r="AK1361" s="82"/>
      <c r="AL1361" s="162"/>
      <c r="AM1361" s="162"/>
      <c r="AN1361" s="162"/>
      <c r="AO1361" s="162"/>
      <c r="AP1361" s="162"/>
      <c r="AQ1361" s="162"/>
      <c r="AR1361" s="710"/>
      <c r="AV1361" s="82"/>
      <c r="AW1361" s="947"/>
      <c r="AX1361" s="947"/>
      <c r="AY1361" s="947"/>
    </row>
    <row r="1362" spans="31:51" x14ac:dyDescent="0.25">
      <c r="AE1362" s="75"/>
      <c r="AF1362" s="82"/>
      <c r="AG1362" s="82"/>
      <c r="AH1362" s="82"/>
      <c r="AI1362" s="82"/>
      <c r="AJ1362" s="166"/>
      <c r="AK1362" s="82"/>
      <c r="AL1362" s="162"/>
      <c r="AM1362" s="162"/>
      <c r="AN1362" s="162"/>
      <c r="AO1362" s="162"/>
      <c r="AP1362" s="162"/>
      <c r="AQ1362" s="162"/>
      <c r="AR1362" s="710"/>
      <c r="AV1362" s="82"/>
      <c r="AW1362" s="947"/>
      <c r="AX1362" s="947"/>
      <c r="AY1362" s="947"/>
    </row>
    <row r="1363" spans="31:51" x14ac:dyDescent="0.25">
      <c r="AE1363" s="75"/>
      <c r="AF1363" s="82"/>
      <c r="AG1363" s="82"/>
      <c r="AH1363" s="82"/>
      <c r="AI1363" s="82"/>
      <c r="AJ1363" s="166"/>
      <c r="AK1363" s="82"/>
      <c r="AL1363" s="162"/>
      <c r="AM1363" s="162"/>
      <c r="AN1363" s="162"/>
      <c r="AO1363" s="162"/>
      <c r="AP1363" s="162"/>
      <c r="AQ1363" s="162"/>
      <c r="AR1363" s="710"/>
      <c r="AV1363" s="82"/>
      <c r="AW1363" s="947"/>
      <c r="AX1363" s="947"/>
      <c r="AY1363" s="947"/>
    </row>
    <row r="1364" spans="31:51" x14ac:dyDescent="0.25">
      <c r="AE1364" s="75"/>
      <c r="AF1364" s="82"/>
      <c r="AG1364" s="82"/>
      <c r="AH1364" s="82"/>
      <c r="AI1364" s="82"/>
      <c r="AJ1364" s="166"/>
      <c r="AK1364" s="82"/>
      <c r="AL1364" s="162"/>
      <c r="AM1364" s="162"/>
      <c r="AN1364" s="162"/>
      <c r="AO1364" s="162"/>
      <c r="AP1364" s="162"/>
      <c r="AQ1364" s="162"/>
      <c r="AR1364" s="710"/>
      <c r="AV1364" s="82"/>
      <c r="AW1364" s="947"/>
      <c r="AX1364" s="947"/>
      <c r="AY1364" s="947"/>
    </row>
    <row r="1365" spans="31:51" x14ac:dyDescent="0.25">
      <c r="AE1365" s="75"/>
      <c r="AF1365" s="82"/>
      <c r="AG1365" s="82"/>
      <c r="AH1365" s="82"/>
      <c r="AI1365" s="82"/>
      <c r="AJ1365" s="166"/>
      <c r="AK1365" s="82"/>
      <c r="AL1365" s="162"/>
      <c r="AM1365" s="162"/>
      <c r="AN1365" s="162"/>
      <c r="AO1365" s="162"/>
      <c r="AP1365" s="162"/>
      <c r="AQ1365" s="162"/>
      <c r="AR1365" s="710"/>
      <c r="AV1365" s="82"/>
      <c r="AW1365" s="947"/>
      <c r="AX1365" s="947"/>
      <c r="AY1365" s="947"/>
    </row>
    <row r="1366" spans="31:51" x14ac:dyDescent="0.25">
      <c r="AE1366" s="75"/>
      <c r="AF1366" s="82"/>
      <c r="AG1366" s="82"/>
      <c r="AH1366" s="82"/>
      <c r="AI1366" s="82"/>
      <c r="AJ1366" s="166"/>
      <c r="AK1366" s="82"/>
      <c r="AL1366" s="162"/>
      <c r="AM1366" s="162"/>
      <c r="AN1366" s="162"/>
      <c r="AO1366" s="162"/>
      <c r="AP1366" s="162"/>
      <c r="AQ1366" s="162"/>
      <c r="AR1366" s="710"/>
      <c r="AV1366" s="82"/>
      <c r="AW1366" s="947"/>
      <c r="AX1366" s="947"/>
      <c r="AY1366" s="947"/>
    </row>
    <row r="1367" spans="31:51" x14ac:dyDescent="0.25">
      <c r="AE1367" s="75"/>
      <c r="AF1367" s="82"/>
      <c r="AG1367" s="82"/>
      <c r="AH1367" s="82"/>
      <c r="AI1367" s="82"/>
      <c r="AJ1367" s="166"/>
      <c r="AK1367" s="82"/>
      <c r="AL1367" s="162"/>
      <c r="AM1367" s="162"/>
      <c r="AN1367" s="162"/>
      <c r="AO1367" s="162"/>
      <c r="AP1367" s="162"/>
      <c r="AQ1367" s="162"/>
      <c r="AR1367" s="710"/>
      <c r="AV1367" s="82"/>
      <c r="AW1367" s="947"/>
      <c r="AX1367" s="947"/>
      <c r="AY1367" s="947"/>
    </row>
    <row r="1368" spans="31:51" x14ac:dyDescent="0.25">
      <c r="AE1368" s="75"/>
      <c r="AF1368" s="82"/>
      <c r="AG1368" s="82"/>
      <c r="AH1368" s="82"/>
      <c r="AI1368" s="82"/>
      <c r="AJ1368" s="166"/>
      <c r="AK1368" s="82"/>
      <c r="AL1368" s="162"/>
      <c r="AM1368" s="162"/>
      <c r="AN1368" s="162"/>
      <c r="AO1368" s="162"/>
      <c r="AP1368" s="162"/>
      <c r="AQ1368" s="162"/>
      <c r="AR1368" s="710"/>
      <c r="AV1368" s="82"/>
      <c r="AW1368" s="947"/>
      <c r="AX1368" s="947"/>
      <c r="AY1368" s="947"/>
    </row>
    <row r="1369" spans="31:51" x14ac:dyDescent="0.25">
      <c r="AE1369" s="75"/>
      <c r="AF1369" s="82"/>
      <c r="AG1369" s="82"/>
      <c r="AH1369" s="82"/>
      <c r="AI1369" s="82"/>
      <c r="AJ1369" s="166"/>
      <c r="AK1369" s="82"/>
      <c r="AL1369" s="162"/>
      <c r="AM1369" s="162"/>
      <c r="AN1369" s="162"/>
      <c r="AO1369" s="162"/>
      <c r="AP1369" s="162"/>
      <c r="AQ1369" s="162"/>
      <c r="AR1369" s="710"/>
      <c r="AV1369" s="82"/>
      <c r="AW1369" s="947"/>
      <c r="AX1369" s="947"/>
      <c r="AY1369" s="947"/>
    </row>
    <row r="1370" spans="31:51" x14ac:dyDescent="0.25">
      <c r="AE1370" s="75"/>
      <c r="AF1370" s="82"/>
      <c r="AG1370" s="82"/>
      <c r="AH1370" s="82"/>
      <c r="AI1370" s="82"/>
      <c r="AJ1370" s="166"/>
      <c r="AK1370" s="82"/>
      <c r="AL1370" s="162"/>
      <c r="AM1370" s="162"/>
      <c r="AN1370" s="162"/>
      <c r="AO1370" s="162"/>
      <c r="AP1370" s="162"/>
      <c r="AQ1370" s="162"/>
      <c r="AR1370" s="710"/>
      <c r="AV1370" s="82"/>
      <c r="AW1370" s="947"/>
      <c r="AX1370" s="947"/>
      <c r="AY1370" s="947"/>
    </row>
    <row r="1371" spans="31:51" x14ac:dyDescent="0.25">
      <c r="AE1371" s="75"/>
      <c r="AF1371" s="82"/>
      <c r="AG1371" s="82"/>
      <c r="AH1371" s="82"/>
      <c r="AI1371" s="82"/>
      <c r="AJ1371" s="166"/>
      <c r="AK1371" s="82"/>
      <c r="AL1371" s="162"/>
      <c r="AM1371" s="162"/>
      <c r="AN1371" s="162"/>
      <c r="AO1371" s="162"/>
      <c r="AP1371" s="162"/>
      <c r="AQ1371" s="162"/>
      <c r="AR1371" s="710"/>
      <c r="AV1371" s="82"/>
      <c r="AW1371" s="947"/>
      <c r="AX1371" s="947"/>
      <c r="AY1371" s="947"/>
    </row>
    <row r="1372" spans="31:51" x14ac:dyDescent="0.25">
      <c r="AE1372" s="75"/>
      <c r="AF1372" s="82"/>
      <c r="AG1372" s="82"/>
      <c r="AH1372" s="82"/>
      <c r="AI1372" s="82"/>
      <c r="AJ1372" s="166"/>
      <c r="AK1372" s="82"/>
      <c r="AL1372" s="162"/>
      <c r="AM1372" s="162"/>
      <c r="AN1372" s="162"/>
      <c r="AO1372" s="162"/>
      <c r="AP1372" s="162"/>
      <c r="AQ1372" s="162"/>
      <c r="AR1372" s="710"/>
      <c r="AV1372" s="82"/>
      <c r="AW1372" s="947"/>
      <c r="AX1372" s="947"/>
      <c r="AY1372" s="947"/>
    </row>
    <row r="1373" spans="31:51" x14ac:dyDescent="0.25">
      <c r="AE1373" s="75"/>
      <c r="AF1373" s="82"/>
      <c r="AG1373" s="82"/>
      <c r="AH1373" s="82"/>
      <c r="AI1373" s="82"/>
      <c r="AJ1373" s="166"/>
      <c r="AK1373" s="82"/>
      <c r="AL1373" s="162"/>
      <c r="AM1373" s="162"/>
      <c r="AN1373" s="162"/>
      <c r="AO1373" s="162"/>
      <c r="AP1373" s="162"/>
      <c r="AQ1373" s="162"/>
      <c r="AR1373" s="710"/>
      <c r="AV1373" s="82"/>
      <c r="AW1373" s="947"/>
      <c r="AX1373" s="947"/>
      <c r="AY1373" s="947"/>
    </row>
    <row r="1374" spans="31:51" x14ac:dyDescent="0.25">
      <c r="AE1374" s="75"/>
      <c r="AF1374" s="82"/>
      <c r="AG1374" s="82"/>
      <c r="AH1374" s="82"/>
      <c r="AI1374" s="82"/>
      <c r="AJ1374" s="166"/>
      <c r="AK1374" s="82"/>
      <c r="AL1374" s="162"/>
      <c r="AM1374" s="162"/>
      <c r="AN1374" s="162"/>
      <c r="AO1374" s="162"/>
      <c r="AP1374" s="162"/>
      <c r="AQ1374" s="162"/>
      <c r="AR1374" s="710"/>
      <c r="AV1374" s="82"/>
      <c r="AW1374" s="947"/>
      <c r="AX1374" s="947"/>
      <c r="AY1374" s="947"/>
    </row>
    <row r="1375" spans="31:51" x14ac:dyDescent="0.25">
      <c r="AE1375" s="75"/>
      <c r="AF1375" s="82"/>
      <c r="AG1375" s="82"/>
      <c r="AH1375" s="82"/>
      <c r="AI1375" s="82"/>
      <c r="AJ1375" s="166"/>
      <c r="AK1375" s="82"/>
      <c r="AL1375" s="162"/>
      <c r="AM1375" s="162"/>
      <c r="AN1375" s="162"/>
      <c r="AO1375" s="162"/>
      <c r="AP1375" s="162"/>
      <c r="AQ1375" s="162"/>
      <c r="AR1375" s="710"/>
      <c r="AV1375" s="82"/>
      <c r="AW1375" s="947"/>
      <c r="AX1375" s="947"/>
      <c r="AY1375" s="947"/>
    </row>
    <row r="1376" spans="31:51" x14ac:dyDescent="0.25">
      <c r="AE1376" s="75"/>
      <c r="AF1376" s="82"/>
      <c r="AG1376" s="82"/>
      <c r="AH1376" s="82"/>
      <c r="AI1376" s="82"/>
      <c r="AJ1376" s="166"/>
      <c r="AK1376" s="82"/>
      <c r="AL1376" s="162"/>
      <c r="AM1376" s="162"/>
      <c r="AN1376" s="162"/>
      <c r="AO1376" s="162"/>
      <c r="AP1376" s="162"/>
      <c r="AQ1376" s="162"/>
      <c r="AR1376" s="710"/>
      <c r="AV1376" s="82"/>
      <c r="AW1376" s="947"/>
      <c r="AX1376" s="947"/>
      <c r="AY1376" s="947"/>
    </row>
    <row r="1377" spans="31:51" x14ac:dyDescent="0.25">
      <c r="AE1377" s="75"/>
      <c r="AF1377" s="82"/>
      <c r="AG1377" s="82"/>
      <c r="AH1377" s="82"/>
      <c r="AI1377" s="82"/>
      <c r="AJ1377" s="166"/>
      <c r="AK1377" s="82"/>
      <c r="AL1377" s="162"/>
      <c r="AM1377" s="162"/>
      <c r="AN1377" s="162"/>
      <c r="AO1377" s="162"/>
      <c r="AP1377" s="162"/>
      <c r="AQ1377" s="162"/>
      <c r="AR1377" s="710"/>
      <c r="AV1377" s="82"/>
      <c r="AW1377" s="947"/>
      <c r="AX1377" s="947"/>
      <c r="AY1377" s="947"/>
    </row>
    <row r="1378" spans="31:51" x14ac:dyDescent="0.25">
      <c r="AE1378" s="75"/>
      <c r="AF1378" s="82"/>
      <c r="AG1378" s="82"/>
      <c r="AH1378" s="82"/>
      <c r="AI1378" s="82"/>
      <c r="AJ1378" s="166"/>
      <c r="AK1378" s="82"/>
      <c r="AL1378" s="162"/>
      <c r="AM1378" s="162"/>
      <c r="AN1378" s="162"/>
      <c r="AO1378" s="162"/>
      <c r="AP1378" s="162"/>
      <c r="AQ1378" s="162"/>
      <c r="AR1378" s="710"/>
      <c r="AV1378" s="82"/>
      <c r="AW1378" s="947"/>
      <c r="AX1378" s="947"/>
      <c r="AY1378" s="947"/>
    </row>
    <row r="1379" spans="31:51" x14ac:dyDescent="0.25">
      <c r="AE1379" s="75"/>
      <c r="AF1379" s="82"/>
      <c r="AG1379" s="82"/>
      <c r="AH1379" s="82"/>
      <c r="AI1379" s="82"/>
      <c r="AJ1379" s="166"/>
      <c r="AK1379" s="82"/>
      <c r="AL1379" s="162"/>
      <c r="AM1379" s="162"/>
      <c r="AN1379" s="162"/>
      <c r="AO1379" s="162"/>
      <c r="AP1379" s="162"/>
      <c r="AQ1379" s="162"/>
      <c r="AR1379" s="710"/>
      <c r="AV1379" s="82"/>
      <c r="AW1379" s="947"/>
      <c r="AX1379" s="947"/>
      <c r="AY1379" s="947"/>
    </row>
    <row r="1380" spans="31:51" x14ac:dyDescent="0.25">
      <c r="AE1380" s="75"/>
      <c r="AF1380" s="82"/>
      <c r="AG1380" s="82"/>
      <c r="AH1380" s="82"/>
      <c r="AI1380" s="82"/>
      <c r="AJ1380" s="166"/>
      <c r="AK1380" s="82"/>
      <c r="AL1380" s="162"/>
      <c r="AM1380" s="162"/>
      <c r="AN1380" s="162"/>
      <c r="AO1380" s="162"/>
      <c r="AP1380" s="162"/>
      <c r="AQ1380" s="162"/>
      <c r="AR1380" s="710"/>
      <c r="AV1380" s="82"/>
      <c r="AW1380" s="947"/>
      <c r="AX1380" s="947"/>
      <c r="AY1380" s="947"/>
    </row>
    <row r="1381" spans="31:51" x14ac:dyDescent="0.25">
      <c r="AE1381" s="75"/>
      <c r="AF1381" s="82"/>
      <c r="AG1381" s="82"/>
      <c r="AH1381" s="82"/>
      <c r="AI1381" s="82"/>
      <c r="AJ1381" s="166"/>
      <c r="AK1381" s="82"/>
      <c r="AL1381" s="162"/>
      <c r="AM1381" s="162"/>
      <c r="AN1381" s="162"/>
      <c r="AO1381" s="162"/>
      <c r="AP1381" s="162"/>
      <c r="AQ1381" s="162"/>
      <c r="AR1381" s="710"/>
      <c r="AV1381" s="82"/>
      <c r="AW1381" s="947"/>
      <c r="AX1381" s="947"/>
      <c r="AY1381" s="947"/>
    </row>
    <row r="1382" spans="31:51" x14ac:dyDescent="0.25">
      <c r="AE1382" s="75"/>
      <c r="AF1382" s="82"/>
      <c r="AG1382" s="82"/>
      <c r="AH1382" s="82"/>
      <c r="AI1382" s="82"/>
      <c r="AJ1382" s="166"/>
      <c r="AK1382" s="82"/>
      <c r="AL1382" s="162"/>
      <c r="AM1382" s="162"/>
      <c r="AN1382" s="162"/>
      <c r="AO1382" s="162"/>
      <c r="AP1382" s="162"/>
      <c r="AQ1382" s="162"/>
      <c r="AR1382" s="710"/>
      <c r="AV1382" s="82"/>
      <c r="AW1382" s="947"/>
      <c r="AX1382" s="947"/>
      <c r="AY1382" s="947"/>
    </row>
    <row r="1383" spans="31:51" x14ac:dyDescent="0.25">
      <c r="AE1383" s="75"/>
      <c r="AF1383" s="82"/>
      <c r="AG1383" s="82"/>
      <c r="AH1383" s="82"/>
      <c r="AI1383" s="82"/>
      <c r="AJ1383" s="166"/>
      <c r="AK1383" s="82"/>
      <c r="AL1383" s="162"/>
      <c r="AM1383" s="162"/>
      <c r="AN1383" s="162"/>
      <c r="AO1383" s="162"/>
      <c r="AP1383" s="162"/>
      <c r="AQ1383" s="162"/>
      <c r="AR1383" s="710"/>
      <c r="AV1383" s="82"/>
      <c r="AW1383" s="947"/>
      <c r="AX1383" s="947"/>
      <c r="AY1383" s="947"/>
    </row>
    <row r="1384" spans="31:51" x14ac:dyDescent="0.25">
      <c r="AE1384" s="75"/>
      <c r="AF1384" s="82"/>
      <c r="AG1384" s="82"/>
      <c r="AH1384" s="82"/>
      <c r="AI1384" s="82"/>
      <c r="AJ1384" s="166"/>
      <c r="AK1384" s="82"/>
      <c r="AL1384" s="162"/>
      <c r="AM1384" s="162"/>
      <c r="AN1384" s="162"/>
      <c r="AO1384" s="162"/>
      <c r="AP1384" s="162"/>
      <c r="AQ1384" s="162"/>
      <c r="AR1384" s="710"/>
      <c r="AV1384" s="82"/>
      <c r="AW1384" s="947"/>
      <c r="AX1384" s="947"/>
      <c r="AY1384" s="947"/>
    </row>
    <row r="1385" spans="31:51" x14ac:dyDescent="0.25">
      <c r="AE1385" s="75"/>
      <c r="AF1385" s="82"/>
      <c r="AG1385" s="82"/>
      <c r="AH1385" s="82"/>
      <c r="AI1385" s="82"/>
      <c r="AJ1385" s="166"/>
      <c r="AK1385" s="82"/>
      <c r="AL1385" s="162"/>
      <c r="AM1385" s="162"/>
      <c r="AN1385" s="162"/>
      <c r="AO1385" s="162"/>
      <c r="AP1385" s="162"/>
      <c r="AQ1385" s="162"/>
      <c r="AR1385" s="710"/>
      <c r="AV1385" s="82"/>
      <c r="AW1385" s="947"/>
      <c r="AX1385" s="947"/>
      <c r="AY1385" s="947"/>
    </row>
    <row r="1386" spans="31:51" x14ac:dyDescent="0.25">
      <c r="AE1386" s="75"/>
      <c r="AF1386" s="82"/>
      <c r="AG1386" s="82"/>
      <c r="AH1386" s="82"/>
      <c r="AI1386" s="82"/>
      <c r="AJ1386" s="166"/>
      <c r="AK1386" s="82"/>
      <c r="AL1386" s="162"/>
      <c r="AM1386" s="162"/>
      <c r="AN1386" s="162"/>
      <c r="AO1386" s="162"/>
      <c r="AP1386" s="162"/>
      <c r="AQ1386" s="162"/>
      <c r="AR1386" s="710"/>
      <c r="AV1386" s="82"/>
      <c r="AW1386" s="947"/>
      <c r="AX1386" s="947"/>
      <c r="AY1386" s="947"/>
    </row>
    <row r="1387" spans="31:51" x14ac:dyDescent="0.25">
      <c r="AE1387" s="75"/>
      <c r="AF1387" s="82"/>
      <c r="AG1387" s="82"/>
      <c r="AH1387" s="82"/>
      <c r="AI1387" s="82"/>
      <c r="AJ1387" s="166"/>
      <c r="AK1387" s="82"/>
      <c r="AL1387" s="162"/>
      <c r="AM1387" s="162"/>
      <c r="AN1387" s="162"/>
      <c r="AO1387" s="162"/>
      <c r="AP1387" s="162"/>
      <c r="AQ1387" s="162"/>
      <c r="AR1387" s="710"/>
      <c r="AV1387" s="82"/>
      <c r="AW1387" s="947"/>
      <c r="AX1387" s="947"/>
      <c r="AY1387" s="947"/>
    </row>
    <row r="1388" spans="31:51" x14ac:dyDescent="0.25">
      <c r="AE1388" s="75"/>
      <c r="AF1388" s="82"/>
      <c r="AG1388" s="82"/>
      <c r="AH1388" s="82"/>
      <c r="AI1388" s="82"/>
      <c r="AJ1388" s="166"/>
      <c r="AK1388" s="82"/>
      <c r="AL1388" s="162"/>
      <c r="AM1388" s="162"/>
      <c r="AN1388" s="162"/>
      <c r="AO1388" s="162"/>
      <c r="AP1388" s="162"/>
      <c r="AQ1388" s="162"/>
      <c r="AR1388" s="710"/>
      <c r="AV1388" s="82"/>
      <c r="AW1388" s="947"/>
      <c r="AX1388" s="947"/>
      <c r="AY1388" s="947"/>
    </row>
    <row r="1389" spans="31:51" x14ac:dyDescent="0.25">
      <c r="AE1389" s="75"/>
      <c r="AF1389" s="82"/>
      <c r="AG1389" s="82"/>
      <c r="AH1389" s="82"/>
      <c r="AI1389" s="82"/>
      <c r="AJ1389" s="166"/>
      <c r="AK1389" s="82"/>
      <c r="AL1389" s="162"/>
      <c r="AM1389" s="162"/>
      <c r="AN1389" s="162"/>
      <c r="AO1389" s="162"/>
      <c r="AP1389" s="162"/>
      <c r="AQ1389" s="162"/>
      <c r="AR1389" s="710"/>
      <c r="AV1389" s="82"/>
      <c r="AW1389" s="947"/>
      <c r="AX1389" s="947"/>
      <c r="AY1389" s="947"/>
    </row>
    <row r="1390" spans="31:51" x14ac:dyDescent="0.25">
      <c r="AE1390" s="75"/>
      <c r="AF1390" s="82"/>
      <c r="AG1390" s="82"/>
      <c r="AH1390" s="82"/>
      <c r="AI1390" s="82"/>
      <c r="AJ1390" s="166"/>
      <c r="AK1390" s="82"/>
      <c r="AL1390" s="162"/>
      <c r="AM1390" s="162"/>
      <c r="AN1390" s="162"/>
      <c r="AO1390" s="162"/>
      <c r="AP1390" s="162"/>
      <c r="AQ1390" s="162"/>
      <c r="AR1390" s="710"/>
      <c r="AV1390" s="82"/>
      <c r="AW1390" s="947"/>
      <c r="AX1390" s="947"/>
      <c r="AY1390" s="947"/>
    </row>
    <row r="1391" spans="31:51" x14ac:dyDescent="0.25">
      <c r="AE1391" s="75"/>
      <c r="AF1391" s="82"/>
      <c r="AG1391" s="82"/>
      <c r="AH1391" s="82"/>
      <c r="AI1391" s="82"/>
      <c r="AJ1391" s="166"/>
      <c r="AK1391" s="82"/>
      <c r="AL1391" s="162"/>
      <c r="AM1391" s="162"/>
      <c r="AN1391" s="162"/>
      <c r="AO1391" s="162"/>
      <c r="AP1391" s="162"/>
      <c r="AQ1391" s="162"/>
      <c r="AR1391" s="710"/>
      <c r="AV1391" s="82"/>
      <c r="AW1391" s="947"/>
      <c r="AX1391" s="947"/>
      <c r="AY1391" s="947"/>
    </row>
    <row r="1392" spans="31:51" x14ac:dyDescent="0.25">
      <c r="AE1392" s="75"/>
      <c r="AF1392" s="82"/>
      <c r="AG1392" s="82"/>
      <c r="AH1392" s="82"/>
      <c r="AI1392" s="82"/>
      <c r="AJ1392" s="166"/>
      <c r="AK1392" s="82"/>
      <c r="AL1392" s="162"/>
      <c r="AM1392" s="162"/>
      <c r="AN1392" s="162"/>
      <c r="AO1392" s="162"/>
      <c r="AP1392" s="162"/>
      <c r="AQ1392" s="162"/>
      <c r="AR1392" s="710"/>
      <c r="AV1392" s="82"/>
      <c r="AW1392" s="947"/>
      <c r="AX1392" s="947"/>
      <c r="AY1392" s="947"/>
    </row>
    <row r="1393" spans="31:51" x14ac:dyDescent="0.25">
      <c r="AE1393" s="75"/>
      <c r="AF1393" s="82"/>
      <c r="AG1393" s="82"/>
      <c r="AH1393" s="82"/>
      <c r="AI1393" s="82"/>
      <c r="AJ1393" s="166"/>
      <c r="AK1393" s="82"/>
      <c r="AL1393" s="162"/>
      <c r="AM1393" s="162"/>
      <c r="AN1393" s="162"/>
      <c r="AO1393" s="162"/>
      <c r="AP1393" s="162"/>
      <c r="AQ1393" s="162"/>
      <c r="AR1393" s="710"/>
      <c r="AV1393" s="82"/>
      <c r="AW1393" s="947"/>
      <c r="AX1393" s="947"/>
      <c r="AY1393" s="947"/>
    </row>
    <row r="1394" spans="31:51" x14ac:dyDescent="0.25">
      <c r="AE1394" s="75"/>
      <c r="AF1394" s="82"/>
      <c r="AG1394" s="82"/>
      <c r="AH1394" s="82"/>
      <c r="AI1394" s="82"/>
      <c r="AJ1394" s="166"/>
      <c r="AK1394" s="82"/>
      <c r="AL1394" s="162"/>
      <c r="AM1394" s="162"/>
      <c r="AN1394" s="162"/>
      <c r="AO1394" s="162"/>
      <c r="AP1394" s="162"/>
      <c r="AQ1394" s="162"/>
      <c r="AR1394" s="710"/>
      <c r="AV1394" s="82"/>
      <c r="AW1394" s="947"/>
      <c r="AX1394" s="947"/>
      <c r="AY1394" s="947"/>
    </row>
    <row r="1395" spans="31:51" x14ac:dyDescent="0.25">
      <c r="AE1395" s="75"/>
      <c r="AF1395" s="82"/>
      <c r="AG1395" s="82"/>
      <c r="AH1395" s="82"/>
      <c r="AI1395" s="82"/>
      <c r="AJ1395" s="166"/>
      <c r="AK1395" s="82"/>
      <c r="AL1395" s="162"/>
      <c r="AM1395" s="162"/>
      <c r="AN1395" s="162"/>
      <c r="AO1395" s="162"/>
      <c r="AP1395" s="162"/>
      <c r="AQ1395" s="162"/>
      <c r="AR1395" s="710"/>
      <c r="AV1395" s="82"/>
      <c r="AW1395" s="947"/>
      <c r="AX1395" s="947"/>
      <c r="AY1395" s="947"/>
    </row>
    <row r="1396" spans="31:51" x14ac:dyDescent="0.25">
      <c r="AE1396" s="75"/>
      <c r="AF1396" s="82"/>
      <c r="AG1396" s="82"/>
      <c r="AH1396" s="82"/>
      <c r="AI1396" s="82"/>
      <c r="AJ1396" s="166"/>
      <c r="AK1396" s="82"/>
      <c r="AL1396" s="162"/>
      <c r="AM1396" s="162"/>
      <c r="AN1396" s="162"/>
      <c r="AO1396" s="162"/>
      <c r="AP1396" s="162"/>
      <c r="AQ1396" s="162"/>
      <c r="AR1396" s="710"/>
      <c r="AV1396" s="82"/>
      <c r="AW1396" s="947"/>
      <c r="AX1396" s="947"/>
      <c r="AY1396" s="947"/>
    </row>
    <row r="1397" spans="31:51" x14ac:dyDescent="0.25">
      <c r="AE1397" s="75"/>
      <c r="AF1397" s="82"/>
      <c r="AG1397" s="82"/>
      <c r="AH1397" s="82"/>
      <c r="AI1397" s="82"/>
      <c r="AJ1397" s="166"/>
      <c r="AK1397" s="82"/>
      <c r="AL1397" s="162"/>
      <c r="AM1397" s="162"/>
      <c r="AN1397" s="162"/>
      <c r="AO1397" s="162"/>
      <c r="AP1397" s="162"/>
      <c r="AQ1397" s="162"/>
      <c r="AR1397" s="710"/>
      <c r="AV1397" s="82"/>
      <c r="AW1397" s="947"/>
      <c r="AX1397" s="947"/>
      <c r="AY1397" s="947"/>
    </row>
    <row r="1398" spans="31:51" x14ac:dyDescent="0.25">
      <c r="AE1398" s="75"/>
      <c r="AF1398" s="82"/>
      <c r="AG1398" s="82"/>
      <c r="AH1398" s="82"/>
      <c r="AI1398" s="82"/>
      <c r="AJ1398" s="166"/>
      <c r="AK1398" s="82"/>
      <c r="AL1398" s="162"/>
      <c r="AM1398" s="162"/>
      <c r="AN1398" s="162"/>
      <c r="AO1398" s="162"/>
      <c r="AP1398" s="162"/>
      <c r="AQ1398" s="162"/>
      <c r="AR1398" s="710"/>
      <c r="AV1398" s="82"/>
      <c r="AW1398" s="947"/>
      <c r="AX1398" s="947"/>
      <c r="AY1398" s="947"/>
    </row>
    <row r="1399" spans="31:51" x14ac:dyDescent="0.25">
      <c r="AE1399" s="75"/>
      <c r="AF1399" s="82"/>
      <c r="AG1399" s="82"/>
      <c r="AH1399" s="82"/>
      <c r="AI1399" s="82"/>
      <c r="AJ1399" s="166"/>
      <c r="AK1399" s="82"/>
      <c r="AL1399" s="162"/>
      <c r="AM1399" s="162"/>
      <c r="AN1399" s="162"/>
      <c r="AO1399" s="162"/>
      <c r="AP1399" s="162"/>
      <c r="AQ1399" s="162"/>
      <c r="AR1399" s="710"/>
      <c r="AV1399" s="82"/>
      <c r="AW1399" s="947"/>
      <c r="AX1399" s="947"/>
      <c r="AY1399" s="947"/>
    </row>
    <row r="1400" spans="31:51" x14ac:dyDescent="0.25">
      <c r="AE1400" s="75"/>
      <c r="AF1400" s="82"/>
      <c r="AG1400" s="82"/>
      <c r="AH1400" s="82"/>
      <c r="AI1400" s="82"/>
      <c r="AJ1400" s="166"/>
      <c r="AK1400" s="82"/>
      <c r="AL1400" s="162"/>
      <c r="AM1400" s="162"/>
      <c r="AN1400" s="162"/>
      <c r="AO1400" s="162"/>
      <c r="AP1400" s="162"/>
      <c r="AQ1400" s="162"/>
      <c r="AR1400" s="710"/>
      <c r="AV1400" s="82"/>
      <c r="AW1400" s="947"/>
      <c r="AX1400" s="947"/>
      <c r="AY1400" s="947"/>
    </row>
    <row r="1401" spans="31:51" x14ac:dyDescent="0.25">
      <c r="AE1401" s="75"/>
      <c r="AF1401" s="82"/>
      <c r="AG1401" s="82"/>
      <c r="AH1401" s="82"/>
      <c r="AI1401" s="82"/>
      <c r="AJ1401" s="166"/>
      <c r="AK1401" s="82"/>
      <c r="AL1401" s="162"/>
      <c r="AM1401" s="162"/>
      <c r="AN1401" s="162"/>
      <c r="AO1401" s="162"/>
      <c r="AP1401" s="162"/>
      <c r="AQ1401" s="162"/>
      <c r="AR1401" s="710"/>
      <c r="AV1401" s="82"/>
      <c r="AW1401" s="947"/>
      <c r="AX1401" s="947"/>
      <c r="AY1401" s="947"/>
    </row>
    <row r="1402" spans="31:51" x14ac:dyDescent="0.25">
      <c r="AE1402" s="75"/>
      <c r="AF1402" s="82"/>
      <c r="AG1402" s="82"/>
      <c r="AH1402" s="82"/>
      <c r="AI1402" s="82"/>
      <c r="AJ1402" s="166"/>
      <c r="AK1402" s="82"/>
      <c r="AL1402" s="162"/>
      <c r="AM1402" s="162"/>
      <c r="AN1402" s="162"/>
      <c r="AO1402" s="162"/>
      <c r="AP1402" s="162"/>
      <c r="AQ1402" s="162"/>
      <c r="AR1402" s="710"/>
      <c r="AV1402" s="82"/>
      <c r="AW1402" s="947"/>
      <c r="AX1402" s="947"/>
      <c r="AY1402" s="947"/>
    </row>
    <row r="1403" spans="31:51" x14ac:dyDescent="0.25">
      <c r="AE1403" s="75"/>
      <c r="AF1403" s="82"/>
      <c r="AG1403" s="82"/>
      <c r="AH1403" s="82"/>
      <c r="AI1403" s="82"/>
      <c r="AJ1403" s="166"/>
      <c r="AK1403" s="82"/>
      <c r="AL1403" s="162"/>
      <c r="AM1403" s="162"/>
      <c r="AN1403" s="162"/>
      <c r="AO1403" s="162"/>
      <c r="AP1403" s="162"/>
      <c r="AQ1403" s="162"/>
      <c r="AR1403" s="710"/>
      <c r="AV1403" s="82"/>
      <c r="AW1403" s="947"/>
      <c r="AX1403" s="947"/>
      <c r="AY1403" s="947"/>
    </row>
    <row r="1404" spans="31:51" x14ac:dyDescent="0.25">
      <c r="AE1404" s="75"/>
      <c r="AF1404" s="82"/>
      <c r="AG1404" s="82"/>
      <c r="AH1404" s="82"/>
      <c r="AI1404" s="82"/>
      <c r="AJ1404" s="166"/>
      <c r="AK1404" s="82"/>
      <c r="AL1404" s="162"/>
      <c r="AM1404" s="162"/>
      <c r="AN1404" s="162"/>
      <c r="AO1404" s="162"/>
      <c r="AP1404" s="162"/>
      <c r="AQ1404" s="162"/>
      <c r="AR1404" s="710"/>
      <c r="AV1404" s="82"/>
      <c r="AW1404" s="947"/>
      <c r="AX1404" s="947"/>
      <c r="AY1404" s="947"/>
    </row>
    <row r="1405" spans="31:51" x14ac:dyDescent="0.25">
      <c r="AE1405" s="75"/>
      <c r="AF1405" s="82"/>
      <c r="AG1405" s="82"/>
      <c r="AH1405" s="82"/>
      <c r="AI1405" s="82"/>
      <c r="AJ1405" s="166"/>
      <c r="AK1405" s="82"/>
      <c r="AL1405" s="162"/>
      <c r="AM1405" s="162"/>
      <c r="AN1405" s="162"/>
      <c r="AO1405" s="162"/>
      <c r="AP1405" s="162"/>
      <c r="AQ1405" s="162"/>
      <c r="AR1405" s="710"/>
      <c r="AV1405" s="82"/>
      <c r="AW1405" s="947"/>
      <c r="AX1405" s="947"/>
      <c r="AY1405" s="947"/>
    </row>
    <row r="1406" spans="31:51" x14ac:dyDescent="0.25">
      <c r="AE1406" s="75"/>
      <c r="AF1406" s="82"/>
      <c r="AG1406" s="82"/>
      <c r="AH1406" s="82"/>
      <c r="AI1406" s="82"/>
      <c r="AJ1406" s="166"/>
      <c r="AK1406" s="82"/>
      <c r="AL1406" s="162"/>
      <c r="AM1406" s="162"/>
      <c r="AN1406" s="162"/>
      <c r="AO1406" s="162"/>
      <c r="AP1406" s="162"/>
      <c r="AQ1406" s="162"/>
      <c r="AR1406" s="710"/>
      <c r="AV1406" s="82"/>
      <c r="AW1406" s="947"/>
      <c r="AX1406" s="947"/>
      <c r="AY1406" s="947"/>
    </row>
    <row r="1407" spans="31:51" x14ac:dyDescent="0.25">
      <c r="AE1407" s="75"/>
      <c r="AF1407" s="82"/>
      <c r="AG1407" s="82"/>
      <c r="AH1407" s="82"/>
      <c r="AI1407" s="82"/>
      <c r="AJ1407" s="166"/>
      <c r="AK1407" s="82"/>
      <c r="AL1407" s="162"/>
      <c r="AM1407" s="162"/>
      <c r="AN1407" s="162"/>
      <c r="AO1407" s="162"/>
      <c r="AP1407" s="162"/>
      <c r="AQ1407" s="162"/>
      <c r="AR1407" s="710"/>
      <c r="AV1407" s="82"/>
      <c r="AW1407" s="947"/>
      <c r="AX1407" s="947"/>
      <c r="AY1407" s="947"/>
    </row>
    <row r="1408" spans="31:51" x14ac:dyDescent="0.25">
      <c r="AE1408" s="75"/>
      <c r="AF1408" s="82"/>
      <c r="AG1408" s="82"/>
      <c r="AH1408" s="82"/>
      <c r="AI1408" s="82"/>
      <c r="AJ1408" s="166"/>
      <c r="AK1408" s="82"/>
      <c r="AL1408" s="162"/>
      <c r="AM1408" s="162"/>
      <c r="AN1408" s="162"/>
      <c r="AO1408" s="162"/>
      <c r="AP1408" s="162"/>
      <c r="AQ1408" s="162"/>
      <c r="AR1408" s="710"/>
      <c r="AV1408" s="82"/>
      <c r="AW1408" s="947"/>
      <c r="AX1408" s="947"/>
      <c r="AY1408" s="947"/>
    </row>
    <row r="1409" spans="31:51" x14ac:dyDescent="0.25">
      <c r="AE1409" s="75"/>
      <c r="AF1409" s="82"/>
      <c r="AG1409" s="82"/>
      <c r="AH1409" s="82"/>
      <c r="AI1409" s="82"/>
      <c r="AJ1409" s="166"/>
      <c r="AK1409" s="82"/>
      <c r="AL1409" s="162"/>
      <c r="AM1409" s="162"/>
      <c r="AN1409" s="162"/>
      <c r="AO1409" s="162"/>
      <c r="AP1409" s="162"/>
      <c r="AQ1409" s="162"/>
      <c r="AR1409" s="710"/>
      <c r="AV1409" s="82"/>
      <c r="AW1409" s="947"/>
      <c r="AX1409" s="947"/>
      <c r="AY1409" s="947"/>
    </row>
    <row r="1410" spans="31:51" x14ac:dyDescent="0.25">
      <c r="AE1410" s="75"/>
      <c r="AF1410" s="82"/>
      <c r="AG1410" s="82"/>
      <c r="AH1410" s="82"/>
      <c r="AI1410" s="82"/>
      <c r="AJ1410" s="166"/>
      <c r="AK1410" s="82"/>
      <c r="AL1410" s="162"/>
      <c r="AM1410" s="162"/>
      <c r="AN1410" s="162"/>
      <c r="AO1410" s="162"/>
      <c r="AP1410" s="162"/>
      <c r="AQ1410" s="162"/>
      <c r="AR1410" s="710"/>
      <c r="AV1410" s="82"/>
      <c r="AW1410" s="947"/>
      <c r="AX1410" s="947"/>
      <c r="AY1410" s="947"/>
    </row>
    <row r="1411" spans="31:51" x14ac:dyDescent="0.25">
      <c r="AE1411" s="75"/>
      <c r="AF1411" s="82"/>
      <c r="AG1411" s="82"/>
      <c r="AH1411" s="82"/>
      <c r="AI1411" s="82"/>
      <c r="AJ1411" s="166"/>
      <c r="AK1411" s="82"/>
      <c r="AL1411" s="162"/>
      <c r="AM1411" s="162"/>
      <c r="AN1411" s="162"/>
      <c r="AO1411" s="162"/>
      <c r="AP1411" s="162"/>
      <c r="AQ1411" s="162"/>
      <c r="AR1411" s="710"/>
      <c r="AV1411" s="82"/>
      <c r="AW1411" s="947"/>
      <c r="AX1411" s="947"/>
      <c r="AY1411" s="947"/>
    </row>
    <row r="1412" spans="31:51" x14ac:dyDescent="0.25">
      <c r="AE1412" s="75"/>
      <c r="AF1412" s="82"/>
      <c r="AG1412" s="82"/>
      <c r="AH1412" s="82"/>
      <c r="AI1412" s="82"/>
      <c r="AJ1412" s="166"/>
      <c r="AK1412" s="82"/>
      <c r="AL1412" s="162"/>
      <c r="AM1412" s="162"/>
      <c r="AN1412" s="162"/>
      <c r="AO1412" s="162"/>
      <c r="AP1412" s="162"/>
      <c r="AQ1412" s="162"/>
      <c r="AR1412" s="710"/>
      <c r="AV1412" s="82"/>
      <c r="AW1412" s="947"/>
      <c r="AX1412" s="947"/>
      <c r="AY1412" s="947"/>
    </row>
    <row r="1413" spans="31:51" x14ac:dyDescent="0.25">
      <c r="AE1413" s="75"/>
      <c r="AF1413" s="82"/>
      <c r="AG1413" s="82"/>
      <c r="AH1413" s="82"/>
      <c r="AI1413" s="82"/>
      <c r="AJ1413" s="166"/>
      <c r="AK1413" s="82"/>
      <c r="AL1413" s="162"/>
      <c r="AM1413" s="162"/>
      <c r="AN1413" s="162"/>
      <c r="AO1413" s="162"/>
      <c r="AP1413" s="162"/>
      <c r="AQ1413" s="162"/>
      <c r="AR1413" s="710"/>
      <c r="AV1413" s="82"/>
      <c r="AW1413" s="947"/>
      <c r="AX1413" s="947"/>
      <c r="AY1413" s="947"/>
    </row>
    <row r="1414" spans="31:51" x14ac:dyDescent="0.25">
      <c r="AE1414" s="75"/>
      <c r="AF1414" s="82"/>
      <c r="AG1414" s="82"/>
      <c r="AH1414" s="82"/>
      <c r="AI1414" s="82"/>
      <c r="AJ1414" s="166"/>
      <c r="AK1414" s="82"/>
      <c r="AL1414" s="162"/>
      <c r="AM1414" s="162"/>
      <c r="AN1414" s="162"/>
      <c r="AO1414" s="162"/>
      <c r="AP1414" s="162"/>
      <c r="AQ1414" s="162"/>
      <c r="AR1414" s="710"/>
      <c r="AV1414" s="82"/>
      <c r="AW1414" s="947"/>
      <c r="AX1414" s="947"/>
      <c r="AY1414" s="947"/>
    </row>
    <row r="1415" spans="31:51" x14ac:dyDescent="0.25">
      <c r="AE1415" s="75"/>
      <c r="AF1415" s="82"/>
      <c r="AG1415" s="82"/>
      <c r="AH1415" s="82"/>
      <c r="AI1415" s="82"/>
      <c r="AJ1415" s="166"/>
      <c r="AK1415" s="82"/>
      <c r="AL1415" s="162"/>
      <c r="AM1415" s="162"/>
      <c r="AN1415" s="162"/>
      <c r="AO1415" s="162"/>
      <c r="AP1415" s="162"/>
      <c r="AQ1415" s="162"/>
      <c r="AR1415" s="710"/>
      <c r="AV1415" s="82"/>
      <c r="AW1415" s="947"/>
      <c r="AX1415" s="947"/>
      <c r="AY1415" s="947"/>
    </row>
    <row r="1416" spans="31:51" x14ac:dyDescent="0.25">
      <c r="AE1416" s="75"/>
      <c r="AF1416" s="82"/>
      <c r="AG1416" s="82"/>
      <c r="AH1416" s="82"/>
      <c r="AI1416" s="82"/>
      <c r="AJ1416" s="166"/>
      <c r="AK1416" s="82"/>
      <c r="AL1416" s="162"/>
      <c r="AM1416" s="162"/>
      <c r="AN1416" s="162"/>
      <c r="AO1416" s="162"/>
      <c r="AP1416" s="162"/>
      <c r="AQ1416" s="162"/>
      <c r="AR1416" s="710"/>
      <c r="AV1416" s="82"/>
      <c r="AW1416" s="947"/>
      <c r="AX1416" s="947"/>
      <c r="AY1416" s="947"/>
    </row>
    <row r="1417" spans="31:51" x14ac:dyDescent="0.25">
      <c r="AE1417" s="75"/>
      <c r="AF1417" s="82"/>
      <c r="AG1417" s="82"/>
      <c r="AH1417" s="82"/>
      <c r="AI1417" s="82"/>
      <c r="AJ1417" s="166"/>
      <c r="AK1417" s="82"/>
      <c r="AL1417" s="162"/>
      <c r="AM1417" s="162"/>
      <c r="AN1417" s="162"/>
      <c r="AO1417" s="162"/>
      <c r="AP1417" s="162"/>
      <c r="AQ1417" s="162"/>
      <c r="AR1417" s="710"/>
      <c r="AV1417" s="82"/>
      <c r="AW1417" s="947"/>
      <c r="AX1417" s="947"/>
      <c r="AY1417" s="947"/>
    </row>
    <row r="1418" spans="31:51" x14ac:dyDescent="0.25">
      <c r="AE1418" s="75"/>
      <c r="AF1418" s="82"/>
      <c r="AG1418" s="82"/>
      <c r="AH1418" s="82"/>
      <c r="AI1418" s="82"/>
      <c r="AJ1418" s="166"/>
      <c r="AK1418" s="82"/>
      <c r="AL1418" s="162"/>
      <c r="AM1418" s="162"/>
      <c r="AN1418" s="162"/>
      <c r="AO1418" s="162"/>
      <c r="AP1418" s="162"/>
      <c r="AQ1418" s="162"/>
      <c r="AR1418" s="710"/>
      <c r="AV1418" s="82"/>
      <c r="AW1418" s="947"/>
      <c r="AX1418" s="947"/>
      <c r="AY1418" s="947"/>
    </row>
    <row r="1419" spans="31:51" x14ac:dyDescent="0.25">
      <c r="AE1419" s="75"/>
      <c r="AF1419" s="82"/>
      <c r="AG1419" s="82"/>
      <c r="AH1419" s="82"/>
      <c r="AI1419" s="82"/>
      <c r="AJ1419" s="166"/>
      <c r="AK1419" s="82"/>
      <c r="AL1419" s="162"/>
      <c r="AM1419" s="162"/>
      <c r="AN1419" s="162"/>
      <c r="AO1419" s="162"/>
      <c r="AP1419" s="162"/>
      <c r="AQ1419" s="162"/>
      <c r="AR1419" s="710"/>
      <c r="AV1419" s="82"/>
      <c r="AW1419" s="947"/>
      <c r="AX1419" s="947"/>
      <c r="AY1419" s="947"/>
    </row>
    <row r="1420" spans="31:51" x14ac:dyDescent="0.25">
      <c r="AE1420" s="75"/>
      <c r="AF1420" s="82"/>
      <c r="AG1420" s="82"/>
      <c r="AH1420" s="82"/>
      <c r="AI1420" s="82"/>
      <c r="AJ1420" s="166"/>
      <c r="AK1420" s="82"/>
      <c r="AL1420" s="162"/>
      <c r="AM1420" s="162"/>
      <c r="AN1420" s="162"/>
      <c r="AO1420" s="162"/>
      <c r="AP1420" s="162"/>
      <c r="AQ1420" s="162"/>
      <c r="AR1420" s="710"/>
      <c r="AV1420" s="82"/>
      <c r="AW1420" s="947"/>
      <c r="AX1420" s="947"/>
      <c r="AY1420" s="947"/>
    </row>
    <row r="1421" spans="31:51" x14ac:dyDescent="0.25">
      <c r="AE1421" s="75"/>
      <c r="AF1421" s="82"/>
      <c r="AG1421" s="82"/>
      <c r="AH1421" s="82"/>
      <c r="AI1421" s="82"/>
      <c r="AJ1421" s="166"/>
      <c r="AK1421" s="82"/>
      <c r="AL1421" s="162"/>
      <c r="AM1421" s="162"/>
      <c r="AN1421" s="162"/>
      <c r="AO1421" s="162"/>
      <c r="AP1421" s="162"/>
      <c r="AQ1421" s="162"/>
      <c r="AR1421" s="710"/>
      <c r="AV1421" s="82"/>
      <c r="AW1421" s="947"/>
      <c r="AX1421" s="947"/>
      <c r="AY1421" s="947"/>
    </row>
    <row r="1422" spans="31:51" x14ac:dyDescent="0.25">
      <c r="AE1422" s="75"/>
      <c r="AF1422" s="82"/>
      <c r="AG1422" s="82"/>
      <c r="AH1422" s="82"/>
      <c r="AI1422" s="82"/>
      <c r="AJ1422" s="166"/>
      <c r="AK1422" s="82"/>
      <c r="AL1422" s="162"/>
      <c r="AM1422" s="162"/>
      <c r="AN1422" s="162"/>
      <c r="AO1422" s="162"/>
      <c r="AP1422" s="162"/>
      <c r="AQ1422" s="162"/>
      <c r="AR1422" s="710"/>
      <c r="AV1422" s="82"/>
      <c r="AW1422" s="947"/>
      <c r="AX1422" s="947"/>
      <c r="AY1422" s="947"/>
    </row>
    <row r="1423" spans="31:51" x14ac:dyDescent="0.25">
      <c r="AE1423" s="75"/>
      <c r="AF1423" s="82"/>
      <c r="AG1423" s="82"/>
      <c r="AH1423" s="82"/>
      <c r="AI1423" s="82"/>
      <c r="AJ1423" s="166"/>
      <c r="AK1423" s="82"/>
      <c r="AL1423" s="162"/>
      <c r="AM1423" s="162"/>
      <c r="AN1423" s="162"/>
      <c r="AO1423" s="162"/>
      <c r="AP1423" s="162"/>
      <c r="AQ1423" s="162"/>
      <c r="AR1423" s="710"/>
      <c r="AV1423" s="82"/>
      <c r="AW1423" s="947"/>
      <c r="AX1423" s="947"/>
      <c r="AY1423" s="947"/>
    </row>
    <row r="1424" spans="31:51" x14ac:dyDescent="0.25">
      <c r="AE1424" s="75"/>
      <c r="AF1424" s="82"/>
      <c r="AG1424" s="82"/>
      <c r="AH1424" s="82"/>
      <c r="AI1424" s="82"/>
      <c r="AJ1424" s="166"/>
      <c r="AK1424" s="82"/>
      <c r="AL1424" s="162"/>
      <c r="AM1424" s="162"/>
      <c r="AN1424" s="162"/>
      <c r="AO1424" s="162"/>
      <c r="AP1424" s="162"/>
      <c r="AQ1424" s="162"/>
      <c r="AR1424" s="710"/>
      <c r="AV1424" s="82"/>
      <c r="AW1424" s="947"/>
      <c r="AX1424" s="947"/>
      <c r="AY1424" s="947"/>
    </row>
    <row r="1425" spans="31:51" x14ac:dyDescent="0.25">
      <c r="AE1425" s="75"/>
      <c r="AF1425" s="82"/>
      <c r="AG1425" s="82"/>
      <c r="AH1425" s="82"/>
      <c r="AI1425" s="82"/>
      <c r="AJ1425" s="166"/>
      <c r="AK1425" s="82"/>
      <c r="AL1425" s="162"/>
      <c r="AM1425" s="162"/>
      <c r="AN1425" s="162"/>
      <c r="AO1425" s="162"/>
      <c r="AP1425" s="162"/>
      <c r="AQ1425" s="162"/>
      <c r="AR1425" s="710"/>
      <c r="AV1425" s="82"/>
      <c r="AW1425" s="947"/>
      <c r="AX1425" s="947"/>
      <c r="AY1425" s="947"/>
    </row>
    <row r="1426" spans="31:51" x14ac:dyDescent="0.25">
      <c r="AE1426" s="75"/>
      <c r="AF1426" s="82"/>
      <c r="AG1426" s="82"/>
      <c r="AH1426" s="82"/>
      <c r="AI1426" s="82"/>
      <c r="AJ1426" s="166"/>
      <c r="AK1426" s="82"/>
      <c r="AL1426" s="162"/>
      <c r="AM1426" s="162"/>
      <c r="AN1426" s="162"/>
      <c r="AO1426" s="162"/>
      <c r="AP1426" s="162"/>
      <c r="AQ1426" s="162"/>
      <c r="AR1426" s="710"/>
      <c r="AV1426" s="82"/>
      <c r="AW1426" s="947"/>
      <c r="AX1426" s="947"/>
      <c r="AY1426" s="947"/>
    </row>
    <row r="1427" spans="31:51" x14ac:dyDescent="0.25">
      <c r="AE1427" s="75"/>
      <c r="AF1427" s="82"/>
      <c r="AG1427" s="82"/>
      <c r="AH1427" s="82"/>
      <c r="AI1427" s="82"/>
      <c r="AJ1427" s="166"/>
      <c r="AK1427" s="82"/>
      <c r="AL1427" s="162"/>
      <c r="AM1427" s="162"/>
      <c r="AN1427" s="162"/>
      <c r="AO1427" s="162"/>
      <c r="AP1427" s="162"/>
      <c r="AQ1427" s="162"/>
      <c r="AR1427" s="710"/>
      <c r="AV1427" s="82"/>
      <c r="AW1427" s="947"/>
      <c r="AX1427" s="947"/>
      <c r="AY1427" s="947"/>
    </row>
    <row r="1428" spans="31:51" x14ac:dyDescent="0.25">
      <c r="AE1428" s="75"/>
      <c r="AF1428" s="82"/>
      <c r="AG1428" s="82"/>
      <c r="AH1428" s="82"/>
      <c r="AI1428" s="82"/>
      <c r="AJ1428" s="166"/>
      <c r="AK1428" s="82"/>
      <c r="AL1428" s="162"/>
      <c r="AM1428" s="162"/>
      <c r="AN1428" s="162"/>
      <c r="AO1428" s="162"/>
      <c r="AP1428" s="162"/>
      <c r="AQ1428" s="162"/>
      <c r="AR1428" s="710"/>
      <c r="AV1428" s="82"/>
      <c r="AW1428" s="947"/>
      <c r="AX1428" s="947"/>
      <c r="AY1428" s="947"/>
    </row>
    <row r="1429" spans="31:51" x14ac:dyDescent="0.25">
      <c r="AE1429" s="75"/>
      <c r="AF1429" s="82"/>
      <c r="AG1429" s="82"/>
      <c r="AH1429" s="82"/>
      <c r="AI1429" s="82"/>
      <c r="AJ1429" s="166"/>
      <c r="AK1429" s="82"/>
      <c r="AL1429" s="162"/>
      <c r="AM1429" s="162"/>
      <c r="AN1429" s="162"/>
      <c r="AO1429" s="162"/>
      <c r="AP1429" s="162"/>
      <c r="AQ1429" s="162"/>
      <c r="AR1429" s="710"/>
      <c r="AV1429" s="82"/>
      <c r="AW1429" s="947"/>
      <c r="AX1429" s="947"/>
      <c r="AY1429" s="947"/>
    </row>
    <row r="1430" spans="31:51" x14ac:dyDescent="0.25">
      <c r="AE1430" s="75"/>
      <c r="AF1430" s="82"/>
      <c r="AG1430" s="82"/>
      <c r="AH1430" s="82"/>
      <c r="AI1430" s="82"/>
      <c r="AJ1430" s="166"/>
      <c r="AK1430" s="82"/>
      <c r="AL1430" s="162"/>
      <c r="AM1430" s="162"/>
      <c r="AN1430" s="162"/>
      <c r="AO1430" s="162"/>
      <c r="AP1430" s="162"/>
      <c r="AQ1430" s="162"/>
      <c r="AR1430" s="710"/>
      <c r="AV1430" s="82"/>
      <c r="AW1430" s="947"/>
      <c r="AX1430" s="947"/>
      <c r="AY1430" s="947"/>
    </row>
    <row r="1431" spans="31:51" x14ac:dyDescent="0.25">
      <c r="AE1431" s="75"/>
      <c r="AF1431" s="82"/>
      <c r="AG1431" s="82"/>
      <c r="AH1431" s="82"/>
      <c r="AI1431" s="82"/>
      <c r="AJ1431" s="166"/>
      <c r="AK1431" s="82"/>
      <c r="AL1431" s="162"/>
      <c r="AM1431" s="162"/>
      <c r="AN1431" s="162"/>
      <c r="AO1431" s="162"/>
      <c r="AP1431" s="162"/>
      <c r="AQ1431" s="162"/>
      <c r="AR1431" s="710"/>
      <c r="AV1431" s="82"/>
      <c r="AW1431" s="947"/>
      <c r="AX1431" s="947"/>
      <c r="AY1431" s="947"/>
    </row>
    <row r="1432" spans="31:51" x14ac:dyDescent="0.25">
      <c r="AE1432" s="75"/>
      <c r="AF1432" s="82"/>
      <c r="AG1432" s="82"/>
      <c r="AH1432" s="82"/>
      <c r="AI1432" s="82"/>
      <c r="AJ1432" s="166"/>
      <c r="AK1432" s="82"/>
      <c r="AL1432" s="162"/>
      <c r="AM1432" s="162"/>
      <c r="AN1432" s="162"/>
      <c r="AO1432" s="162"/>
      <c r="AP1432" s="162"/>
      <c r="AQ1432" s="162"/>
      <c r="AR1432" s="710"/>
      <c r="AV1432" s="82"/>
      <c r="AW1432" s="947"/>
      <c r="AX1432" s="947"/>
      <c r="AY1432" s="947"/>
    </row>
    <row r="1433" spans="31:51" x14ac:dyDescent="0.25">
      <c r="AE1433" s="75"/>
      <c r="AF1433" s="82"/>
      <c r="AG1433" s="82"/>
      <c r="AH1433" s="82"/>
      <c r="AI1433" s="82"/>
      <c r="AJ1433" s="166"/>
      <c r="AK1433" s="82"/>
      <c r="AL1433" s="162"/>
      <c r="AM1433" s="162"/>
      <c r="AN1433" s="162"/>
      <c r="AO1433" s="162"/>
      <c r="AP1433" s="162"/>
      <c r="AQ1433" s="162"/>
      <c r="AR1433" s="710"/>
      <c r="AV1433" s="82"/>
      <c r="AW1433" s="947"/>
      <c r="AX1433" s="947"/>
      <c r="AY1433" s="947"/>
    </row>
    <row r="1434" spans="31:51" x14ac:dyDescent="0.25">
      <c r="AE1434" s="75"/>
      <c r="AF1434" s="82"/>
      <c r="AG1434" s="82"/>
      <c r="AH1434" s="82"/>
      <c r="AI1434" s="82"/>
      <c r="AJ1434" s="166"/>
      <c r="AK1434" s="82"/>
      <c r="AL1434" s="162"/>
      <c r="AM1434" s="162"/>
      <c r="AN1434" s="162"/>
      <c r="AO1434" s="162"/>
      <c r="AP1434" s="162"/>
      <c r="AQ1434" s="162"/>
      <c r="AR1434" s="710"/>
      <c r="AV1434" s="82"/>
      <c r="AW1434" s="947"/>
      <c r="AX1434" s="947"/>
      <c r="AY1434" s="947"/>
    </row>
    <row r="1435" spans="31:51" x14ac:dyDescent="0.25">
      <c r="AE1435" s="75"/>
      <c r="AF1435" s="82"/>
      <c r="AG1435" s="82"/>
      <c r="AH1435" s="82"/>
      <c r="AI1435" s="82"/>
      <c r="AJ1435" s="166"/>
      <c r="AK1435" s="82"/>
      <c r="AL1435" s="162"/>
      <c r="AM1435" s="162"/>
      <c r="AN1435" s="162"/>
      <c r="AO1435" s="162"/>
      <c r="AP1435" s="162"/>
      <c r="AQ1435" s="162"/>
      <c r="AR1435" s="710"/>
      <c r="AV1435" s="82"/>
      <c r="AW1435" s="947"/>
      <c r="AX1435" s="947"/>
      <c r="AY1435" s="947"/>
    </row>
    <row r="1436" spans="31:51" x14ac:dyDescent="0.25">
      <c r="AE1436" s="75"/>
      <c r="AF1436" s="82"/>
      <c r="AG1436" s="82"/>
      <c r="AH1436" s="82"/>
      <c r="AI1436" s="82"/>
      <c r="AJ1436" s="166"/>
      <c r="AK1436" s="82"/>
      <c r="AL1436" s="162"/>
      <c r="AM1436" s="162"/>
      <c r="AN1436" s="162"/>
      <c r="AO1436" s="162"/>
      <c r="AP1436" s="162"/>
      <c r="AQ1436" s="162"/>
      <c r="AR1436" s="710"/>
      <c r="AV1436" s="82"/>
      <c r="AW1436" s="947"/>
      <c r="AX1436" s="947"/>
      <c r="AY1436" s="947"/>
    </row>
    <row r="1437" spans="31:51" x14ac:dyDescent="0.25">
      <c r="AE1437" s="75"/>
      <c r="AF1437" s="82"/>
      <c r="AG1437" s="82"/>
      <c r="AH1437" s="82"/>
      <c r="AI1437" s="82"/>
      <c r="AJ1437" s="166"/>
      <c r="AK1437" s="82"/>
      <c r="AL1437" s="162"/>
      <c r="AM1437" s="162"/>
      <c r="AN1437" s="162"/>
      <c r="AO1437" s="162"/>
      <c r="AP1437" s="162"/>
      <c r="AQ1437" s="162"/>
      <c r="AR1437" s="710"/>
      <c r="AV1437" s="82"/>
      <c r="AW1437" s="947"/>
      <c r="AX1437" s="947"/>
      <c r="AY1437" s="947"/>
    </row>
    <row r="1438" spans="31:51" x14ac:dyDescent="0.25">
      <c r="AE1438" s="75"/>
      <c r="AF1438" s="82"/>
      <c r="AG1438" s="82"/>
      <c r="AH1438" s="82"/>
      <c r="AI1438" s="82"/>
      <c r="AJ1438" s="166"/>
      <c r="AK1438" s="82"/>
      <c r="AL1438" s="162"/>
      <c r="AM1438" s="162"/>
      <c r="AN1438" s="162"/>
      <c r="AO1438" s="162"/>
      <c r="AP1438" s="162"/>
      <c r="AQ1438" s="162"/>
      <c r="AR1438" s="710"/>
      <c r="AV1438" s="82"/>
      <c r="AW1438" s="947"/>
      <c r="AX1438" s="947"/>
      <c r="AY1438" s="947"/>
    </row>
    <row r="1439" spans="31:51" x14ac:dyDescent="0.25">
      <c r="AE1439" s="75"/>
      <c r="AF1439" s="82"/>
      <c r="AG1439" s="82"/>
      <c r="AH1439" s="82"/>
      <c r="AI1439" s="82"/>
      <c r="AJ1439" s="166"/>
      <c r="AK1439" s="82"/>
      <c r="AL1439" s="162"/>
      <c r="AM1439" s="162"/>
      <c r="AN1439" s="162"/>
      <c r="AO1439" s="162"/>
      <c r="AP1439" s="162"/>
      <c r="AQ1439" s="162"/>
      <c r="AR1439" s="710"/>
      <c r="AV1439" s="82"/>
      <c r="AW1439" s="947"/>
      <c r="AX1439" s="947"/>
      <c r="AY1439" s="947"/>
    </row>
    <row r="1440" spans="31:51" x14ac:dyDescent="0.25">
      <c r="AE1440" s="75"/>
      <c r="AF1440" s="82"/>
      <c r="AG1440" s="82"/>
      <c r="AH1440" s="82"/>
      <c r="AI1440" s="82"/>
      <c r="AJ1440" s="166"/>
      <c r="AK1440" s="82"/>
      <c r="AL1440" s="162"/>
      <c r="AM1440" s="162"/>
      <c r="AN1440" s="162"/>
      <c r="AO1440" s="162"/>
      <c r="AP1440" s="162"/>
      <c r="AQ1440" s="162"/>
      <c r="AR1440" s="710"/>
      <c r="AV1440" s="82"/>
      <c r="AW1440" s="947"/>
      <c r="AX1440" s="947"/>
      <c r="AY1440" s="947"/>
    </row>
    <row r="1441" spans="31:51" x14ac:dyDescent="0.25">
      <c r="AE1441" s="75"/>
      <c r="AF1441" s="82"/>
      <c r="AG1441" s="82"/>
      <c r="AH1441" s="82"/>
      <c r="AI1441" s="82"/>
      <c r="AJ1441" s="166"/>
      <c r="AK1441" s="82"/>
      <c r="AL1441" s="162"/>
      <c r="AM1441" s="162"/>
      <c r="AN1441" s="162"/>
      <c r="AO1441" s="162"/>
      <c r="AP1441" s="162"/>
      <c r="AQ1441" s="162"/>
      <c r="AR1441" s="710"/>
      <c r="AV1441" s="82"/>
      <c r="AW1441" s="947"/>
      <c r="AX1441" s="947"/>
      <c r="AY1441" s="947"/>
    </row>
    <row r="1442" spans="31:51" x14ac:dyDescent="0.25">
      <c r="AE1442" s="75"/>
      <c r="AF1442" s="82"/>
      <c r="AG1442" s="82"/>
      <c r="AH1442" s="82"/>
      <c r="AI1442" s="82"/>
      <c r="AJ1442" s="166"/>
      <c r="AK1442" s="82"/>
      <c r="AL1442" s="162"/>
      <c r="AM1442" s="162"/>
      <c r="AN1442" s="162"/>
      <c r="AO1442" s="162"/>
      <c r="AP1442" s="162"/>
      <c r="AQ1442" s="162"/>
      <c r="AR1442" s="710"/>
      <c r="AV1442" s="82"/>
      <c r="AW1442" s="947"/>
      <c r="AX1442" s="947"/>
      <c r="AY1442" s="947"/>
    </row>
    <row r="1443" spans="31:51" x14ac:dyDescent="0.25">
      <c r="AE1443" s="75"/>
      <c r="AF1443" s="82"/>
      <c r="AG1443" s="82"/>
      <c r="AH1443" s="82"/>
      <c r="AI1443" s="82"/>
      <c r="AJ1443" s="166"/>
      <c r="AK1443" s="82"/>
      <c r="AL1443" s="162"/>
      <c r="AM1443" s="162"/>
      <c r="AN1443" s="162"/>
      <c r="AO1443" s="162"/>
      <c r="AP1443" s="162"/>
      <c r="AQ1443" s="162"/>
      <c r="AR1443" s="710"/>
      <c r="AV1443" s="82"/>
      <c r="AW1443" s="947"/>
      <c r="AX1443" s="947"/>
      <c r="AY1443" s="947"/>
    </row>
    <row r="1444" spans="31:51" x14ac:dyDescent="0.25">
      <c r="AE1444" s="75"/>
      <c r="AF1444" s="82"/>
      <c r="AG1444" s="82"/>
      <c r="AH1444" s="82"/>
      <c r="AI1444" s="82"/>
      <c r="AJ1444" s="166"/>
      <c r="AK1444" s="82"/>
      <c r="AL1444" s="162"/>
      <c r="AM1444" s="162"/>
      <c r="AN1444" s="162"/>
      <c r="AO1444" s="162"/>
      <c r="AP1444" s="162"/>
      <c r="AQ1444" s="162"/>
      <c r="AR1444" s="710"/>
      <c r="AV1444" s="82"/>
      <c r="AW1444" s="947"/>
      <c r="AX1444" s="947"/>
      <c r="AY1444" s="947"/>
    </row>
    <row r="1445" spans="31:51" x14ac:dyDescent="0.25">
      <c r="AE1445" s="75"/>
      <c r="AF1445" s="82"/>
      <c r="AG1445" s="82"/>
      <c r="AH1445" s="82"/>
      <c r="AI1445" s="82"/>
      <c r="AJ1445" s="166"/>
      <c r="AK1445" s="82"/>
      <c r="AL1445" s="162"/>
      <c r="AM1445" s="162"/>
      <c r="AN1445" s="162"/>
      <c r="AO1445" s="162"/>
      <c r="AP1445" s="162"/>
      <c r="AQ1445" s="162"/>
      <c r="AR1445" s="710"/>
      <c r="AV1445" s="82"/>
      <c r="AW1445" s="947"/>
      <c r="AX1445" s="947"/>
      <c r="AY1445" s="947"/>
    </row>
    <row r="1446" spans="31:51" x14ac:dyDescent="0.25">
      <c r="AE1446" s="75"/>
      <c r="AF1446" s="82"/>
      <c r="AG1446" s="82"/>
      <c r="AH1446" s="82"/>
      <c r="AI1446" s="82"/>
      <c r="AJ1446" s="166"/>
      <c r="AK1446" s="82"/>
      <c r="AL1446" s="162"/>
      <c r="AM1446" s="162"/>
      <c r="AN1446" s="162"/>
      <c r="AO1446" s="162"/>
      <c r="AP1446" s="162"/>
      <c r="AQ1446" s="162"/>
      <c r="AR1446" s="710"/>
      <c r="AV1446" s="82"/>
      <c r="AW1446" s="947"/>
      <c r="AX1446" s="947"/>
      <c r="AY1446" s="947"/>
    </row>
    <row r="1447" spans="31:51" x14ac:dyDescent="0.25">
      <c r="AE1447" s="75"/>
      <c r="AF1447" s="82"/>
      <c r="AG1447" s="82"/>
      <c r="AH1447" s="82"/>
      <c r="AI1447" s="82"/>
      <c r="AJ1447" s="166"/>
      <c r="AK1447" s="82"/>
      <c r="AL1447" s="162"/>
      <c r="AM1447" s="162"/>
      <c r="AN1447" s="162"/>
      <c r="AO1447" s="162"/>
      <c r="AP1447" s="162"/>
      <c r="AQ1447" s="162"/>
      <c r="AR1447" s="710"/>
      <c r="AV1447" s="82"/>
      <c r="AW1447" s="947"/>
      <c r="AX1447" s="947"/>
      <c r="AY1447" s="947"/>
    </row>
    <row r="1448" spans="31:51" x14ac:dyDescent="0.25">
      <c r="AE1448" s="75"/>
      <c r="AF1448" s="82"/>
      <c r="AG1448" s="82"/>
      <c r="AH1448" s="82"/>
      <c r="AI1448" s="82"/>
      <c r="AJ1448" s="166"/>
      <c r="AK1448" s="82"/>
      <c r="AL1448" s="162"/>
      <c r="AM1448" s="162"/>
      <c r="AN1448" s="162"/>
      <c r="AO1448" s="162"/>
      <c r="AP1448" s="162"/>
      <c r="AQ1448" s="162"/>
      <c r="AR1448" s="710"/>
      <c r="AV1448" s="82"/>
      <c r="AW1448" s="947"/>
      <c r="AX1448" s="947"/>
      <c r="AY1448" s="947"/>
    </row>
    <row r="1449" spans="31:51" x14ac:dyDescent="0.25">
      <c r="AE1449" s="75"/>
      <c r="AF1449" s="82"/>
      <c r="AG1449" s="82"/>
      <c r="AH1449" s="82"/>
      <c r="AI1449" s="82"/>
      <c r="AJ1449" s="166"/>
      <c r="AK1449" s="82"/>
      <c r="AL1449" s="162"/>
      <c r="AM1449" s="162"/>
      <c r="AN1449" s="162"/>
      <c r="AO1449" s="162"/>
      <c r="AP1449" s="162"/>
      <c r="AQ1449" s="162"/>
      <c r="AR1449" s="710"/>
      <c r="AV1449" s="82"/>
      <c r="AW1449" s="947"/>
      <c r="AX1449" s="947"/>
      <c r="AY1449" s="947"/>
    </row>
    <row r="1450" spans="31:51" x14ac:dyDescent="0.25">
      <c r="AE1450" s="75"/>
      <c r="AF1450" s="82"/>
      <c r="AG1450" s="82"/>
      <c r="AH1450" s="82"/>
      <c r="AI1450" s="82"/>
      <c r="AJ1450" s="166"/>
      <c r="AK1450" s="82"/>
      <c r="AL1450" s="162"/>
      <c r="AM1450" s="162"/>
      <c r="AN1450" s="162"/>
      <c r="AO1450" s="162"/>
      <c r="AP1450" s="162"/>
      <c r="AQ1450" s="162"/>
      <c r="AR1450" s="710"/>
      <c r="AV1450" s="82"/>
      <c r="AW1450" s="947"/>
      <c r="AX1450" s="947"/>
      <c r="AY1450" s="947"/>
    </row>
    <row r="1451" spans="31:51" x14ac:dyDescent="0.25">
      <c r="AE1451" s="75"/>
      <c r="AF1451" s="82"/>
      <c r="AG1451" s="82"/>
      <c r="AH1451" s="82"/>
      <c r="AI1451" s="82"/>
      <c r="AJ1451" s="166"/>
      <c r="AK1451" s="82"/>
      <c r="AL1451" s="162"/>
      <c r="AM1451" s="162"/>
      <c r="AN1451" s="162"/>
      <c r="AO1451" s="162"/>
      <c r="AP1451" s="162"/>
      <c r="AQ1451" s="162"/>
      <c r="AR1451" s="710"/>
      <c r="AV1451" s="82"/>
      <c r="AW1451" s="947"/>
      <c r="AX1451" s="947"/>
      <c r="AY1451" s="947"/>
    </row>
    <row r="1452" spans="31:51" x14ac:dyDescent="0.25">
      <c r="AE1452" s="75"/>
      <c r="AF1452" s="82"/>
      <c r="AG1452" s="82"/>
      <c r="AH1452" s="82"/>
      <c r="AI1452" s="82"/>
      <c r="AJ1452" s="166"/>
      <c r="AK1452" s="82"/>
      <c r="AL1452" s="162"/>
      <c r="AM1452" s="162"/>
      <c r="AN1452" s="162"/>
      <c r="AO1452" s="162"/>
      <c r="AP1452" s="162"/>
      <c r="AQ1452" s="162"/>
      <c r="AR1452" s="710"/>
      <c r="AV1452" s="82"/>
      <c r="AW1452" s="947"/>
      <c r="AX1452" s="947"/>
      <c r="AY1452" s="947"/>
    </row>
    <row r="1453" spans="31:51" x14ac:dyDescent="0.25">
      <c r="AE1453" s="75"/>
      <c r="AF1453" s="82"/>
      <c r="AG1453" s="82"/>
      <c r="AH1453" s="82"/>
      <c r="AI1453" s="82"/>
      <c r="AJ1453" s="166"/>
      <c r="AK1453" s="82"/>
      <c r="AL1453" s="162"/>
      <c r="AM1453" s="162"/>
      <c r="AN1453" s="162"/>
      <c r="AO1453" s="162"/>
      <c r="AP1453" s="162"/>
      <c r="AQ1453" s="162"/>
      <c r="AR1453" s="710"/>
      <c r="AV1453" s="82"/>
      <c r="AW1453" s="947"/>
      <c r="AX1453" s="947"/>
      <c r="AY1453" s="947"/>
    </row>
    <row r="1454" spans="31:51" x14ac:dyDescent="0.25">
      <c r="AE1454" s="75"/>
      <c r="AF1454" s="82"/>
      <c r="AG1454" s="82"/>
      <c r="AH1454" s="82"/>
      <c r="AI1454" s="82"/>
      <c r="AJ1454" s="166"/>
      <c r="AK1454" s="82"/>
      <c r="AL1454" s="162"/>
      <c r="AM1454" s="162"/>
      <c r="AN1454" s="162"/>
      <c r="AO1454" s="162"/>
      <c r="AP1454" s="162"/>
      <c r="AQ1454" s="162"/>
      <c r="AR1454" s="710"/>
      <c r="AV1454" s="82"/>
      <c r="AW1454" s="947"/>
      <c r="AX1454" s="947"/>
      <c r="AY1454" s="947"/>
    </row>
    <row r="1455" spans="31:51" x14ac:dyDescent="0.25">
      <c r="AE1455" s="75"/>
      <c r="AF1455" s="82"/>
      <c r="AG1455" s="82"/>
      <c r="AH1455" s="82"/>
      <c r="AI1455" s="82"/>
      <c r="AJ1455" s="166"/>
      <c r="AK1455" s="82"/>
      <c r="AL1455" s="162"/>
      <c r="AM1455" s="162"/>
      <c r="AN1455" s="162"/>
      <c r="AO1455" s="162"/>
      <c r="AP1455" s="162"/>
      <c r="AQ1455" s="162"/>
      <c r="AR1455" s="710"/>
      <c r="AV1455" s="82"/>
      <c r="AW1455" s="947"/>
      <c r="AX1455" s="947"/>
      <c r="AY1455" s="947"/>
    </row>
    <row r="1456" spans="31:51" x14ac:dyDescent="0.25">
      <c r="AE1456" s="75"/>
      <c r="AF1456" s="82"/>
      <c r="AG1456" s="82"/>
      <c r="AH1456" s="82"/>
      <c r="AI1456" s="82"/>
      <c r="AJ1456" s="166"/>
      <c r="AK1456" s="82"/>
      <c r="AL1456" s="162"/>
      <c r="AM1456" s="162"/>
      <c r="AN1456" s="162"/>
      <c r="AO1456" s="162"/>
      <c r="AP1456" s="162"/>
      <c r="AQ1456" s="162"/>
      <c r="AR1456" s="710"/>
      <c r="AV1456" s="82"/>
      <c r="AW1456" s="947"/>
      <c r="AX1456" s="947"/>
      <c r="AY1456" s="947"/>
    </row>
    <row r="1457" spans="31:51" x14ac:dyDescent="0.25">
      <c r="AE1457" s="75"/>
      <c r="AF1457" s="82"/>
      <c r="AG1457" s="82"/>
      <c r="AH1457" s="82"/>
      <c r="AI1457" s="82"/>
      <c r="AJ1457" s="166"/>
      <c r="AK1457" s="82"/>
      <c r="AL1457" s="162"/>
      <c r="AM1457" s="162"/>
      <c r="AN1457" s="162"/>
      <c r="AO1457" s="162"/>
      <c r="AP1457" s="162"/>
      <c r="AQ1457" s="162"/>
      <c r="AR1457" s="710"/>
      <c r="AV1457" s="82"/>
      <c r="AW1457" s="947"/>
      <c r="AX1457" s="947"/>
      <c r="AY1457" s="947"/>
    </row>
    <row r="1458" spans="31:51" x14ac:dyDescent="0.25">
      <c r="AE1458" s="75"/>
      <c r="AF1458" s="82"/>
      <c r="AG1458" s="82"/>
      <c r="AH1458" s="82"/>
      <c r="AI1458" s="82"/>
      <c r="AJ1458" s="166"/>
      <c r="AK1458" s="82"/>
      <c r="AL1458" s="162"/>
      <c r="AM1458" s="162"/>
      <c r="AN1458" s="162"/>
      <c r="AO1458" s="162"/>
      <c r="AP1458" s="162"/>
      <c r="AQ1458" s="162"/>
      <c r="AR1458" s="710"/>
      <c r="AV1458" s="82"/>
      <c r="AW1458" s="947"/>
      <c r="AX1458" s="947"/>
      <c r="AY1458" s="947"/>
    </row>
    <row r="1459" spans="31:51" x14ac:dyDescent="0.25">
      <c r="AE1459" s="75"/>
      <c r="AF1459" s="82"/>
      <c r="AG1459" s="82"/>
      <c r="AH1459" s="82"/>
      <c r="AI1459" s="82"/>
      <c r="AJ1459" s="166"/>
      <c r="AK1459" s="82"/>
      <c r="AL1459" s="162"/>
      <c r="AM1459" s="162"/>
      <c r="AN1459" s="162"/>
      <c r="AO1459" s="162"/>
      <c r="AP1459" s="162"/>
      <c r="AQ1459" s="162"/>
      <c r="AR1459" s="710"/>
      <c r="AV1459" s="82"/>
      <c r="AW1459" s="947"/>
      <c r="AX1459" s="947"/>
      <c r="AY1459" s="947"/>
    </row>
    <row r="1460" spans="31:51" x14ac:dyDescent="0.25">
      <c r="AE1460" s="75"/>
      <c r="AF1460" s="82"/>
      <c r="AG1460" s="82"/>
      <c r="AH1460" s="82"/>
      <c r="AI1460" s="82"/>
      <c r="AJ1460" s="166"/>
      <c r="AK1460" s="82"/>
      <c r="AL1460" s="162"/>
      <c r="AM1460" s="162"/>
      <c r="AN1460" s="162"/>
      <c r="AO1460" s="162"/>
      <c r="AP1460" s="162"/>
      <c r="AQ1460" s="162"/>
      <c r="AR1460" s="710"/>
      <c r="AV1460" s="82"/>
      <c r="AW1460" s="947"/>
      <c r="AX1460" s="947"/>
      <c r="AY1460" s="947"/>
    </row>
    <row r="1461" spans="31:51" x14ac:dyDescent="0.25">
      <c r="AE1461" s="75"/>
      <c r="AF1461" s="82"/>
      <c r="AG1461" s="82"/>
      <c r="AH1461" s="82"/>
      <c r="AI1461" s="82"/>
      <c r="AJ1461" s="166"/>
      <c r="AK1461" s="82"/>
      <c r="AL1461" s="162"/>
      <c r="AM1461" s="162"/>
      <c r="AN1461" s="162"/>
      <c r="AO1461" s="162"/>
      <c r="AP1461" s="162"/>
      <c r="AQ1461" s="162"/>
      <c r="AR1461" s="710"/>
      <c r="AV1461" s="82"/>
      <c r="AW1461" s="947"/>
      <c r="AX1461" s="947"/>
      <c r="AY1461" s="947"/>
    </row>
    <row r="1462" spans="31:51" x14ac:dyDescent="0.25">
      <c r="AE1462" s="75"/>
      <c r="AF1462" s="82"/>
      <c r="AG1462" s="82"/>
      <c r="AH1462" s="82"/>
      <c r="AI1462" s="82"/>
      <c r="AJ1462" s="166"/>
      <c r="AK1462" s="82"/>
      <c r="AL1462" s="162"/>
      <c r="AM1462" s="162"/>
      <c r="AN1462" s="162"/>
      <c r="AO1462" s="162"/>
      <c r="AP1462" s="162"/>
      <c r="AQ1462" s="162"/>
      <c r="AR1462" s="710"/>
      <c r="AV1462" s="82"/>
      <c r="AW1462" s="947"/>
      <c r="AX1462" s="947"/>
      <c r="AY1462" s="947"/>
    </row>
    <row r="1463" spans="31:51" x14ac:dyDescent="0.25">
      <c r="AE1463" s="75"/>
      <c r="AF1463" s="82"/>
      <c r="AG1463" s="82"/>
      <c r="AH1463" s="82"/>
      <c r="AI1463" s="82"/>
      <c r="AJ1463" s="166"/>
      <c r="AK1463" s="82"/>
      <c r="AL1463" s="162"/>
      <c r="AM1463" s="162"/>
      <c r="AN1463" s="162"/>
      <c r="AO1463" s="162"/>
      <c r="AP1463" s="162"/>
      <c r="AQ1463" s="162"/>
      <c r="AR1463" s="710"/>
      <c r="AV1463" s="82"/>
      <c r="AW1463" s="947"/>
      <c r="AX1463" s="947"/>
      <c r="AY1463" s="947"/>
    </row>
    <row r="1464" spans="31:51" x14ac:dyDescent="0.25">
      <c r="AE1464" s="75"/>
      <c r="AF1464" s="82"/>
      <c r="AG1464" s="82"/>
      <c r="AH1464" s="82"/>
      <c r="AI1464" s="82"/>
      <c r="AJ1464" s="166"/>
      <c r="AK1464" s="82"/>
      <c r="AL1464" s="162"/>
      <c r="AM1464" s="162"/>
      <c r="AN1464" s="162"/>
      <c r="AO1464" s="162"/>
      <c r="AP1464" s="162"/>
      <c r="AQ1464" s="162"/>
      <c r="AR1464" s="710"/>
      <c r="AV1464" s="82"/>
      <c r="AW1464" s="947"/>
      <c r="AX1464" s="947"/>
      <c r="AY1464" s="947"/>
    </row>
    <row r="1465" spans="31:51" x14ac:dyDescent="0.25">
      <c r="AE1465" s="75"/>
      <c r="AF1465" s="82"/>
      <c r="AG1465" s="82"/>
      <c r="AH1465" s="82"/>
      <c r="AI1465" s="82"/>
      <c r="AJ1465" s="166"/>
      <c r="AK1465" s="82"/>
      <c r="AL1465" s="162"/>
      <c r="AM1465" s="162"/>
      <c r="AN1465" s="162"/>
      <c r="AO1465" s="162"/>
      <c r="AP1465" s="162"/>
      <c r="AQ1465" s="162"/>
      <c r="AR1465" s="710"/>
      <c r="AV1465" s="82"/>
      <c r="AW1465" s="947"/>
      <c r="AX1465" s="947"/>
      <c r="AY1465" s="947"/>
    </row>
    <row r="1466" spans="31:51" x14ac:dyDescent="0.25">
      <c r="AE1466" s="75"/>
      <c r="AF1466" s="82"/>
      <c r="AG1466" s="82"/>
      <c r="AH1466" s="82"/>
      <c r="AI1466" s="82"/>
      <c r="AJ1466" s="166"/>
      <c r="AK1466" s="82"/>
      <c r="AL1466" s="162"/>
      <c r="AM1466" s="162"/>
      <c r="AN1466" s="162"/>
      <c r="AO1466" s="162"/>
      <c r="AP1466" s="162"/>
      <c r="AQ1466" s="162"/>
      <c r="AR1466" s="710"/>
      <c r="AV1466" s="82"/>
      <c r="AW1466" s="947"/>
      <c r="AX1466" s="947"/>
      <c r="AY1466" s="947"/>
    </row>
    <row r="1467" spans="31:51" x14ac:dyDescent="0.25">
      <c r="AE1467" s="75"/>
      <c r="AF1467" s="82"/>
      <c r="AG1467" s="82"/>
      <c r="AH1467" s="82"/>
      <c r="AI1467" s="82"/>
      <c r="AJ1467" s="166"/>
      <c r="AK1467" s="82"/>
      <c r="AL1467" s="162"/>
      <c r="AM1467" s="162"/>
      <c r="AN1467" s="162"/>
      <c r="AO1467" s="162"/>
      <c r="AP1467" s="162"/>
      <c r="AQ1467" s="162"/>
      <c r="AR1467" s="710"/>
      <c r="AV1467" s="82"/>
      <c r="AW1467" s="947"/>
      <c r="AX1467" s="947"/>
      <c r="AY1467" s="947"/>
    </row>
    <row r="1468" spans="31:51" x14ac:dyDescent="0.25">
      <c r="AE1468" s="75"/>
      <c r="AF1468" s="82"/>
      <c r="AG1468" s="82"/>
      <c r="AH1468" s="82"/>
      <c r="AI1468" s="82"/>
      <c r="AJ1468" s="166"/>
      <c r="AK1468" s="82"/>
      <c r="AL1468" s="162"/>
      <c r="AM1468" s="162"/>
      <c r="AN1468" s="162"/>
      <c r="AO1468" s="162"/>
      <c r="AP1468" s="162"/>
      <c r="AQ1468" s="162"/>
      <c r="AR1468" s="710"/>
      <c r="AV1468" s="82"/>
      <c r="AW1468" s="947"/>
      <c r="AX1468" s="947"/>
      <c r="AY1468" s="947"/>
    </row>
    <row r="1469" spans="31:51" x14ac:dyDescent="0.25">
      <c r="AE1469" s="75"/>
      <c r="AF1469" s="82"/>
      <c r="AG1469" s="82"/>
      <c r="AH1469" s="82"/>
      <c r="AI1469" s="82"/>
      <c r="AJ1469" s="166"/>
      <c r="AK1469" s="82"/>
      <c r="AL1469" s="162"/>
      <c r="AM1469" s="162"/>
      <c r="AN1469" s="162"/>
      <c r="AO1469" s="162"/>
      <c r="AP1469" s="162"/>
      <c r="AQ1469" s="162"/>
      <c r="AR1469" s="710"/>
      <c r="AV1469" s="82"/>
      <c r="AW1469" s="947"/>
      <c r="AX1469" s="947"/>
      <c r="AY1469" s="947"/>
    </row>
    <row r="1470" spans="31:51" x14ac:dyDescent="0.25">
      <c r="AE1470" s="75"/>
      <c r="AF1470" s="82"/>
      <c r="AG1470" s="82"/>
      <c r="AH1470" s="82"/>
      <c r="AI1470" s="82"/>
      <c r="AJ1470" s="166"/>
      <c r="AK1470" s="82"/>
      <c r="AL1470" s="162"/>
      <c r="AM1470" s="162"/>
      <c r="AN1470" s="162"/>
      <c r="AO1470" s="162"/>
      <c r="AP1470" s="162"/>
      <c r="AQ1470" s="162"/>
      <c r="AR1470" s="710"/>
      <c r="AV1470" s="82"/>
      <c r="AW1470" s="947"/>
      <c r="AX1470" s="947"/>
      <c r="AY1470" s="947"/>
    </row>
    <row r="1471" spans="31:51" x14ac:dyDescent="0.25">
      <c r="AE1471" s="75"/>
      <c r="AF1471" s="82"/>
      <c r="AG1471" s="82"/>
      <c r="AH1471" s="82"/>
      <c r="AI1471" s="82"/>
      <c r="AJ1471" s="166"/>
      <c r="AK1471" s="82"/>
      <c r="AL1471" s="162"/>
      <c r="AM1471" s="162"/>
      <c r="AN1471" s="162"/>
      <c r="AO1471" s="162"/>
      <c r="AP1471" s="162"/>
      <c r="AQ1471" s="162"/>
      <c r="AR1471" s="710"/>
      <c r="AV1471" s="82"/>
      <c r="AW1471" s="947"/>
      <c r="AX1471" s="947"/>
      <c r="AY1471" s="947"/>
    </row>
    <row r="1472" spans="31:51" x14ac:dyDescent="0.25">
      <c r="AE1472" s="75"/>
      <c r="AF1472" s="82"/>
      <c r="AG1472" s="82"/>
      <c r="AH1472" s="82"/>
      <c r="AI1472" s="82"/>
      <c r="AJ1472" s="166"/>
      <c r="AK1472" s="82"/>
      <c r="AL1472" s="162"/>
      <c r="AM1472" s="162"/>
      <c r="AN1472" s="162"/>
      <c r="AO1472" s="162"/>
      <c r="AP1472" s="162"/>
      <c r="AQ1472" s="162"/>
      <c r="AR1472" s="710"/>
      <c r="AV1472" s="82"/>
      <c r="AW1472" s="947"/>
      <c r="AX1472" s="947"/>
      <c r="AY1472" s="947"/>
    </row>
    <row r="1473" spans="31:51" x14ac:dyDescent="0.25">
      <c r="AE1473" s="75"/>
      <c r="AF1473" s="82"/>
      <c r="AG1473" s="82"/>
      <c r="AH1473" s="82"/>
      <c r="AI1473" s="82"/>
      <c r="AJ1473" s="166"/>
      <c r="AK1473" s="82"/>
      <c r="AL1473" s="162"/>
      <c r="AM1473" s="162"/>
      <c r="AN1473" s="162"/>
      <c r="AO1473" s="162"/>
      <c r="AP1473" s="162"/>
      <c r="AQ1473" s="162"/>
      <c r="AR1473" s="710"/>
      <c r="AV1473" s="82"/>
      <c r="AW1473" s="947"/>
      <c r="AX1473" s="947"/>
      <c r="AY1473" s="947"/>
    </row>
    <row r="1474" spans="31:51" x14ac:dyDescent="0.25">
      <c r="AE1474" s="75"/>
      <c r="AF1474" s="82"/>
      <c r="AG1474" s="82"/>
      <c r="AH1474" s="82"/>
      <c r="AI1474" s="82"/>
      <c r="AJ1474" s="166"/>
      <c r="AK1474" s="82"/>
      <c r="AL1474" s="162"/>
      <c r="AM1474" s="162"/>
      <c r="AN1474" s="162"/>
      <c r="AO1474" s="162"/>
      <c r="AP1474" s="162"/>
      <c r="AQ1474" s="162"/>
      <c r="AR1474" s="710"/>
      <c r="AV1474" s="82"/>
      <c r="AW1474" s="947"/>
      <c r="AX1474" s="947"/>
      <c r="AY1474" s="947"/>
    </row>
    <row r="1475" spans="31:51" x14ac:dyDescent="0.25">
      <c r="AE1475" s="75"/>
      <c r="AF1475" s="82"/>
      <c r="AG1475" s="82"/>
      <c r="AH1475" s="82"/>
      <c r="AI1475" s="82"/>
      <c r="AJ1475" s="166"/>
      <c r="AK1475" s="82"/>
      <c r="AL1475" s="162"/>
      <c r="AM1475" s="162"/>
      <c r="AN1475" s="162"/>
      <c r="AO1475" s="162"/>
      <c r="AP1475" s="162"/>
      <c r="AQ1475" s="162"/>
      <c r="AR1475" s="710"/>
      <c r="AV1475" s="82"/>
      <c r="AW1475" s="947"/>
      <c r="AX1475" s="947"/>
      <c r="AY1475" s="947"/>
    </row>
    <row r="1476" spans="31:51" x14ac:dyDescent="0.25">
      <c r="AE1476" s="75"/>
      <c r="AF1476" s="82"/>
      <c r="AG1476" s="82"/>
      <c r="AH1476" s="82"/>
      <c r="AI1476" s="82"/>
      <c r="AJ1476" s="166"/>
      <c r="AK1476" s="82"/>
      <c r="AL1476" s="162"/>
      <c r="AM1476" s="162"/>
      <c r="AN1476" s="162"/>
      <c r="AO1476" s="162"/>
      <c r="AP1476" s="162"/>
      <c r="AQ1476" s="162"/>
      <c r="AR1476" s="710"/>
      <c r="AV1476" s="82"/>
      <c r="AW1476" s="947"/>
      <c r="AX1476" s="947"/>
      <c r="AY1476" s="947"/>
    </row>
    <row r="1477" spans="31:51" x14ac:dyDescent="0.25">
      <c r="AE1477" s="75"/>
      <c r="AF1477" s="82"/>
      <c r="AG1477" s="82"/>
      <c r="AH1477" s="82"/>
      <c r="AI1477" s="82"/>
      <c r="AJ1477" s="166"/>
      <c r="AK1477" s="82"/>
      <c r="AL1477" s="162"/>
      <c r="AM1477" s="162"/>
      <c r="AN1477" s="162"/>
      <c r="AO1477" s="162"/>
      <c r="AP1477" s="162"/>
      <c r="AQ1477" s="162"/>
      <c r="AR1477" s="710"/>
      <c r="AV1477" s="82"/>
      <c r="AW1477" s="947"/>
      <c r="AX1477" s="947"/>
      <c r="AY1477" s="947"/>
    </row>
    <row r="1478" spans="31:51" x14ac:dyDescent="0.25">
      <c r="AE1478" s="75"/>
      <c r="AF1478" s="82"/>
      <c r="AG1478" s="82"/>
      <c r="AH1478" s="82"/>
      <c r="AI1478" s="82"/>
      <c r="AJ1478" s="166"/>
      <c r="AK1478" s="82"/>
      <c r="AL1478" s="162"/>
      <c r="AM1478" s="162"/>
      <c r="AN1478" s="162"/>
      <c r="AO1478" s="162"/>
      <c r="AP1478" s="162"/>
      <c r="AQ1478" s="162"/>
      <c r="AR1478" s="710"/>
      <c r="AV1478" s="82"/>
      <c r="AW1478" s="947"/>
      <c r="AX1478" s="947"/>
      <c r="AY1478" s="947"/>
    </row>
    <row r="1479" spans="31:51" x14ac:dyDescent="0.25">
      <c r="AE1479" s="75"/>
      <c r="AF1479" s="82"/>
      <c r="AG1479" s="82"/>
      <c r="AH1479" s="82"/>
      <c r="AI1479" s="82"/>
      <c r="AJ1479" s="166"/>
      <c r="AK1479" s="82"/>
      <c r="AL1479" s="162"/>
      <c r="AM1479" s="162"/>
      <c r="AN1479" s="162"/>
      <c r="AO1479" s="162"/>
      <c r="AP1479" s="162"/>
      <c r="AQ1479" s="162"/>
      <c r="AR1479" s="710"/>
      <c r="AV1479" s="82"/>
      <c r="AW1479" s="947"/>
      <c r="AX1479" s="947"/>
      <c r="AY1479" s="947"/>
    </row>
    <row r="1480" spans="31:51" x14ac:dyDescent="0.25">
      <c r="AE1480" s="75"/>
      <c r="AF1480" s="82"/>
      <c r="AG1480" s="82"/>
      <c r="AH1480" s="82"/>
      <c r="AI1480" s="82"/>
      <c r="AJ1480" s="166"/>
      <c r="AK1480" s="82"/>
      <c r="AL1480" s="162"/>
      <c r="AM1480" s="162"/>
      <c r="AN1480" s="162"/>
      <c r="AO1480" s="162"/>
      <c r="AP1480" s="162"/>
      <c r="AQ1480" s="162"/>
      <c r="AR1480" s="710"/>
      <c r="AV1480" s="82"/>
      <c r="AW1480" s="947"/>
      <c r="AX1480" s="947"/>
      <c r="AY1480" s="947"/>
    </row>
    <row r="1481" spans="31:51" x14ac:dyDescent="0.25">
      <c r="AE1481" s="75"/>
      <c r="AF1481" s="82"/>
      <c r="AG1481" s="82"/>
      <c r="AH1481" s="82"/>
      <c r="AI1481" s="82"/>
      <c r="AJ1481" s="166"/>
      <c r="AK1481" s="82"/>
      <c r="AL1481" s="162"/>
      <c r="AM1481" s="162"/>
      <c r="AN1481" s="162"/>
      <c r="AO1481" s="162"/>
      <c r="AP1481" s="162"/>
      <c r="AQ1481" s="162"/>
      <c r="AR1481" s="710"/>
      <c r="AV1481" s="82"/>
      <c r="AW1481" s="947"/>
      <c r="AX1481" s="947"/>
      <c r="AY1481" s="947"/>
    </row>
    <row r="1482" spans="31:51" x14ac:dyDescent="0.25">
      <c r="AE1482" s="75"/>
      <c r="AF1482" s="82"/>
      <c r="AG1482" s="82"/>
      <c r="AH1482" s="82"/>
      <c r="AI1482" s="82"/>
      <c r="AJ1482" s="166"/>
      <c r="AK1482" s="82"/>
      <c r="AL1482" s="162"/>
      <c r="AM1482" s="162"/>
      <c r="AN1482" s="162"/>
      <c r="AO1482" s="162"/>
      <c r="AP1482" s="162"/>
      <c r="AQ1482" s="162"/>
      <c r="AR1482" s="710"/>
      <c r="AV1482" s="82"/>
      <c r="AW1482" s="947"/>
      <c r="AX1482" s="947"/>
      <c r="AY1482" s="947"/>
    </row>
    <row r="1483" spans="31:51" x14ac:dyDescent="0.25">
      <c r="AE1483" s="75"/>
      <c r="AF1483" s="82"/>
      <c r="AG1483" s="82"/>
      <c r="AH1483" s="82"/>
      <c r="AI1483" s="82"/>
      <c r="AJ1483" s="166"/>
      <c r="AK1483" s="82"/>
      <c r="AL1483" s="162"/>
      <c r="AM1483" s="162"/>
      <c r="AN1483" s="162"/>
      <c r="AO1483" s="162"/>
      <c r="AP1483" s="162"/>
      <c r="AQ1483" s="162"/>
      <c r="AR1483" s="710"/>
      <c r="AV1483" s="82"/>
      <c r="AW1483" s="947"/>
      <c r="AX1483" s="947"/>
      <c r="AY1483" s="947"/>
    </row>
    <row r="1484" spans="31:51" x14ac:dyDescent="0.25">
      <c r="AE1484" s="75"/>
      <c r="AF1484" s="82"/>
      <c r="AG1484" s="82"/>
      <c r="AH1484" s="82"/>
      <c r="AI1484" s="82"/>
      <c r="AJ1484" s="166"/>
      <c r="AK1484" s="82"/>
      <c r="AL1484" s="162"/>
      <c r="AM1484" s="162"/>
      <c r="AN1484" s="162"/>
      <c r="AO1484" s="162"/>
      <c r="AP1484" s="162"/>
      <c r="AQ1484" s="162"/>
      <c r="AR1484" s="710"/>
      <c r="AV1484" s="82"/>
      <c r="AW1484" s="947"/>
      <c r="AX1484" s="947"/>
      <c r="AY1484" s="947"/>
    </row>
    <row r="1485" spans="31:51" x14ac:dyDescent="0.25">
      <c r="AE1485" s="75"/>
      <c r="AF1485" s="82"/>
      <c r="AG1485" s="82"/>
      <c r="AH1485" s="82"/>
      <c r="AI1485" s="82"/>
      <c r="AJ1485" s="166"/>
      <c r="AK1485" s="82"/>
      <c r="AL1485" s="162"/>
      <c r="AM1485" s="162"/>
      <c r="AN1485" s="162"/>
      <c r="AO1485" s="162"/>
      <c r="AP1485" s="162"/>
      <c r="AQ1485" s="162"/>
      <c r="AR1485" s="710"/>
      <c r="AV1485" s="82"/>
      <c r="AW1485" s="947"/>
      <c r="AX1485" s="947"/>
      <c r="AY1485" s="947"/>
    </row>
    <row r="1486" spans="31:51" x14ac:dyDescent="0.25">
      <c r="AE1486" s="75"/>
      <c r="AF1486" s="82"/>
      <c r="AG1486" s="82"/>
      <c r="AH1486" s="82"/>
      <c r="AI1486" s="82"/>
      <c r="AJ1486" s="166"/>
      <c r="AK1486" s="82"/>
      <c r="AL1486" s="162"/>
      <c r="AM1486" s="162"/>
      <c r="AN1486" s="162"/>
      <c r="AO1486" s="162"/>
      <c r="AP1486" s="162"/>
      <c r="AQ1486" s="162"/>
      <c r="AR1486" s="710"/>
      <c r="AV1486" s="82"/>
      <c r="AW1486" s="947"/>
      <c r="AX1486" s="947"/>
      <c r="AY1486" s="947"/>
    </row>
    <row r="1487" spans="31:51" x14ac:dyDescent="0.25">
      <c r="AE1487" s="75"/>
      <c r="AF1487" s="82"/>
      <c r="AG1487" s="82"/>
      <c r="AH1487" s="82"/>
      <c r="AI1487" s="82"/>
      <c r="AJ1487" s="166"/>
      <c r="AK1487" s="82"/>
      <c r="AL1487" s="162"/>
      <c r="AM1487" s="162"/>
      <c r="AN1487" s="162"/>
      <c r="AO1487" s="162"/>
      <c r="AP1487" s="162"/>
      <c r="AQ1487" s="162"/>
      <c r="AR1487" s="710"/>
      <c r="AV1487" s="82"/>
      <c r="AW1487" s="947"/>
      <c r="AX1487" s="947"/>
      <c r="AY1487" s="947"/>
    </row>
    <row r="1488" spans="31:51" x14ac:dyDescent="0.25">
      <c r="AE1488" s="75"/>
      <c r="AF1488" s="82"/>
      <c r="AG1488" s="82"/>
      <c r="AH1488" s="82"/>
      <c r="AI1488" s="82"/>
      <c r="AJ1488" s="166"/>
      <c r="AK1488" s="82"/>
      <c r="AL1488" s="162"/>
      <c r="AM1488" s="162"/>
      <c r="AN1488" s="162"/>
      <c r="AO1488" s="162"/>
      <c r="AP1488" s="162"/>
      <c r="AQ1488" s="162"/>
      <c r="AR1488" s="710"/>
      <c r="AV1488" s="82"/>
      <c r="AW1488" s="947"/>
      <c r="AX1488" s="947"/>
      <c r="AY1488" s="947"/>
    </row>
    <row r="1489" spans="31:51" x14ac:dyDescent="0.25">
      <c r="AE1489" s="75"/>
      <c r="AF1489" s="82"/>
      <c r="AG1489" s="82"/>
      <c r="AH1489" s="82"/>
      <c r="AI1489" s="82"/>
      <c r="AJ1489" s="166"/>
      <c r="AK1489" s="82"/>
      <c r="AL1489" s="162"/>
      <c r="AM1489" s="162"/>
      <c r="AN1489" s="162"/>
      <c r="AO1489" s="162"/>
      <c r="AP1489" s="162"/>
      <c r="AQ1489" s="162"/>
      <c r="AR1489" s="710"/>
      <c r="AV1489" s="82"/>
      <c r="AW1489" s="947"/>
      <c r="AX1489" s="947"/>
      <c r="AY1489" s="947"/>
    </row>
    <row r="1490" spans="31:51" x14ac:dyDescent="0.25">
      <c r="AE1490" s="75"/>
      <c r="AF1490" s="82"/>
      <c r="AG1490" s="82"/>
      <c r="AH1490" s="82"/>
      <c r="AI1490" s="82"/>
      <c r="AJ1490" s="166"/>
      <c r="AK1490" s="82"/>
      <c r="AL1490" s="162"/>
      <c r="AM1490" s="162"/>
      <c r="AN1490" s="162"/>
      <c r="AO1490" s="162"/>
      <c r="AP1490" s="162"/>
      <c r="AQ1490" s="162"/>
      <c r="AR1490" s="710"/>
      <c r="AV1490" s="82"/>
      <c r="AW1490" s="947"/>
      <c r="AX1490" s="947"/>
      <c r="AY1490" s="947"/>
    </row>
    <row r="1491" spans="31:51" x14ac:dyDescent="0.25">
      <c r="AE1491" s="75"/>
      <c r="AF1491" s="82"/>
      <c r="AG1491" s="82"/>
      <c r="AH1491" s="82"/>
      <c r="AI1491" s="82"/>
      <c r="AJ1491" s="166"/>
      <c r="AK1491" s="82"/>
      <c r="AL1491" s="162"/>
      <c r="AM1491" s="162"/>
      <c r="AN1491" s="162"/>
      <c r="AO1491" s="162"/>
      <c r="AP1491" s="162"/>
      <c r="AQ1491" s="162"/>
      <c r="AR1491" s="710"/>
      <c r="AV1491" s="82"/>
      <c r="AW1491" s="947"/>
      <c r="AX1491" s="947"/>
      <c r="AY1491" s="947"/>
    </row>
    <row r="1492" spans="31:51" x14ac:dyDescent="0.25">
      <c r="AE1492" s="75"/>
      <c r="AF1492" s="82"/>
      <c r="AG1492" s="82"/>
      <c r="AH1492" s="82"/>
      <c r="AI1492" s="82"/>
      <c r="AJ1492" s="166"/>
      <c r="AK1492" s="82"/>
      <c r="AL1492" s="162"/>
      <c r="AM1492" s="162"/>
      <c r="AN1492" s="162"/>
      <c r="AO1492" s="162"/>
      <c r="AP1492" s="162"/>
      <c r="AQ1492" s="162"/>
      <c r="AR1492" s="710"/>
      <c r="AV1492" s="82"/>
      <c r="AW1492" s="947"/>
      <c r="AX1492" s="947"/>
      <c r="AY1492" s="947"/>
    </row>
    <row r="1493" spans="31:51" x14ac:dyDescent="0.25">
      <c r="AE1493" s="75"/>
      <c r="AF1493" s="82"/>
      <c r="AG1493" s="82"/>
      <c r="AH1493" s="82"/>
      <c r="AI1493" s="82"/>
      <c r="AJ1493" s="166"/>
      <c r="AK1493" s="82"/>
      <c r="AL1493" s="162"/>
      <c r="AM1493" s="162"/>
      <c r="AN1493" s="162"/>
      <c r="AO1493" s="162"/>
      <c r="AP1493" s="162"/>
      <c r="AQ1493" s="162"/>
      <c r="AR1493" s="710"/>
      <c r="AV1493" s="82"/>
      <c r="AW1493" s="947"/>
      <c r="AX1493" s="947"/>
      <c r="AY1493" s="947"/>
    </row>
    <row r="1494" spans="31:51" x14ac:dyDescent="0.25">
      <c r="AE1494" s="75"/>
      <c r="AF1494" s="82"/>
      <c r="AG1494" s="82"/>
      <c r="AH1494" s="82"/>
      <c r="AI1494" s="82"/>
      <c r="AJ1494" s="166"/>
      <c r="AK1494" s="82"/>
      <c r="AL1494" s="162"/>
      <c r="AM1494" s="162"/>
      <c r="AN1494" s="162"/>
      <c r="AO1494" s="162"/>
      <c r="AP1494" s="162"/>
      <c r="AQ1494" s="162"/>
      <c r="AR1494" s="710"/>
      <c r="AV1494" s="82"/>
      <c r="AW1494" s="947"/>
      <c r="AX1494" s="947"/>
      <c r="AY1494" s="947"/>
    </row>
    <row r="1495" spans="31:51" x14ac:dyDescent="0.25">
      <c r="AE1495" s="75"/>
      <c r="AF1495" s="82"/>
      <c r="AG1495" s="82"/>
      <c r="AH1495" s="82"/>
      <c r="AI1495" s="82"/>
      <c r="AJ1495" s="166"/>
      <c r="AK1495" s="82"/>
      <c r="AL1495" s="162"/>
      <c r="AM1495" s="162"/>
      <c r="AN1495" s="162"/>
      <c r="AO1495" s="162"/>
      <c r="AP1495" s="162"/>
      <c r="AQ1495" s="162"/>
      <c r="AR1495" s="710"/>
      <c r="AV1495" s="82"/>
      <c r="AW1495" s="947"/>
      <c r="AX1495" s="947"/>
      <c r="AY1495" s="947"/>
    </row>
    <row r="1496" spans="31:51" x14ac:dyDescent="0.25">
      <c r="AE1496" s="75"/>
      <c r="AF1496" s="82"/>
      <c r="AG1496" s="82"/>
      <c r="AH1496" s="82"/>
      <c r="AI1496" s="82"/>
      <c r="AJ1496" s="166"/>
      <c r="AK1496" s="82"/>
      <c r="AL1496" s="162"/>
      <c r="AM1496" s="162"/>
      <c r="AN1496" s="162"/>
      <c r="AO1496" s="162"/>
      <c r="AP1496" s="162"/>
      <c r="AQ1496" s="162"/>
      <c r="AR1496" s="710"/>
      <c r="AV1496" s="82"/>
      <c r="AW1496" s="947"/>
      <c r="AX1496" s="947"/>
      <c r="AY1496" s="947"/>
    </row>
    <row r="1497" spans="31:51" x14ac:dyDescent="0.25">
      <c r="AE1497" s="75"/>
      <c r="AF1497" s="82"/>
      <c r="AG1497" s="82"/>
      <c r="AH1497" s="82"/>
      <c r="AI1497" s="82"/>
      <c r="AJ1497" s="166"/>
      <c r="AK1497" s="82"/>
      <c r="AL1497" s="162"/>
      <c r="AM1497" s="162"/>
      <c r="AN1497" s="162"/>
      <c r="AO1497" s="162"/>
      <c r="AP1497" s="162"/>
      <c r="AQ1497" s="162"/>
      <c r="AR1497" s="710"/>
      <c r="AV1497" s="82"/>
      <c r="AW1497" s="947"/>
      <c r="AX1497" s="947"/>
      <c r="AY1497" s="947"/>
    </row>
    <row r="1498" spans="31:51" x14ac:dyDescent="0.25">
      <c r="AE1498" s="75"/>
      <c r="AF1498" s="82"/>
      <c r="AG1498" s="82"/>
      <c r="AH1498" s="82"/>
      <c r="AI1498" s="82"/>
      <c r="AJ1498" s="166"/>
      <c r="AK1498" s="82"/>
      <c r="AL1498" s="162"/>
      <c r="AM1498" s="162"/>
      <c r="AN1498" s="162"/>
      <c r="AO1498" s="162"/>
      <c r="AP1498" s="162"/>
      <c r="AQ1498" s="162"/>
      <c r="AR1498" s="710"/>
      <c r="AV1498" s="82"/>
      <c r="AW1498" s="947"/>
      <c r="AX1498" s="947"/>
      <c r="AY1498" s="947"/>
    </row>
    <row r="1499" spans="31:51" x14ac:dyDescent="0.25">
      <c r="AE1499" s="75"/>
      <c r="AF1499" s="82"/>
      <c r="AG1499" s="82"/>
      <c r="AH1499" s="82"/>
      <c r="AI1499" s="82"/>
      <c r="AJ1499" s="166"/>
      <c r="AK1499" s="82"/>
      <c r="AL1499" s="162"/>
      <c r="AM1499" s="162"/>
      <c r="AN1499" s="162"/>
      <c r="AO1499" s="162"/>
      <c r="AP1499" s="162"/>
      <c r="AQ1499" s="162"/>
      <c r="AR1499" s="710"/>
      <c r="AV1499" s="82"/>
      <c r="AW1499" s="947"/>
      <c r="AX1499" s="947"/>
      <c r="AY1499" s="947"/>
    </row>
    <row r="1500" spans="31:51" x14ac:dyDescent="0.25">
      <c r="AE1500" s="75"/>
      <c r="AF1500" s="82"/>
      <c r="AG1500" s="82"/>
      <c r="AH1500" s="82"/>
      <c r="AI1500" s="82"/>
      <c r="AJ1500" s="166"/>
      <c r="AK1500" s="82"/>
      <c r="AL1500" s="162"/>
      <c r="AM1500" s="162"/>
      <c r="AN1500" s="162"/>
      <c r="AO1500" s="162"/>
      <c r="AP1500" s="162"/>
      <c r="AQ1500" s="162"/>
      <c r="AR1500" s="710"/>
      <c r="AV1500" s="82"/>
      <c r="AW1500" s="947"/>
      <c r="AX1500" s="947"/>
      <c r="AY1500" s="947"/>
    </row>
    <row r="1501" spans="31:51" x14ac:dyDescent="0.25">
      <c r="AE1501" s="75"/>
      <c r="AF1501" s="82"/>
      <c r="AG1501" s="82"/>
      <c r="AH1501" s="82"/>
      <c r="AI1501" s="82"/>
      <c r="AJ1501" s="166"/>
      <c r="AK1501" s="82"/>
      <c r="AL1501" s="162"/>
      <c r="AM1501" s="162"/>
      <c r="AN1501" s="162"/>
      <c r="AO1501" s="162"/>
      <c r="AP1501" s="162"/>
      <c r="AQ1501" s="162"/>
      <c r="AR1501" s="710"/>
      <c r="AV1501" s="82"/>
      <c r="AW1501" s="947"/>
      <c r="AX1501" s="947"/>
      <c r="AY1501" s="947"/>
    </row>
    <row r="1502" spans="31:51" x14ac:dyDescent="0.25">
      <c r="AE1502" s="75"/>
      <c r="AF1502" s="82"/>
      <c r="AG1502" s="82"/>
      <c r="AH1502" s="82"/>
      <c r="AI1502" s="82"/>
      <c r="AJ1502" s="166"/>
      <c r="AK1502" s="82"/>
      <c r="AL1502" s="162"/>
      <c r="AM1502" s="162"/>
      <c r="AN1502" s="162"/>
      <c r="AO1502" s="162"/>
      <c r="AP1502" s="162"/>
      <c r="AQ1502" s="162"/>
      <c r="AR1502" s="710"/>
      <c r="AV1502" s="82"/>
      <c r="AW1502" s="947"/>
      <c r="AX1502" s="947"/>
      <c r="AY1502" s="947"/>
    </row>
    <row r="1503" spans="31:51" x14ac:dyDescent="0.25">
      <c r="AE1503" s="75"/>
      <c r="AF1503" s="82"/>
      <c r="AG1503" s="82"/>
      <c r="AH1503" s="82"/>
      <c r="AI1503" s="82"/>
      <c r="AJ1503" s="166"/>
      <c r="AK1503" s="82"/>
      <c r="AL1503" s="162"/>
      <c r="AM1503" s="162"/>
      <c r="AN1503" s="162"/>
      <c r="AO1503" s="162"/>
      <c r="AP1503" s="162"/>
      <c r="AQ1503" s="162"/>
      <c r="AR1503" s="710"/>
      <c r="AV1503" s="82"/>
      <c r="AW1503" s="947"/>
      <c r="AX1503" s="947"/>
      <c r="AY1503" s="947"/>
    </row>
    <row r="1504" spans="31:51" x14ac:dyDescent="0.25">
      <c r="AE1504" s="75"/>
      <c r="AF1504" s="82"/>
      <c r="AG1504" s="82"/>
      <c r="AH1504" s="82"/>
      <c r="AI1504" s="82"/>
      <c r="AJ1504" s="166"/>
      <c r="AK1504" s="82"/>
      <c r="AL1504" s="162"/>
      <c r="AM1504" s="162"/>
      <c r="AN1504" s="162"/>
      <c r="AO1504" s="162"/>
      <c r="AP1504" s="162"/>
      <c r="AQ1504" s="162"/>
      <c r="AR1504" s="710"/>
      <c r="AV1504" s="82"/>
      <c r="AW1504" s="947"/>
      <c r="AX1504" s="947"/>
      <c r="AY1504" s="947"/>
    </row>
    <row r="1505" spans="31:51" x14ac:dyDescent="0.25">
      <c r="AE1505" s="75"/>
      <c r="AF1505" s="82"/>
      <c r="AG1505" s="82"/>
      <c r="AH1505" s="82"/>
      <c r="AI1505" s="82"/>
      <c r="AJ1505" s="166"/>
      <c r="AK1505" s="82"/>
      <c r="AL1505" s="162"/>
      <c r="AM1505" s="162"/>
      <c r="AN1505" s="162"/>
      <c r="AO1505" s="162"/>
      <c r="AP1505" s="162"/>
      <c r="AQ1505" s="162"/>
      <c r="AR1505" s="710"/>
      <c r="AV1505" s="82"/>
      <c r="AW1505" s="947"/>
      <c r="AX1505" s="947"/>
      <c r="AY1505" s="947"/>
    </row>
    <row r="1506" spans="31:51" x14ac:dyDescent="0.25">
      <c r="AE1506" s="75"/>
      <c r="AF1506" s="82"/>
      <c r="AG1506" s="82"/>
      <c r="AH1506" s="82"/>
      <c r="AI1506" s="82"/>
      <c r="AJ1506" s="166"/>
      <c r="AK1506" s="82"/>
      <c r="AL1506" s="162"/>
      <c r="AM1506" s="162"/>
      <c r="AN1506" s="162"/>
      <c r="AO1506" s="162"/>
      <c r="AP1506" s="162"/>
      <c r="AQ1506" s="162"/>
      <c r="AR1506" s="710"/>
      <c r="AV1506" s="82"/>
      <c r="AW1506" s="947"/>
      <c r="AX1506" s="947"/>
      <c r="AY1506" s="947"/>
    </row>
    <row r="1507" spans="31:51" x14ac:dyDescent="0.25">
      <c r="AE1507" s="75"/>
      <c r="AF1507" s="82"/>
      <c r="AG1507" s="82"/>
      <c r="AH1507" s="82"/>
      <c r="AI1507" s="82"/>
      <c r="AJ1507" s="166"/>
      <c r="AK1507" s="82"/>
      <c r="AL1507" s="162"/>
      <c r="AM1507" s="162"/>
      <c r="AN1507" s="162"/>
      <c r="AO1507" s="162"/>
      <c r="AP1507" s="162"/>
      <c r="AQ1507" s="162"/>
      <c r="AR1507" s="710"/>
      <c r="AV1507" s="82"/>
      <c r="AW1507" s="947"/>
      <c r="AX1507" s="947"/>
      <c r="AY1507" s="947"/>
    </row>
    <row r="1508" spans="31:51" x14ac:dyDescent="0.25">
      <c r="AE1508" s="75"/>
      <c r="AF1508" s="82"/>
      <c r="AG1508" s="82"/>
      <c r="AH1508" s="82"/>
      <c r="AI1508" s="82"/>
      <c r="AJ1508" s="166"/>
      <c r="AK1508" s="82"/>
      <c r="AL1508" s="162"/>
      <c r="AM1508" s="162"/>
      <c r="AN1508" s="162"/>
      <c r="AO1508" s="162"/>
      <c r="AP1508" s="162"/>
      <c r="AQ1508" s="162"/>
      <c r="AR1508" s="710"/>
      <c r="AV1508" s="82"/>
      <c r="AW1508" s="947"/>
      <c r="AX1508" s="947"/>
      <c r="AY1508" s="947"/>
    </row>
    <row r="1509" spans="31:51" x14ac:dyDescent="0.25">
      <c r="AE1509" s="75"/>
      <c r="AF1509" s="82"/>
      <c r="AG1509" s="82"/>
      <c r="AH1509" s="82"/>
      <c r="AI1509" s="82"/>
      <c r="AJ1509" s="166"/>
      <c r="AK1509" s="82"/>
      <c r="AL1509" s="162"/>
      <c r="AM1509" s="162"/>
      <c r="AN1509" s="162"/>
      <c r="AO1509" s="162"/>
      <c r="AP1509" s="162"/>
      <c r="AQ1509" s="162"/>
      <c r="AR1509" s="710"/>
      <c r="AV1509" s="82"/>
      <c r="AW1509" s="947"/>
      <c r="AX1509" s="947"/>
      <c r="AY1509" s="947"/>
    </row>
    <row r="1510" spans="31:51" x14ac:dyDescent="0.25">
      <c r="AE1510" s="75"/>
      <c r="AF1510" s="82"/>
      <c r="AG1510" s="82"/>
      <c r="AH1510" s="82"/>
      <c r="AI1510" s="82"/>
      <c r="AJ1510" s="166"/>
      <c r="AK1510" s="82"/>
      <c r="AL1510" s="162"/>
      <c r="AM1510" s="162"/>
      <c r="AN1510" s="162"/>
      <c r="AO1510" s="162"/>
      <c r="AP1510" s="162"/>
      <c r="AQ1510" s="162"/>
      <c r="AR1510" s="710"/>
      <c r="AV1510" s="82"/>
      <c r="AW1510" s="947"/>
      <c r="AX1510" s="947"/>
      <c r="AY1510" s="947"/>
    </row>
    <row r="1511" spans="31:51" x14ac:dyDescent="0.25">
      <c r="AE1511" s="75"/>
      <c r="AF1511" s="82"/>
      <c r="AG1511" s="82"/>
      <c r="AH1511" s="82"/>
      <c r="AI1511" s="82"/>
      <c r="AJ1511" s="166"/>
      <c r="AK1511" s="82"/>
      <c r="AL1511" s="162"/>
      <c r="AM1511" s="162"/>
      <c r="AN1511" s="162"/>
      <c r="AO1511" s="162"/>
      <c r="AP1511" s="162"/>
      <c r="AQ1511" s="162"/>
      <c r="AR1511" s="710"/>
      <c r="AV1511" s="82"/>
      <c r="AW1511" s="947"/>
      <c r="AX1511" s="947"/>
      <c r="AY1511" s="947"/>
    </row>
    <row r="1512" spans="31:51" x14ac:dyDescent="0.25">
      <c r="AE1512" s="75"/>
      <c r="AF1512" s="82"/>
      <c r="AG1512" s="82"/>
      <c r="AH1512" s="82"/>
      <c r="AI1512" s="82"/>
      <c r="AJ1512" s="166"/>
      <c r="AK1512" s="82"/>
      <c r="AL1512" s="162"/>
      <c r="AM1512" s="162"/>
      <c r="AN1512" s="162"/>
      <c r="AO1512" s="162"/>
      <c r="AP1512" s="162"/>
      <c r="AQ1512" s="162"/>
      <c r="AR1512" s="710"/>
      <c r="AV1512" s="82"/>
      <c r="AW1512" s="947"/>
      <c r="AX1512" s="947"/>
      <c r="AY1512" s="947"/>
    </row>
    <row r="1513" spans="31:51" x14ac:dyDescent="0.25">
      <c r="AE1513" s="75"/>
      <c r="AF1513" s="82"/>
      <c r="AG1513" s="82"/>
      <c r="AH1513" s="82"/>
      <c r="AI1513" s="82"/>
      <c r="AJ1513" s="166"/>
      <c r="AK1513" s="82"/>
      <c r="AL1513" s="162"/>
      <c r="AM1513" s="162"/>
      <c r="AN1513" s="162"/>
      <c r="AO1513" s="162"/>
      <c r="AP1513" s="162"/>
      <c r="AQ1513" s="162"/>
      <c r="AR1513" s="710"/>
      <c r="AV1513" s="82"/>
      <c r="AW1513" s="947"/>
      <c r="AX1513" s="947"/>
      <c r="AY1513" s="947"/>
    </row>
    <row r="1514" spans="31:51" x14ac:dyDescent="0.25">
      <c r="AE1514" s="75"/>
      <c r="AF1514" s="82"/>
      <c r="AG1514" s="82"/>
      <c r="AH1514" s="82"/>
      <c r="AI1514" s="82"/>
      <c r="AJ1514" s="166"/>
      <c r="AK1514" s="82"/>
      <c r="AL1514" s="162"/>
      <c r="AM1514" s="162"/>
      <c r="AN1514" s="162"/>
      <c r="AO1514" s="162"/>
      <c r="AP1514" s="162"/>
      <c r="AQ1514" s="162"/>
      <c r="AR1514" s="710"/>
      <c r="AV1514" s="82"/>
      <c r="AW1514" s="947"/>
      <c r="AX1514" s="947"/>
      <c r="AY1514" s="947"/>
    </row>
    <row r="1515" spans="31:51" x14ac:dyDescent="0.25">
      <c r="AE1515" s="75"/>
      <c r="AF1515" s="82"/>
      <c r="AG1515" s="82"/>
      <c r="AH1515" s="82"/>
      <c r="AI1515" s="82"/>
      <c r="AJ1515" s="166"/>
      <c r="AK1515" s="82"/>
      <c r="AL1515" s="162"/>
      <c r="AM1515" s="162"/>
      <c r="AN1515" s="162"/>
      <c r="AO1515" s="162"/>
      <c r="AP1515" s="162"/>
      <c r="AQ1515" s="162"/>
      <c r="AR1515" s="710"/>
      <c r="AV1515" s="82"/>
      <c r="AW1515" s="947"/>
      <c r="AX1515" s="947"/>
      <c r="AY1515" s="947"/>
    </row>
    <row r="1516" spans="31:51" x14ac:dyDescent="0.25">
      <c r="AE1516" s="75"/>
      <c r="AF1516" s="82"/>
      <c r="AG1516" s="82"/>
      <c r="AH1516" s="82"/>
      <c r="AI1516" s="82"/>
      <c r="AJ1516" s="166"/>
      <c r="AK1516" s="82"/>
      <c r="AL1516" s="162"/>
      <c r="AM1516" s="162"/>
      <c r="AN1516" s="162"/>
      <c r="AO1516" s="162"/>
      <c r="AP1516" s="162"/>
      <c r="AQ1516" s="162"/>
      <c r="AR1516" s="710"/>
      <c r="AV1516" s="82"/>
      <c r="AW1516" s="947"/>
      <c r="AX1516" s="947"/>
      <c r="AY1516" s="947"/>
    </row>
    <row r="1517" spans="31:51" x14ac:dyDescent="0.25">
      <c r="AE1517" s="75"/>
      <c r="AF1517" s="82"/>
      <c r="AG1517" s="82"/>
      <c r="AH1517" s="82"/>
      <c r="AI1517" s="82"/>
      <c r="AJ1517" s="166"/>
      <c r="AK1517" s="82"/>
      <c r="AL1517" s="162"/>
      <c r="AM1517" s="162"/>
      <c r="AN1517" s="162"/>
      <c r="AO1517" s="162"/>
      <c r="AP1517" s="162"/>
      <c r="AQ1517" s="162"/>
      <c r="AR1517" s="710"/>
      <c r="AV1517" s="82"/>
      <c r="AW1517" s="947"/>
      <c r="AX1517" s="947"/>
      <c r="AY1517" s="947"/>
    </row>
    <row r="1518" spans="31:51" x14ac:dyDescent="0.25">
      <c r="AE1518" s="75"/>
      <c r="AF1518" s="82"/>
      <c r="AG1518" s="82"/>
      <c r="AH1518" s="82"/>
      <c r="AI1518" s="82"/>
      <c r="AJ1518" s="166"/>
      <c r="AK1518" s="82"/>
      <c r="AL1518" s="162"/>
      <c r="AM1518" s="162"/>
      <c r="AN1518" s="162"/>
      <c r="AO1518" s="162"/>
      <c r="AP1518" s="162"/>
      <c r="AQ1518" s="162"/>
      <c r="AR1518" s="710"/>
      <c r="AV1518" s="82"/>
      <c r="AW1518" s="947"/>
      <c r="AX1518" s="947"/>
      <c r="AY1518" s="947"/>
    </row>
    <row r="1519" spans="31:51" x14ac:dyDescent="0.25">
      <c r="AE1519" s="75"/>
      <c r="AF1519" s="82"/>
      <c r="AG1519" s="82"/>
      <c r="AH1519" s="82"/>
      <c r="AI1519" s="82"/>
      <c r="AJ1519" s="166"/>
      <c r="AK1519" s="82"/>
      <c r="AL1519" s="162"/>
      <c r="AM1519" s="162"/>
      <c r="AN1519" s="162"/>
      <c r="AO1519" s="162"/>
      <c r="AP1519" s="162"/>
      <c r="AQ1519" s="162"/>
      <c r="AR1519" s="710"/>
      <c r="AV1519" s="82"/>
      <c r="AW1519" s="947"/>
      <c r="AX1519" s="947"/>
      <c r="AY1519" s="947"/>
    </row>
    <row r="1520" spans="31:51" x14ac:dyDescent="0.25">
      <c r="AE1520" s="75"/>
      <c r="AF1520" s="82"/>
      <c r="AG1520" s="82"/>
      <c r="AH1520" s="82"/>
      <c r="AI1520" s="82"/>
      <c r="AJ1520" s="166"/>
      <c r="AK1520" s="82"/>
      <c r="AL1520" s="162"/>
      <c r="AM1520" s="162"/>
      <c r="AN1520" s="162"/>
      <c r="AO1520" s="162"/>
      <c r="AP1520" s="162"/>
      <c r="AQ1520" s="162"/>
      <c r="AR1520" s="710"/>
      <c r="AV1520" s="82"/>
      <c r="AW1520" s="947"/>
      <c r="AX1520" s="947"/>
      <c r="AY1520" s="947"/>
    </row>
    <row r="1521" spans="31:51" x14ac:dyDescent="0.25">
      <c r="AE1521" s="75"/>
      <c r="AF1521" s="82"/>
      <c r="AG1521" s="82"/>
      <c r="AH1521" s="82"/>
      <c r="AI1521" s="82"/>
      <c r="AJ1521" s="166"/>
      <c r="AK1521" s="82"/>
      <c r="AL1521" s="162"/>
      <c r="AM1521" s="162"/>
      <c r="AN1521" s="162"/>
      <c r="AO1521" s="162"/>
      <c r="AP1521" s="162"/>
      <c r="AQ1521" s="162"/>
      <c r="AR1521" s="710"/>
      <c r="AV1521" s="82"/>
      <c r="AW1521" s="947"/>
      <c r="AX1521" s="947"/>
      <c r="AY1521" s="947"/>
    </row>
    <row r="1522" spans="31:51" x14ac:dyDescent="0.25">
      <c r="AE1522" s="75"/>
      <c r="AF1522" s="82"/>
      <c r="AG1522" s="82"/>
      <c r="AH1522" s="82"/>
      <c r="AI1522" s="82"/>
      <c r="AJ1522" s="166"/>
      <c r="AK1522" s="82"/>
      <c r="AL1522" s="162"/>
      <c r="AM1522" s="162"/>
      <c r="AN1522" s="162"/>
      <c r="AO1522" s="162"/>
      <c r="AP1522" s="162"/>
      <c r="AQ1522" s="162"/>
      <c r="AR1522" s="710"/>
      <c r="AV1522" s="82"/>
      <c r="AW1522" s="947"/>
      <c r="AX1522" s="947"/>
      <c r="AY1522" s="947"/>
    </row>
    <row r="1523" spans="31:51" x14ac:dyDescent="0.25">
      <c r="AE1523" s="75"/>
      <c r="AF1523" s="82"/>
      <c r="AG1523" s="82"/>
      <c r="AH1523" s="82"/>
      <c r="AI1523" s="82"/>
      <c r="AJ1523" s="166"/>
      <c r="AK1523" s="82"/>
      <c r="AL1523" s="162"/>
      <c r="AM1523" s="162"/>
      <c r="AN1523" s="162"/>
      <c r="AO1523" s="162"/>
      <c r="AP1523" s="162"/>
      <c r="AQ1523" s="162"/>
      <c r="AR1523" s="710"/>
      <c r="AV1523" s="82"/>
      <c r="AW1523" s="947"/>
      <c r="AX1523" s="947"/>
      <c r="AY1523" s="947"/>
    </row>
    <row r="1524" spans="31:51" x14ac:dyDescent="0.25">
      <c r="AE1524" s="75"/>
      <c r="AF1524" s="82"/>
      <c r="AG1524" s="82"/>
      <c r="AH1524" s="82"/>
      <c r="AI1524" s="82"/>
      <c r="AJ1524" s="166"/>
      <c r="AK1524" s="82"/>
      <c r="AL1524" s="162"/>
      <c r="AM1524" s="162"/>
      <c r="AN1524" s="162"/>
      <c r="AO1524" s="162"/>
      <c r="AP1524" s="162"/>
      <c r="AQ1524" s="162"/>
      <c r="AR1524" s="710"/>
      <c r="AV1524" s="82"/>
      <c r="AW1524" s="947"/>
      <c r="AX1524" s="947"/>
      <c r="AY1524" s="947"/>
    </row>
    <row r="1525" spans="31:51" x14ac:dyDescent="0.25">
      <c r="AE1525" s="75"/>
      <c r="AF1525" s="82"/>
      <c r="AG1525" s="82"/>
      <c r="AH1525" s="82"/>
      <c r="AI1525" s="82"/>
      <c r="AJ1525" s="166"/>
      <c r="AK1525" s="82"/>
      <c r="AL1525" s="162"/>
      <c r="AM1525" s="162"/>
      <c r="AN1525" s="162"/>
      <c r="AO1525" s="162"/>
      <c r="AP1525" s="162"/>
      <c r="AQ1525" s="162"/>
      <c r="AR1525" s="710"/>
      <c r="AV1525" s="82"/>
      <c r="AW1525" s="947"/>
      <c r="AX1525" s="947"/>
      <c r="AY1525" s="947"/>
    </row>
    <row r="1526" spans="31:51" x14ac:dyDescent="0.25">
      <c r="AE1526" s="75"/>
      <c r="AF1526" s="82"/>
      <c r="AG1526" s="82"/>
      <c r="AH1526" s="82"/>
      <c r="AI1526" s="82"/>
      <c r="AJ1526" s="166"/>
      <c r="AK1526" s="82"/>
      <c r="AL1526" s="162"/>
      <c r="AM1526" s="162"/>
      <c r="AN1526" s="162"/>
      <c r="AO1526" s="162"/>
      <c r="AP1526" s="162"/>
      <c r="AQ1526" s="162"/>
      <c r="AR1526" s="710"/>
      <c r="AV1526" s="82"/>
      <c r="AW1526" s="947"/>
      <c r="AX1526" s="947"/>
      <c r="AY1526" s="947"/>
    </row>
    <row r="1527" spans="31:51" x14ac:dyDescent="0.25">
      <c r="AE1527" s="75"/>
      <c r="AF1527" s="82"/>
      <c r="AG1527" s="82"/>
      <c r="AH1527" s="82"/>
      <c r="AI1527" s="82"/>
      <c r="AJ1527" s="166"/>
      <c r="AK1527" s="82"/>
      <c r="AL1527" s="162"/>
      <c r="AM1527" s="162"/>
      <c r="AN1527" s="162"/>
      <c r="AO1527" s="162"/>
      <c r="AP1527" s="162"/>
      <c r="AQ1527" s="162"/>
      <c r="AR1527" s="710"/>
      <c r="AV1527" s="82"/>
      <c r="AW1527" s="947"/>
      <c r="AX1527" s="947"/>
      <c r="AY1527" s="947"/>
    </row>
    <row r="1528" spans="31:51" x14ac:dyDescent="0.25">
      <c r="AE1528" s="75"/>
      <c r="AF1528" s="82"/>
      <c r="AG1528" s="82"/>
      <c r="AH1528" s="82"/>
      <c r="AI1528" s="82"/>
      <c r="AJ1528" s="166"/>
      <c r="AK1528" s="82"/>
      <c r="AL1528" s="162"/>
      <c r="AM1528" s="162"/>
      <c r="AN1528" s="162"/>
      <c r="AO1528" s="162"/>
      <c r="AP1528" s="162"/>
      <c r="AQ1528" s="162"/>
      <c r="AR1528" s="710"/>
      <c r="AV1528" s="82"/>
      <c r="AW1528" s="947"/>
      <c r="AX1528" s="947"/>
      <c r="AY1528" s="947"/>
    </row>
    <row r="1529" spans="31:51" x14ac:dyDescent="0.25">
      <c r="AE1529" s="75"/>
      <c r="AF1529" s="82"/>
      <c r="AG1529" s="82"/>
      <c r="AH1529" s="82"/>
      <c r="AI1529" s="82"/>
      <c r="AJ1529" s="166"/>
      <c r="AK1529" s="82"/>
      <c r="AL1529" s="162"/>
      <c r="AM1529" s="162"/>
      <c r="AN1529" s="162"/>
      <c r="AO1529" s="162"/>
      <c r="AP1529" s="162"/>
      <c r="AQ1529" s="162"/>
      <c r="AR1529" s="710"/>
      <c r="AV1529" s="82"/>
      <c r="AW1529" s="947"/>
      <c r="AX1529" s="947"/>
      <c r="AY1529" s="947"/>
    </row>
    <row r="1530" spans="31:51" x14ac:dyDescent="0.25">
      <c r="AE1530" s="75"/>
      <c r="AF1530" s="82"/>
      <c r="AG1530" s="82"/>
      <c r="AH1530" s="82"/>
      <c r="AI1530" s="82"/>
      <c r="AJ1530" s="166"/>
      <c r="AK1530" s="82"/>
      <c r="AL1530" s="162"/>
      <c r="AM1530" s="162"/>
      <c r="AN1530" s="162"/>
      <c r="AO1530" s="162"/>
      <c r="AP1530" s="162"/>
      <c r="AQ1530" s="162"/>
      <c r="AR1530" s="710"/>
      <c r="AV1530" s="82"/>
      <c r="AW1530" s="947"/>
      <c r="AX1530" s="947"/>
      <c r="AY1530" s="947"/>
    </row>
    <row r="1531" spans="31:51" x14ac:dyDescent="0.25">
      <c r="AE1531" s="75"/>
      <c r="AF1531" s="82"/>
      <c r="AG1531" s="82"/>
      <c r="AH1531" s="82"/>
      <c r="AI1531" s="82"/>
      <c r="AJ1531" s="166"/>
      <c r="AK1531" s="82"/>
      <c r="AL1531" s="162"/>
      <c r="AM1531" s="162"/>
      <c r="AN1531" s="162"/>
      <c r="AO1531" s="162"/>
      <c r="AP1531" s="162"/>
      <c r="AQ1531" s="162"/>
      <c r="AR1531" s="710"/>
      <c r="AV1531" s="82"/>
      <c r="AW1531" s="947"/>
      <c r="AX1531" s="947"/>
      <c r="AY1531" s="947"/>
    </row>
    <row r="1532" spans="31:51" x14ac:dyDescent="0.25">
      <c r="AE1532" s="75"/>
      <c r="AF1532" s="82"/>
      <c r="AG1532" s="82"/>
      <c r="AH1532" s="82"/>
      <c r="AI1532" s="82"/>
      <c r="AJ1532" s="166"/>
      <c r="AK1532" s="82"/>
      <c r="AL1532" s="162"/>
      <c r="AM1532" s="162"/>
      <c r="AN1532" s="162"/>
      <c r="AO1532" s="162"/>
      <c r="AP1532" s="162"/>
      <c r="AQ1532" s="162"/>
      <c r="AR1532" s="710"/>
      <c r="AV1532" s="82"/>
      <c r="AW1532" s="947"/>
      <c r="AX1532" s="947"/>
      <c r="AY1532" s="947"/>
    </row>
    <row r="1533" spans="31:51" x14ac:dyDescent="0.25">
      <c r="AE1533" s="75"/>
      <c r="AF1533" s="82"/>
      <c r="AG1533" s="82"/>
      <c r="AH1533" s="82"/>
      <c r="AI1533" s="82"/>
      <c r="AJ1533" s="166"/>
      <c r="AK1533" s="82"/>
      <c r="AL1533" s="162"/>
      <c r="AM1533" s="162"/>
      <c r="AN1533" s="162"/>
      <c r="AO1533" s="162"/>
      <c r="AP1533" s="162"/>
      <c r="AQ1533" s="162"/>
      <c r="AR1533" s="710"/>
      <c r="AV1533" s="82"/>
      <c r="AW1533" s="947"/>
      <c r="AX1533" s="947"/>
      <c r="AY1533" s="947"/>
    </row>
    <row r="1534" spans="31:51" x14ac:dyDescent="0.25">
      <c r="AE1534" s="75"/>
      <c r="AF1534" s="82"/>
      <c r="AG1534" s="82"/>
      <c r="AH1534" s="82"/>
      <c r="AI1534" s="82"/>
      <c r="AJ1534" s="166"/>
      <c r="AK1534" s="82"/>
      <c r="AL1534" s="162"/>
      <c r="AM1534" s="162"/>
      <c r="AN1534" s="162"/>
      <c r="AO1534" s="162"/>
      <c r="AP1534" s="162"/>
      <c r="AQ1534" s="162"/>
      <c r="AR1534" s="710"/>
      <c r="AV1534" s="82"/>
      <c r="AW1534" s="947"/>
      <c r="AX1534" s="947"/>
      <c r="AY1534" s="947"/>
    </row>
    <row r="1535" spans="31:51" x14ac:dyDescent="0.25">
      <c r="AE1535" s="75"/>
      <c r="AF1535" s="82"/>
      <c r="AG1535" s="82"/>
      <c r="AH1535" s="82"/>
      <c r="AI1535" s="82"/>
      <c r="AJ1535" s="166"/>
      <c r="AK1535" s="82"/>
      <c r="AL1535" s="162"/>
      <c r="AM1535" s="162"/>
      <c r="AN1535" s="162"/>
      <c r="AO1535" s="162"/>
      <c r="AP1535" s="162"/>
      <c r="AQ1535" s="162"/>
      <c r="AR1535" s="710"/>
      <c r="AV1535" s="82"/>
      <c r="AW1535" s="947"/>
      <c r="AX1535" s="947"/>
      <c r="AY1535" s="947"/>
    </row>
    <row r="1536" spans="31:51" x14ac:dyDescent="0.25">
      <c r="AE1536" s="75"/>
      <c r="AF1536" s="82"/>
      <c r="AG1536" s="82"/>
      <c r="AH1536" s="82"/>
      <c r="AI1536" s="82"/>
      <c r="AJ1536" s="166"/>
      <c r="AK1536" s="82"/>
      <c r="AL1536" s="162"/>
      <c r="AM1536" s="162"/>
      <c r="AN1536" s="162"/>
      <c r="AO1536" s="162"/>
      <c r="AP1536" s="162"/>
      <c r="AQ1536" s="162"/>
      <c r="AR1536" s="710"/>
      <c r="AV1536" s="82"/>
      <c r="AW1536" s="947"/>
      <c r="AX1536" s="947"/>
      <c r="AY1536" s="947"/>
    </row>
    <row r="1537" spans="31:51" x14ac:dyDescent="0.25">
      <c r="AE1537" s="75"/>
      <c r="AF1537" s="82"/>
      <c r="AG1537" s="82"/>
      <c r="AH1537" s="82"/>
      <c r="AI1537" s="82"/>
      <c r="AJ1537" s="166"/>
      <c r="AK1537" s="82"/>
      <c r="AL1537" s="162"/>
      <c r="AM1537" s="162"/>
      <c r="AN1537" s="162"/>
      <c r="AO1537" s="162"/>
      <c r="AP1537" s="162"/>
      <c r="AQ1537" s="162"/>
      <c r="AR1537" s="710"/>
      <c r="AV1537" s="82"/>
      <c r="AW1537" s="947"/>
      <c r="AX1537" s="947"/>
      <c r="AY1537" s="947"/>
    </row>
    <row r="1538" spans="31:51" x14ac:dyDescent="0.25">
      <c r="AE1538" s="75"/>
      <c r="AF1538" s="82"/>
      <c r="AG1538" s="82"/>
      <c r="AH1538" s="82"/>
      <c r="AI1538" s="82"/>
      <c r="AJ1538" s="166"/>
      <c r="AK1538" s="82"/>
      <c r="AL1538" s="162"/>
      <c r="AM1538" s="162"/>
      <c r="AN1538" s="162"/>
      <c r="AO1538" s="162"/>
      <c r="AP1538" s="162"/>
      <c r="AQ1538" s="162"/>
      <c r="AR1538" s="710"/>
      <c r="AV1538" s="82"/>
      <c r="AW1538" s="947"/>
      <c r="AX1538" s="947"/>
      <c r="AY1538" s="947"/>
    </row>
    <row r="1539" spans="31:51" x14ac:dyDescent="0.25">
      <c r="AE1539" s="75"/>
      <c r="AF1539" s="82"/>
      <c r="AG1539" s="82"/>
      <c r="AH1539" s="82"/>
      <c r="AI1539" s="82"/>
      <c r="AJ1539" s="166"/>
      <c r="AK1539" s="82"/>
      <c r="AL1539" s="162"/>
      <c r="AM1539" s="162"/>
      <c r="AN1539" s="162"/>
      <c r="AO1539" s="162"/>
      <c r="AP1539" s="162"/>
      <c r="AQ1539" s="162"/>
      <c r="AR1539" s="710"/>
      <c r="AV1539" s="82"/>
      <c r="AW1539" s="947"/>
      <c r="AX1539" s="947"/>
      <c r="AY1539" s="947"/>
    </row>
    <row r="1540" spans="31:51" x14ac:dyDescent="0.25">
      <c r="AE1540" s="75"/>
      <c r="AF1540" s="82"/>
      <c r="AG1540" s="82"/>
      <c r="AH1540" s="82"/>
      <c r="AI1540" s="82"/>
      <c r="AJ1540" s="166"/>
      <c r="AK1540" s="82"/>
      <c r="AL1540" s="162"/>
      <c r="AM1540" s="162"/>
      <c r="AN1540" s="162"/>
      <c r="AO1540" s="162"/>
      <c r="AP1540" s="162"/>
      <c r="AQ1540" s="162"/>
      <c r="AR1540" s="710"/>
      <c r="AV1540" s="82"/>
      <c r="AW1540" s="947"/>
      <c r="AX1540" s="947"/>
      <c r="AY1540" s="947"/>
    </row>
    <row r="1541" spans="31:51" x14ac:dyDescent="0.25">
      <c r="AE1541" s="75"/>
      <c r="AF1541" s="82"/>
      <c r="AG1541" s="82"/>
      <c r="AH1541" s="82"/>
      <c r="AI1541" s="82"/>
      <c r="AJ1541" s="166"/>
      <c r="AK1541" s="82"/>
      <c r="AL1541" s="162"/>
      <c r="AM1541" s="162"/>
      <c r="AN1541" s="162"/>
      <c r="AO1541" s="162"/>
      <c r="AP1541" s="162"/>
      <c r="AQ1541" s="162"/>
      <c r="AR1541" s="710"/>
      <c r="AV1541" s="82"/>
      <c r="AW1541" s="947"/>
      <c r="AX1541" s="947"/>
      <c r="AY1541" s="947"/>
    </row>
    <row r="1542" spans="31:51" x14ac:dyDescent="0.25">
      <c r="AE1542" s="75"/>
      <c r="AF1542" s="82"/>
      <c r="AG1542" s="82"/>
      <c r="AH1542" s="82"/>
      <c r="AI1542" s="82"/>
      <c r="AJ1542" s="166"/>
      <c r="AK1542" s="82"/>
      <c r="AL1542" s="162"/>
      <c r="AM1542" s="162"/>
      <c r="AN1542" s="162"/>
      <c r="AO1542" s="162"/>
      <c r="AP1542" s="162"/>
      <c r="AQ1542" s="162"/>
      <c r="AR1542" s="710"/>
      <c r="AV1542" s="82"/>
      <c r="AW1542" s="947"/>
      <c r="AX1542" s="947"/>
      <c r="AY1542" s="947"/>
    </row>
    <row r="1543" spans="31:51" x14ac:dyDescent="0.25">
      <c r="AE1543" s="75"/>
      <c r="AF1543" s="82"/>
      <c r="AG1543" s="82"/>
      <c r="AH1543" s="82"/>
      <c r="AI1543" s="82"/>
      <c r="AJ1543" s="166"/>
      <c r="AK1543" s="82"/>
      <c r="AL1543" s="162"/>
      <c r="AM1543" s="162"/>
      <c r="AN1543" s="162"/>
      <c r="AO1543" s="162"/>
      <c r="AP1543" s="162"/>
      <c r="AQ1543" s="162"/>
      <c r="AR1543" s="710"/>
      <c r="AV1543" s="82"/>
      <c r="AW1543" s="947"/>
      <c r="AX1543" s="947"/>
      <c r="AY1543" s="947"/>
    </row>
    <row r="1544" spans="31:51" x14ac:dyDescent="0.25">
      <c r="AE1544" s="75"/>
      <c r="AF1544" s="82"/>
      <c r="AG1544" s="82"/>
      <c r="AH1544" s="82"/>
      <c r="AI1544" s="82"/>
      <c r="AJ1544" s="166"/>
      <c r="AK1544" s="82"/>
      <c r="AL1544" s="162"/>
      <c r="AM1544" s="162"/>
      <c r="AN1544" s="162"/>
      <c r="AO1544" s="162"/>
      <c r="AP1544" s="162"/>
      <c r="AQ1544" s="162"/>
      <c r="AR1544" s="710"/>
      <c r="AV1544" s="82"/>
      <c r="AW1544" s="947"/>
      <c r="AX1544" s="947"/>
      <c r="AY1544" s="947"/>
    </row>
    <row r="1545" spans="31:51" x14ac:dyDescent="0.25">
      <c r="AE1545" s="75"/>
      <c r="AF1545" s="82"/>
      <c r="AG1545" s="82"/>
      <c r="AH1545" s="82"/>
      <c r="AI1545" s="82"/>
      <c r="AJ1545" s="166"/>
      <c r="AK1545" s="82"/>
      <c r="AL1545" s="162"/>
      <c r="AM1545" s="162"/>
      <c r="AN1545" s="162"/>
      <c r="AO1545" s="162"/>
      <c r="AP1545" s="162"/>
      <c r="AQ1545" s="162"/>
      <c r="AR1545" s="710"/>
      <c r="AV1545" s="82"/>
      <c r="AW1545" s="947"/>
      <c r="AX1545" s="947"/>
      <c r="AY1545" s="947"/>
    </row>
    <row r="1546" spans="31:51" x14ac:dyDescent="0.25">
      <c r="AE1546" s="75"/>
      <c r="AF1546" s="82"/>
      <c r="AG1546" s="82"/>
      <c r="AH1546" s="82"/>
      <c r="AI1546" s="82"/>
      <c r="AJ1546" s="166"/>
      <c r="AK1546" s="82"/>
      <c r="AL1546" s="162"/>
      <c r="AM1546" s="162"/>
      <c r="AN1546" s="162"/>
      <c r="AO1546" s="162"/>
      <c r="AP1546" s="162"/>
      <c r="AQ1546" s="162"/>
      <c r="AR1546" s="710"/>
      <c r="AV1546" s="82"/>
      <c r="AW1546" s="947"/>
      <c r="AX1546" s="947"/>
      <c r="AY1546" s="947"/>
    </row>
    <row r="1547" spans="31:51" x14ac:dyDescent="0.25">
      <c r="AE1547" s="75"/>
      <c r="AF1547" s="82"/>
      <c r="AG1547" s="82"/>
      <c r="AH1547" s="82"/>
      <c r="AI1547" s="82"/>
      <c r="AJ1547" s="166"/>
      <c r="AK1547" s="82"/>
      <c r="AL1547" s="162"/>
      <c r="AM1547" s="162"/>
      <c r="AN1547" s="162"/>
      <c r="AO1547" s="162"/>
      <c r="AP1547" s="162"/>
      <c r="AQ1547" s="162"/>
      <c r="AR1547" s="710"/>
      <c r="AV1547" s="82"/>
      <c r="AW1547" s="947"/>
      <c r="AX1547" s="947"/>
      <c r="AY1547" s="947"/>
    </row>
    <row r="1548" spans="31:51" x14ac:dyDescent="0.25">
      <c r="AE1548" s="75"/>
      <c r="AF1548" s="82"/>
      <c r="AG1548" s="82"/>
      <c r="AH1548" s="82"/>
      <c r="AI1548" s="82"/>
      <c r="AJ1548" s="166"/>
      <c r="AK1548" s="82"/>
      <c r="AL1548" s="162"/>
      <c r="AM1548" s="162"/>
      <c r="AN1548" s="162"/>
      <c r="AO1548" s="162"/>
      <c r="AP1548" s="162"/>
      <c r="AQ1548" s="162"/>
      <c r="AR1548" s="710"/>
      <c r="AV1548" s="82"/>
      <c r="AW1548" s="947"/>
      <c r="AX1548" s="947"/>
      <c r="AY1548" s="947"/>
    </row>
    <row r="1549" spans="31:51" x14ac:dyDescent="0.25">
      <c r="AE1549" s="75"/>
      <c r="AF1549" s="82"/>
      <c r="AG1549" s="82"/>
      <c r="AH1549" s="82"/>
      <c r="AI1549" s="82"/>
      <c r="AJ1549" s="166"/>
      <c r="AK1549" s="82"/>
      <c r="AL1549" s="162"/>
      <c r="AM1549" s="162"/>
      <c r="AN1549" s="162"/>
      <c r="AO1549" s="162"/>
      <c r="AP1549" s="162"/>
      <c r="AQ1549" s="162"/>
      <c r="AR1549" s="710"/>
      <c r="AV1549" s="82"/>
      <c r="AW1549" s="947"/>
      <c r="AX1549" s="947"/>
      <c r="AY1549" s="947"/>
    </row>
    <row r="1550" spans="31:51" x14ac:dyDescent="0.25">
      <c r="AE1550" s="75"/>
      <c r="AF1550" s="82"/>
      <c r="AG1550" s="82"/>
      <c r="AH1550" s="82"/>
      <c r="AI1550" s="82"/>
      <c r="AJ1550" s="166"/>
      <c r="AK1550" s="82"/>
      <c r="AL1550" s="162"/>
      <c r="AM1550" s="162"/>
      <c r="AN1550" s="162"/>
      <c r="AO1550" s="162"/>
      <c r="AP1550" s="162"/>
      <c r="AQ1550" s="162"/>
      <c r="AR1550" s="710"/>
      <c r="AV1550" s="82"/>
      <c r="AW1550" s="947"/>
      <c r="AX1550" s="947"/>
      <c r="AY1550" s="947"/>
    </row>
    <row r="1551" spans="31:51" x14ac:dyDescent="0.25">
      <c r="AE1551" s="75"/>
      <c r="AF1551" s="82"/>
      <c r="AG1551" s="82"/>
      <c r="AH1551" s="82"/>
      <c r="AI1551" s="82"/>
      <c r="AJ1551" s="166"/>
      <c r="AK1551" s="82"/>
      <c r="AL1551" s="162"/>
      <c r="AM1551" s="162"/>
      <c r="AN1551" s="162"/>
      <c r="AO1551" s="162"/>
      <c r="AP1551" s="162"/>
      <c r="AQ1551" s="162"/>
      <c r="AR1551" s="710"/>
      <c r="AV1551" s="82"/>
      <c r="AW1551" s="947"/>
      <c r="AX1551" s="947"/>
      <c r="AY1551" s="947"/>
    </row>
    <row r="1552" spans="31:51" x14ac:dyDescent="0.25">
      <c r="AE1552" s="75"/>
      <c r="AF1552" s="82"/>
      <c r="AG1552" s="82"/>
      <c r="AH1552" s="82"/>
      <c r="AI1552" s="82"/>
      <c r="AJ1552" s="166"/>
      <c r="AK1552" s="82"/>
      <c r="AL1552" s="162"/>
      <c r="AM1552" s="162"/>
      <c r="AN1552" s="162"/>
      <c r="AO1552" s="162"/>
      <c r="AP1552" s="162"/>
      <c r="AQ1552" s="162"/>
      <c r="AR1552" s="710"/>
      <c r="AV1552" s="82"/>
      <c r="AW1552" s="947"/>
      <c r="AX1552" s="947"/>
      <c r="AY1552" s="947"/>
    </row>
    <row r="1553" spans="31:51" x14ac:dyDescent="0.25">
      <c r="AE1553" s="75"/>
      <c r="AF1553" s="82"/>
      <c r="AG1553" s="82"/>
      <c r="AH1553" s="82"/>
      <c r="AI1553" s="82"/>
      <c r="AJ1553" s="166"/>
      <c r="AK1553" s="82"/>
      <c r="AL1553" s="162"/>
      <c r="AM1553" s="162"/>
      <c r="AN1553" s="162"/>
      <c r="AO1553" s="162"/>
      <c r="AP1553" s="162"/>
      <c r="AQ1553" s="162"/>
      <c r="AR1553" s="710"/>
      <c r="AV1553" s="82"/>
      <c r="AW1553" s="947"/>
      <c r="AX1553" s="947"/>
      <c r="AY1553" s="947"/>
    </row>
    <row r="1554" spans="31:51" x14ac:dyDescent="0.25">
      <c r="AE1554" s="75"/>
      <c r="AF1554" s="82"/>
      <c r="AG1554" s="82"/>
      <c r="AH1554" s="82"/>
      <c r="AI1554" s="82"/>
      <c r="AJ1554" s="166"/>
      <c r="AK1554" s="82"/>
      <c r="AL1554" s="162"/>
      <c r="AM1554" s="162"/>
      <c r="AN1554" s="162"/>
      <c r="AO1554" s="162"/>
      <c r="AP1554" s="162"/>
      <c r="AQ1554" s="162"/>
      <c r="AR1554" s="710"/>
      <c r="AV1554" s="82"/>
      <c r="AW1554" s="947"/>
      <c r="AX1554" s="947"/>
      <c r="AY1554" s="947"/>
    </row>
    <row r="1555" spans="31:51" x14ac:dyDescent="0.25">
      <c r="AE1555" s="75"/>
      <c r="AF1555" s="82"/>
      <c r="AG1555" s="82"/>
      <c r="AH1555" s="82"/>
      <c r="AI1555" s="82"/>
      <c r="AJ1555" s="166"/>
      <c r="AK1555" s="82"/>
      <c r="AL1555" s="162"/>
      <c r="AM1555" s="162"/>
      <c r="AN1555" s="162"/>
      <c r="AO1555" s="162"/>
      <c r="AP1555" s="162"/>
      <c r="AQ1555" s="162"/>
      <c r="AR1555" s="710"/>
      <c r="AV1555" s="82"/>
      <c r="AW1555" s="947"/>
      <c r="AX1555" s="947"/>
      <c r="AY1555" s="947"/>
    </row>
    <row r="1556" spans="31:51" x14ac:dyDescent="0.25">
      <c r="AE1556" s="75"/>
      <c r="AF1556" s="82"/>
      <c r="AG1556" s="82"/>
      <c r="AH1556" s="82"/>
      <c r="AI1556" s="82"/>
      <c r="AJ1556" s="166"/>
      <c r="AK1556" s="82"/>
      <c r="AL1556" s="162"/>
      <c r="AM1556" s="162"/>
      <c r="AN1556" s="162"/>
      <c r="AO1556" s="162"/>
      <c r="AP1556" s="162"/>
      <c r="AQ1556" s="162"/>
      <c r="AR1556" s="710"/>
      <c r="AV1556" s="82"/>
      <c r="AW1556" s="947"/>
      <c r="AX1556" s="947"/>
      <c r="AY1556" s="947"/>
    </row>
    <row r="1557" spans="31:51" x14ac:dyDescent="0.25">
      <c r="AE1557" s="75"/>
      <c r="AF1557" s="82"/>
      <c r="AG1557" s="82"/>
      <c r="AH1557" s="82"/>
      <c r="AI1557" s="82"/>
      <c r="AJ1557" s="166"/>
      <c r="AK1557" s="82"/>
      <c r="AL1557" s="162"/>
      <c r="AM1557" s="162"/>
      <c r="AN1557" s="162"/>
      <c r="AO1557" s="162"/>
      <c r="AP1557" s="162"/>
      <c r="AQ1557" s="162"/>
      <c r="AR1557" s="710"/>
      <c r="AV1557" s="82"/>
      <c r="AW1557" s="947"/>
      <c r="AX1557" s="947"/>
      <c r="AY1557" s="947"/>
    </row>
    <row r="1558" spans="31:51" x14ac:dyDescent="0.25">
      <c r="AE1558" s="75"/>
      <c r="AF1558" s="82"/>
      <c r="AG1558" s="82"/>
      <c r="AH1558" s="82"/>
      <c r="AI1558" s="82"/>
      <c r="AJ1558" s="166"/>
      <c r="AK1558" s="82"/>
      <c r="AL1558" s="162"/>
      <c r="AM1558" s="162"/>
      <c r="AN1558" s="162"/>
      <c r="AO1558" s="162"/>
      <c r="AP1558" s="162"/>
      <c r="AQ1558" s="162"/>
      <c r="AR1558" s="710"/>
      <c r="AV1558" s="82"/>
      <c r="AW1558" s="947"/>
      <c r="AX1558" s="947"/>
      <c r="AY1558" s="947"/>
    </row>
    <row r="1559" spans="31:51" x14ac:dyDescent="0.25">
      <c r="AE1559" s="75"/>
      <c r="AF1559" s="82"/>
      <c r="AG1559" s="82"/>
      <c r="AH1559" s="82"/>
      <c r="AI1559" s="82"/>
      <c r="AJ1559" s="166"/>
      <c r="AK1559" s="82"/>
      <c r="AL1559" s="162"/>
      <c r="AM1559" s="162"/>
      <c r="AN1559" s="162"/>
      <c r="AO1559" s="162"/>
      <c r="AP1559" s="162"/>
      <c r="AQ1559" s="162"/>
      <c r="AR1559" s="710"/>
      <c r="AV1559" s="82"/>
      <c r="AW1559" s="947"/>
      <c r="AX1559" s="947"/>
      <c r="AY1559" s="947"/>
    </row>
    <row r="1560" spans="31:51" x14ac:dyDescent="0.25">
      <c r="AE1560" s="75"/>
      <c r="AF1560" s="82"/>
      <c r="AG1560" s="82"/>
      <c r="AH1560" s="82"/>
      <c r="AI1560" s="82"/>
      <c r="AJ1560" s="166"/>
      <c r="AK1560" s="82"/>
      <c r="AL1560" s="162"/>
      <c r="AM1560" s="162"/>
      <c r="AN1560" s="162"/>
      <c r="AO1560" s="162"/>
      <c r="AP1560" s="162"/>
      <c r="AQ1560" s="162"/>
      <c r="AR1560" s="710"/>
      <c r="AV1560" s="82"/>
      <c r="AW1560" s="947"/>
      <c r="AX1560" s="947"/>
      <c r="AY1560" s="947"/>
    </row>
    <row r="1561" spans="31:51" x14ac:dyDescent="0.25">
      <c r="AE1561" s="75"/>
      <c r="AF1561" s="82"/>
      <c r="AG1561" s="82"/>
      <c r="AH1561" s="82"/>
      <c r="AI1561" s="82"/>
      <c r="AJ1561" s="166"/>
      <c r="AK1561" s="82"/>
      <c r="AL1561" s="162"/>
      <c r="AM1561" s="162"/>
      <c r="AN1561" s="162"/>
      <c r="AO1561" s="162"/>
      <c r="AP1561" s="162"/>
      <c r="AQ1561" s="162"/>
      <c r="AR1561" s="710"/>
      <c r="AV1561" s="82"/>
      <c r="AW1561" s="947"/>
      <c r="AX1561" s="947"/>
      <c r="AY1561" s="947"/>
    </row>
    <row r="1562" spans="31:51" x14ac:dyDescent="0.25">
      <c r="AE1562" s="75"/>
      <c r="AF1562" s="82"/>
      <c r="AG1562" s="82"/>
      <c r="AH1562" s="82"/>
      <c r="AI1562" s="82"/>
      <c r="AJ1562" s="166"/>
      <c r="AK1562" s="82"/>
      <c r="AL1562" s="162"/>
      <c r="AM1562" s="162"/>
      <c r="AN1562" s="162"/>
      <c r="AO1562" s="162"/>
      <c r="AP1562" s="162"/>
      <c r="AQ1562" s="162"/>
      <c r="AR1562" s="710"/>
      <c r="AV1562" s="82"/>
      <c r="AW1562" s="947"/>
      <c r="AX1562" s="947"/>
      <c r="AY1562" s="947"/>
    </row>
    <row r="1563" spans="31:51" x14ac:dyDescent="0.25">
      <c r="AE1563" s="75"/>
      <c r="AF1563" s="82"/>
      <c r="AG1563" s="82"/>
      <c r="AH1563" s="82"/>
      <c r="AI1563" s="82"/>
      <c r="AJ1563" s="166"/>
      <c r="AK1563" s="82"/>
      <c r="AL1563" s="162"/>
      <c r="AM1563" s="162"/>
      <c r="AN1563" s="162"/>
      <c r="AO1563" s="162"/>
      <c r="AP1563" s="162"/>
      <c r="AQ1563" s="162"/>
      <c r="AR1563" s="710"/>
      <c r="AV1563" s="82"/>
      <c r="AW1563" s="947"/>
      <c r="AX1563" s="947"/>
      <c r="AY1563" s="947"/>
    </row>
    <row r="1564" spans="31:51" x14ac:dyDescent="0.25">
      <c r="AE1564" s="75"/>
      <c r="AF1564" s="82"/>
      <c r="AG1564" s="82"/>
      <c r="AH1564" s="82"/>
      <c r="AI1564" s="82"/>
      <c r="AJ1564" s="166"/>
      <c r="AK1564" s="82"/>
      <c r="AL1564" s="162"/>
      <c r="AM1564" s="162"/>
      <c r="AN1564" s="162"/>
      <c r="AO1564" s="162"/>
      <c r="AP1564" s="162"/>
      <c r="AQ1564" s="162"/>
      <c r="AR1564" s="710"/>
      <c r="AV1564" s="82"/>
      <c r="AW1564" s="947"/>
      <c r="AX1564" s="947"/>
      <c r="AY1564" s="947"/>
    </row>
    <row r="1565" spans="31:51" x14ac:dyDescent="0.25">
      <c r="AE1565" s="75"/>
      <c r="AF1565" s="82"/>
      <c r="AG1565" s="82"/>
      <c r="AH1565" s="82"/>
      <c r="AI1565" s="82"/>
      <c r="AJ1565" s="166"/>
      <c r="AK1565" s="82"/>
      <c r="AL1565" s="162"/>
      <c r="AM1565" s="162"/>
      <c r="AN1565" s="162"/>
      <c r="AO1565" s="162"/>
      <c r="AP1565" s="162"/>
      <c r="AQ1565" s="162"/>
      <c r="AR1565" s="710"/>
      <c r="AV1565" s="82"/>
      <c r="AW1565" s="947"/>
      <c r="AX1565" s="947"/>
      <c r="AY1565" s="947"/>
    </row>
    <row r="1566" spans="31:51" x14ac:dyDescent="0.25">
      <c r="AE1566" s="75"/>
      <c r="AF1566" s="82"/>
      <c r="AG1566" s="82"/>
      <c r="AH1566" s="82"/>
      <c r="AI1566" s="82"/>
      <c r="AJ1566" s="166"/>
      <c r="AK1566" s="82"/>
      <c r="AL1566" s="162"/>
      <c r="AM1566" s="162"/>
      <c r="AN1566" s="162"/>
      <c r="AO1566" s="162"/>
      <c r="AP1566" s="162"/>
      <c r="AQ1566" s="162"/>
      <c r="AR1566" s="710"/>
      <c r="AV1566" s="82"/>
      <c r="AW1566" s="947"/>
      <c r="AX1566" s="947"/>
      <c r="AY1566" s="947"/>
    </row>
    <row r="1567" spans="31:51" x14ac:dyDescent="0.25">
      <c r="AE1567" s="75"/>
      <c r="AF1567" s="82"/>
      <c r="AG1567" s="82"/>
      <c r="AH1567" s="82"/>
      <c r="AI1567" s="82"/>
      <c r="AJ1567" s="166"/>
      <c r="AK1567" s="82"/>
      <c r="AL1567" s="162"/>
      <c r="AM1567" s="162"/>
      <c r="AN1567" s="162"/>
      <c r="AO1567" s="162"/>
      <c r="AP1567" s="162"/>
      <c r="AQ1567" s="162"/>
      <c r="AR1567" s="710"/>
      <c r="AV1567" s="82"/>
      <c r="AW1567" s="947"/>
      <c r="AX1567" s="947"/>
      <c r="AY1567" s="947"/>
    </row>
    <row r="1568" spans="31:51" x14ac:dyDescent="0.25">
      <c r="AE1568" s="75"/>
      <c r="AF1568" s="82"/>
      <c r="AG1568" s="82"/>
      <c r="AH1568" s="82"/>
      <c r="AI1568" s="82"/>
      <c r="AJ1568" s="166"/>
      <c r="AK1568" s="82"/>
      <c r="AL1568" s="162"/>
      <c r="AM1568" s="162"/>
      <c r="AN1568" s="162"/>
      <c r="AO1568" s="162"/>
      <c r="AP1568" s="162"/>
      <c r="AQ1568" s="162"/>
      <c r="AR1568" s="710"/>
      <c r="AV1568" s="82"/>
      <c r="AW1568" s="947"/>
      <c r="AX1568" s="947"/>
      <c r="AY1568" s="947"/>
    </row>
    <row r="1569" spans="31:51" x14ac:dyDescent="0.25">
      <c r="AE1569" s="75"/>
      <c r="AF1569" s="82"/>
      <c r="AG1569" s="82"/>
      <c r="AH1569" s="82"/>
      <c r="AI1569" s="82"/>
      <c r="AJ1569" s="166"/>
      <c r="AK1569" s="82"/>
      <c r="AL1569" s="162"/>
      <c r="AM1569" s="162"/>
      <c r="AN1569" s="162"/>
      <c r="AO1569" s="162"/>
      <c r="AP1569" s="162"/>
      <c r="AQ1569" s="162"/>
      <c r="AR1569" s="710"/>
      <c r="AV1569" s="82"/>
      <c r="AW1569" s="947"/>
      <c r="AX1569" s="947"/>
      <c r="AY1569" s="947"/>
    </row>
    <row r="1570" spans="31:51" x14ac:dyDescent="0.25">
      <c r="AE1570" s="75"/>
      <c r="AF1570" s="82"/>
      <c r="AG1570" s="82"/>
      <c r="AH1570" s="82"/>
      <c r="AI1570" s="82"/>
      <c r="AJ1570" s="166"/>
      <c r="AK1570" s="82"/>
      <c r="AL1570" s="162"/>
      <c r="AM1570" s="162"/>
      <c r="AN1570" s="162"/>
      <c r="AO1570" s="162"/>
      <c r="AP1570" s="162"/>
      <c r="AQ1570" s="162"/>
      <c r="AR1570" s="710"/>
      <c r="AV1570" s="82"/>
      <c r="AW1570" s="947"/>
      <c r="AX1570" s="947"/>
      <c r="AY1570" s="947"/>
    </row>
    <row r="1571" spans="31:51" x14ac:dyDescent="0.25">
      <c r="AE1571" s="75"/>
      <c r="AF1571" s="82"/>
      <c r="AG1571" s="82"/>
      <c r="AH1571" s="82"/>
      <c r="AI1571" s="82"/>
      <c r="AJ1571" s="166"/>
      <c r="AK1571" s="82"/>
      <c r="AL1571" s="162"/>
      <c r="AM1571" s="162"/>
      <c r="AN1571" s="162"/>
      <c r="AO1571" s="162"/>
      <c r="AP1571" s="162"/>
      <c r="AQ1571" s="162"/>
      <c r="AR1571" s="710"/>
      <c r="AV1571" s="82"/>
      <c r="AW1571" s="947"/>
      <c r="AX1571" s="947"/>
      <c r="AY1571" s="947"/>
    </row>
    <row r="1572" spans="31:51" x14ac:dyDescent="0.25">
      <c r="AE1572" s="75"/>
      <c r="AF1572" s="82"/>
      <c r="AG1572" s="82"/>
      <c r="AH1572" s="82"/>
      <c r="AI1572" s="82"/>
      <c r="AJ1572" s="166"/>
      <c r="AK1572" s="82"/>
      <c r="AL1572" s="162"/>
      <c r="AM1572" s="162"/>
      <c r="AN1572" s="162"/>
      <c r="AO1572" s="162"/>
      <c r="AP1572" s="162"/>
      <c r="AQ1572" s="162"/>
      <c r="AR1572" s="710"/>
      <c r="AV1572" s="82"/>
      <c r="AW1572" s="947"/>
      <c r="AX1572" s="947"/>
      <c r="AY1572" s="947"/>
    </row>
    <row r="1573" spans="31:51" x14ac:dyDescent="0.25">
      <c r="AE1573" s="75"/>
      <c r="AF1573" s="82"/>
      <c r="AG1573" s="82"/>
      <c r="AH1573" s="82"/>
      <c r="AI1573" s="82"/>
      <c r="AJ1573" s="166"/>
      <c r="AK1573" s="82"/>
      <c r="AL1573" s="162"/>
      <c r="AM1573" s="162"/>
      <c r="AN1573" s="162"/>
      <c r="AO1573" s="162"/>
      <c r="AP1573" s="162"/>
      <c r="AQ1573" s="162"/>
      <c r="AR1573" s="710"/>
      <c r="AV1573" s="82"/>
      <c r="AW1573" s="947"/>
      <c r="AX1573" s="947"/>
      <c r="AY1573" s="947"/>
    </row>
    <row r="1574" spans="31:51" x14ac:dyDescent="0.25">
      <c r="AE1574" s="75"/>
      <c r="AF1574" s="82"/>
      <c r="AG1574" s="82"/>
      <c r="AH1574" s="82"/>
      <c r="AI1574" s="82"/>
      <c r="AJ1574" s="166"/>
      <c r="AK1574" s="82"/>
      <c r="AL1574" s="162"/>
      <c r="AM1574" s="162"/>
      <c r="AN1574" s="162"/>
      <c r="AO1574" s="162"/>
      <c r="AP1574" s="162"/>
      <c r="AQ1574" s="162"/>
      <c r="AR1574" s="710"/>
      <c r="AV1574" s="82"/>
      <c r="AW1574" s="947"/>
      <c r="AX1574" s="947"/>
      <c r="AY1574" s="947"/>
    </row>
    <row r="1575" spans="31:51" x14ac:dyDescent="0.25">
      <c r="AE1575" s="75"/>
      <c r="AF1575" s="82"/>
      <c r="AG1575" s="82"/>
      <c r="AH1575" s="82"/>
      <c r="AI1575" s="82"/>
      <c r="AJ1575" s="166"/>
      <c r="AK1575" s="82"/>
      <c r="AL1575" s="162"/>
      <c r="AM1575" s="162"/>
      <c r="AN1575" s="162"/>
      <c r="AO1575" s="162"/>
      <c r="AP1575" s="162"/>
      <c r="AQ1575" s="162"/>
      <c r="AR1575" s="710"/>
      <c r="AV1575" s="82"/>
      <c r="AW1575" s="947"/>
      <c r="AX1575" s="947"/>
      <c r="AY1575" s="947"/>
    </row>
    <row r="1576" spans="31:51" x14ac:dyDescent="0.25">
      <c r="AE1576" s="75"/>
      <c r="AF1576" s="82"/>
      <c r="AG1576" s="82"/>
      <c r="AH1576" s="82"/>
      <c r="AI1576" s="82"/>
      <c r="AJ1576" s="166"/>
      <c r="AK1576" s="82"/>
      <c r="AL1576" s="162"/>
      <c r="AM1576" s="162"/>
      <c r="AN1576" s="162"/>
      <c r="AO1576" s="162"/>
      <c r="AP1576" s="162"/>
      <c r="AQ1576" s="162"/>
      <c r="AR1576" s="710"/>
      <c r="AV1576" s="82"/>
      <c r="AW1576" s="947"/>
      <c r="AX1576" s="947"/>
      <c r="AY1576" s="947"/>
    </row>
    <row r="1577" spans="31:51" x14ac:dyDescent="0.25">
      <c r="AE1577" s="75"/>
      <c r="AF1577" s="82"/>
      <c r="AG1577" s="82"/>
      <c r="AH1577" s="82"/>
      <c r="AI1577" s="82"/>
      <c r="AJ1577" s="166"/>
      <c r="AK1577" s="82"/>
      <c r="AL1577" s="162"/>
      <c r="AM1577" s="162"/>
      <c r="AN1577" s="162"/>
      <c r="AO1577" s="162"/>
      <c r="AP1577" s="162"/>
      <c r="AQ1577" s="162"/>
      <c r="AR1577" s="710"/>
      <c r="AV1577" s="82"/>
      <c r="AW1577" s="947"/>
      <c r="AX1577" s="947"/>
      <c r="AY1577" s="947"/>
    </row>
    <row r="1578" spans="31:51" x14ac:dyDescent="0.25">
      <c r="AE1578" s="75"/>
      <c r="AF1578" s="82"/>
      <c r="AG1578" s="82"/>
      <c r="AH1578" s="82"/>
      <c r="AI1578" s="82"/>
      <c r="AJ1578" s="166"/>
      <c r="AK1578" s="82"/>
      <c r="AL1578" s="162"/>
      <c r="AM1578" s="162"/>
      <c r="AN1578" s="162"/>
      <c r="AO1578" s="162"/>
      <c r="AP1578" s="162"/>
      <c r="AQ1578" s="162"/>
      <c r="AR1578" s="710"/>
      <c r="AV1578" s="82"/>
      <c r="AW1578" s="947"/>
      <c r="AX1578" s="947"/>
      <c r="AY1578" s="947"/>
    </row>
    <row r="1579" spans="31:51" x14ac:dyDescent="0.25">
      <c r="AE1579" s="75"/>
      <c r="AF1579" s="82"/>
      <c r="AG1579" s="82"/>
      <c r="AH1579" s="82"/>
      <c r="AI1579" s="82"/>
      <c r="AJ1579" s="166"/>
      <c r="AK1579" s="82"/>
      <c r="AL1579" s="162"/>
      <c r="AM1579" s="162"/>
      <c r="AN1579" s="162"/>
      <c r="AO1579" s="162"/>
      <c r="AP1579" s="162"/>
      <c r="AQ1579" s="162"/>
      <c r="AR1579" s="710"/>
      <c r="AV1579" s="82"/>
      <c r="AW1579" s="947"/>
      <c r="AX1579" s="947"/>
      <c r="AY1579" s="947"/>
    </row>
    <row r="1580" spans="31:51" x14ac:dyDescent="0.25">
      <c r="AE1580" s="75"/>
      <c r="AF1580" s="82"/>
      <c r="AG1580" s="82"/>
      <c r="AH1580" s="82"/>
      <c r="AI1580" s="82"/>
      <c r="AJ1580" s="166"/>
      <c r="AK1580" s="82"/>
      <c r="AL1580" s="162"/>
      <c r="AM1580" s="162"/>
      <c r="AN1580" s="162"/>
      <c r="AO1580" s="162"/>
      <c r="AP1580" s="162"/>
      <c r="AQ1580" s="162"/>
      <c r="AR1580" s="710"/>
      <c r="AV1580" s="82"/>
      <c r="AW1580" s="947"/>
      <c r="AX1580" s="947"/>
      <c r="AY1580" s="947"/>
    </row>
    <row r="1581" spans="31:51" x14ac:dyDescent="0.25">
      <c r="AE1581" s="75"/>
      <c r="AF1581" s="82"/>
      <c r="AG1581" s="82"/>
      <c r="AH1581" s="82"/>
      <c r="AI1581" s="82"/>
      <c r="AJ1581" s="166"/>
      <c r="AK1581" s="82"/>
      <c r="AL1581" s="162"/>
      <c r="AM1581" s="162"/>
      <c r="AN1581" s="162"/>
      <c r="AO1581" s="162"/>
      <c r="AP1581" s="162"/>
      <c r="AQ1581" s="162"/>
      <c r="AR1581" s="710"/>
      <c r="AV1581" s="82"/>
      <c r="AW1581" s="947"/>
      <c r="AX1581" s="947"/>
      <c r="AY1581" s="947"/>
    </row>
    <row r="1582" spans="31:51" x14ac:dyDescent="0.25">
      <c r="AE1582" s="75"/>
      <c r="AF1582" s="82"/>
      <c r="AG1582" s="82"/>
      <c r="AH1582" s="82"/>
      <c r="AI1582" s="82"/>
      <c r="AJ1582" s="166"/>
      <c r="AK1582" s="82"/>
      <c r="AL1582" s="162"/>
      <c r="AM1582" s="162"/>
      <c r="AN1582" s="162"/>
      <c r="AO1582" s="162"/>
      <c r="AP1582" s="162"/>
      <c r="AQ1582" s="162"/>
      <c r="AR1582" s="710"/>
      <c r="AV1582" s="82"/>
      <c r="AW1582" s="947"/>
      <c r="AX1582" s="947"/>
      <c r="AY1582" s="947"/>
    </row>
    <row r="1583" spans="31:51" x14ac:dyDescent="0.25">
      <c r="AE1583" s="75"/>
      <c r="AF1583" s="82"/>
      <c r="AG1583" s="82"/>
      <c r="AH1583" s="82"/>
      <c r="AI1583" s="82"/>
      <c r="AJ1583" s="166"/>
      <c r="AK1583" s="82"/>
      <c r="AL1583" s="162"/>
      <c r="AM1583" s="162"/>
      <c r="AN1583" s="162"/>
      <c r="AO1583" s="162"/>
      <c r="AP1583" s="162"/>
      <c r="AQ1583" s="162"/>
      <c r="AR1583" s="710"/>
      <c r="AV1583" s="82"/>
      <c r="AW1583" s="947"/>
      <c r="AX1583" s="947"/>
      <c r="AY1583" s="947"/>
    </row>
    <row r="1584" spans="31:51" x14ac:dyDescent="0.25">
      <c r="AE1584" s="75"/>
      <c r="AF1584" s="82"/>
      <c r="AG1584" s="82"/>
      <c r="AH1584" s="82"/>
      <c r="AI1584" s="82"/>
      <c r="AJ1584" s="166"/>
      <c r="AK1584" s="82"/>
      <c r="AL1584" s="162"/>
      <c r="AM1584" s="162"/>
      <c r="AN1584" s="162"/>
      <c r="AO1584" s="162"/>
      <c r="AP1584" s="162"/>
      <c r="AQ1584" s="162"/>
      <c r="AR1584" s="710"/>
      <c r="AV1584" s="82"/>
      <c r="AW1584" s="947"/>
      <c r="AX1584" s="947"/>
      <c r="AY1584" s="947"/>
    </row>
    <row r="1585" spans="31:51" x14ac:dyDescent="0.25">
      <c r="AE1585" s="75"/>
      <c r="AF1585" s="82"/>
      <c r="AG1585" s="82"/>
      <c r="AH1585" s="82"/>
      <c r="AI1585" s="82"/>
      <c r="AJ1585" s="166"/>
      <c r="AK1585" s="82"/>
      <c r="AL1585" s="162"/>
      <c r="AM1585" s="162"/>
      <c r="AN1585" s="162"/>
      <c r="AO1585" s="162"/>
      <c r="AP1585" s="162"/>
      <c r="AQ1585" s="162"/>
      <c r="AR1585" s="710"/>
      <c r="AV1585" s="82"/>
      <c r="AW1585" s="947"/>
      <c r="AX1585" s="947"/>
      <c r="AY1585" s="947"/>
    </row>
    <row r="1586" spans="31:51" x14ac:dyDescent="0.25">
      <c r="AE1586" s="75"/>
      <c r="AF1586" s="82"/>
      <c r="AG1586" s="82"/>
      <c r="AH1586" s="82"/>
      <c r="AI1586" s="82"/>
      <c r="AJ1586" s="166"/>
      <c r="AK1586" s="82"/>
      <c r="AL1586" s="162"/>
      <c r="AM1586" s="162"/>
      <c r="AN1586" s="162"/>
      <c r="AO1586" s="162"/>
      <c r="AP1586" s="162"/>
      <c r="AQ1586" s="162"/>
      <c r="AR1586" s="710"/>
      <c r="AV1586" s="82"/>
      <c r="AW1586" s="947"/>
      <c r="AX1586" s="947"/>
      <c r="AY1586" s="947"/>
    </row>
    <row r="1587" spans="31:51" x14ac:dyDescent="0.25">
      <c r="AE1587" s="75"/>
      <c r="AF1587" s="82"/>
      <c r="AG1587" s="82"/>
      <c r="AH1587" s="82"/>
      <c r="AI1587" s="82"/>
      <c r="AJ1587" s="166"/>
      <c r="AK1587" s="82"/>
      <c r="AL1587" s="162"/>
      <c r="AM1587" s="162"/>
      <c r="AN1587" s="162"/>
      <c r="AO1587" s="162"/>
      <c r="AP1587" s="162"/>
      <c r="AQ1587" s="162"/>
      <c r="AR1587" s="710"/>
      <c r="AV1587" s="82"/>
      <c r="AW1587" s="947"/>
      <c r="AX1587" s="947"/>
      <c r="AY1587" s="947"/>
    </row>
    <row r="1588" spans="31:51" x14ac:dyDescent="0.25">
      <c r="AE1588" s="75"/>
      <c r="AF1588" s="82"/>
      <c r="AG1588" s="82"/>
      <c r="AH1588" s="82"/>
      <c r="AI1588" s="82"/>
      <c r="AJ1588" s="166"/>
      <c r="AK1588" s="82"/>
      <c r="AL1588" s="162"/>
      <c r="AM1588" s="162"/>
      <c r="AN1588" s="162"/>
      <c r="AO1588" s="162"/>
      <c r="AP1588" s="162"/>
      <c r="AQ1588" s="162"/>
      <c r="AR1588" s="710"/>
      <c r="AV1588" s="82"/>
      <c r="AW1588" s="947"/>
      <c r="AX1588" s="947"/>
      <c r="AY1588" s="947"/>
    </row>
    <row r="1589" spans="31:51" x14ac:dyDescent="0.25">
      <c r="AE1589" s="75"/>
      <c r="AF1589" s="82"/>
      <c r="AG1589" s="82"/>
      <c r="AH1589" s="82"/>
      <c r="AI1589" s="82"/>
      <c r="AJ1589" s="166"/>
      <c r="AK1589" s="82"/>
      <c r="AL1589" s="162"/>
      <c r="AM1589" s="162"/>
      <c r="AN1589" s="162"/>
      <c r="AO1589" s="162"/>
      <c r="AP1589" s="162"/>
      <c r="AQ1589" s="162"/>
      <c r="AR1589" s="710"/>
      <c r="AV1589" s="82"/>
      <c r="AW1589" s="947"/>
      <c r="AX1589" s="947"/>
      <c r="AY1589" s="947"/>
    </row>
    <row r="1590" spans="31:51" x14ac:dyDescent="0.25">
      <c r="AE1590" s="75"/>
      <c r="AF1590" s="82"/>
      <c r="AG1590" s="82"/>
      <c r="AH1590" s="82"/>
      <c r="AI1590" s="82"/>
      <c r="AJ1590" s="166"/>
      <c r="AK1590" s="82"/>
      <c r="AL1590" s="162"/>
      <c r="AM1590" s="162"/>
      <c r="AN1590" s="162"/>
      <c r="AO1590" s="162"/>
      <c r="AP1590" s="162"/>
      <c r="AQ1590" s="162"/>
      <c r="AR1590" s="710"/>
      <c r="AV1590" s="82"/>
      <c r="AW1590" s="947"/>
      <c r="AX1590" s="947"/>
      <c r="AY1590" s="947"/>
    </row>
    <row r="1591" spans="31:51" x14ac:dyDescent="0.25">
      <c r="AE1591" s="75"/>
      <c r="AF1591" s="82"/>
      <c r="AG1591" s="82"/>
      <c r="AH1591" s="82"/>
      <c r="AI1591" s="82"/>
      <c r="AJ1591" s="166"/>
      <c r="AK1591" s="82"/>
      <c r="AL1591" s="162"/>
      <c r="AM1591" s="162"/>
      <c r="AN1591" s="162"/>
      <c r="AO1591" s="162"/>
      <c r="AP1591" s="162"/>
      <c r="AQ1591" s="162"/>
      <c r="AR1591" s="710"/>
      <c r="AV1591" s="82"/>
      <c r="AW1591" s="947"/>
      <c r="AX1591" s="947"/>
      <c r="AY1591" s="947"/>
    </row>
    <row r="1592" spans="31:51" x14ac:dyDescent="0.25">
      <c r="AE1592" s="75"/>
      <c r="AF1592" s="82"/>
      <c r="AG1592" s="82"/>
      <c r="AH1592" s="82"/>
      <c r="AI1592" s="82"/>
      <c r="AJ1592" s="166"/>
      <c r="AK1592" s="82"/>
      <c r="AL1592" s="162"/>
      <c r="AM1592" s="162"/>
      <c r="AN1592" s="162"/>
      <c r="AO1592" s="162"/>
      <c r="AP1592" s="162"/>
      <c r="AQ1592" s="162"/>
      <c r="AR1592" s="710"/>
      <c r="AV1592" s="82"/>
      <c r="AW1592" s="947"/>
      <c r="AX1592" s="947"/>
      <c r="AY1592" s="947"/>
    </row>
    <row r="1593" spans="31:51" x14ac:dyDescent="0.25">
      <c r="AE1593" s="75"/>
      <c r="AF1593" s="82"/>
      <c r="AG1593" s="82"/>
      <c r="AH1593" s="82"/>
      <c r="AI1593" s="82"/>
      <c r="AJ1593" s="166"/>
      <c r="AK1593" s="82"/>
      <c r="AL1593" s="162"/>
      <c r="AM1593" s="162"/>
      <c r="AN1593" s="162"/>
      <c r="AO1593" s="162"/>
      <c r="AP1593" s="162"/>
      <c r="AQ1593" s="162"/>
      <c r="AR1593" s="710"/>
      <c r="AV1593" s="82"/>
      <c r="AW1593" s="947"/>
      <c r="AX1593" s="947"/>
      <c r="AY1593" s="947"/>
    </row>
    <row r="1594" spans="31:51" x14ac:dyDescent="0.25">
      <c r="AE1594" s="75"/>
      <c r="AF1594" s="82"/>
      <c r="AG1594" s="82"/>
      <c r="AH1594" s="82"/>
      <c r="AI1594" s="82"/>
      <c r="AJ1594" s="166"/>
      <c r="AK1594" s="82"/>
      <c r="AL1594" s="162"/>
      <c r="AM1594" s="162"/>
      <c r="AN1594" s="162"/>
      <c r="AO1594" s="162"/>
      <c r="AP1594" s="162"/>
      <c r="AQ1594" s="162"/>
      <c r="AR1594" s="710"/>
      <c r="AV1594" s="82"/>
      <c r="AW1594" s="947"/>
      <c r="AX1594" s="947"/>
      <c r="AY1594" s="947"/>
    </row>
    <row r="1595" spans="31:51" x14ac:dyDescent="0.25">
      <c r="AE1595" s="75"/>
      <c r="AF1595" s="82"/>
      <c r="AG1595" s="82"/>
      <c r="AH1595" s="82"/>
      <c r="AI1595" s="82"/>
      <c r="AJ1595" s="166"/>
      <c r="AK1595" s="82"/>
      <c r="AL1595" s="162"/>
      <c r="AM1595" s="162"/>
      <c r="AN1595" s="162"/>
      <c r="AO1595" s="162"/>
      <c r="AP1595" s="162"/>
      <c r="AQ1595" s="162"/>
      <c r="AR1595" s="710"/>
      <c r="AV1595" s="82"/>
      <c r="AW1595" s="947"/>
      <c r="AX1595" s="947"/>
      <c r="AY1595" s="947"/>
    </row>
    <row r="1596" spans="31:51" x14ac:dyDescent="0.25">
      <c r="AE1596" s="75"/>
      <c r="AF1596" s="82"/>
      <c r="AG1596" s="82"/>
      <c r="AH1596" s="82"/>
      <c r="AI1596" s="82"/>
      <c r="AJ1596" s="166"/>
      <c r="AK1596" s="82"/>
      <c r="AL1596" s="162"/>
      <c r="AM1596" s="162"/>
      <c r="AN1596" s="162"/>
      <c r="AO1596" s="162"/>
      <c r="AP1596" s="162"/>
      <c r="AQ1596" s="162"/>
      <c r="AR1596" s="710"/>
      <c r="AV1596" s="82"/>
      <c r="AW1596" s="947"/>
      <c r="AX1596" s="947"/>
      <c r="AY1596" s="947"/>
    </row>
    <row r="1597" spans="31:51" x14ac:dyDescent="0.25">
      <c r="AE1597" s="75"/>
      <c r="AF1597" s="82"/>
      <c r="AG1597" s="82"/>
      <c r="AH1597" s="82"/>
      <c r="AI1597" s="82"/>
      <c r="AJ1597" s="166"/>
      <c r="AK1597" s="82"/>
      <c r="AL1597" s="162"/>
      <c r="AM1597" s="162"/>
      <c r="AN1597" s="162"/>
      <c r="AO1597" s="162"/>
      <c r="AP1597" s="162"/>
      <c r="AQ1597" s="162"/>
      <c r="AR1597" s="710"/>
      <c r="AV1597" s="82"/>
      <c r="AW1597" s="947"/>
      <c r="AX1597" s="947"/>
      <c r="AY1597" s="947"/>
    </row>
    <row r="1598" spans="31:51" x14ac:dyDescent="0.25">
      <c r="AE1598" s="75"/>
      <c r="AF1598" s="82"/>
      <c r="AG1598" s="82"/>
      <c r="AH1598" s="82"/>
      <c r="AI1598" s="82"/>
      <c r="AJ1598" s="166"/>
      <c r="AK1598" s="82"/>
      <c r="AL1598" s="162"/>
      <c r="AM1598" s="162"/>
      <c r="AN1598" s="162"/>
      <c r="AO1598" s="162"/>
      <c r="AP1598" s="162"/>
      <c r="AQ1598" s="162"/>
      <c r="AR1598" s="710"/>
      <c r="AV1598" s="82"/>
      <c r="AW1598" s="947"/>
      <c r="AX1598" s="947"/>
      <c r="AY1598" s="947"/>
    </row>
    <row r="1599" spans="31:51" x14ac:dyDescent="0.25">
      <c r="AE1599" s="75"/>
      <c r="AF1599" s="82"/>
      <c r="AG1599" s="82"/>
      <c r="AH1599" s="82"/>
      <c r="AI1599" s="82"/>
      <c r="AJ1599" s="166"/>
      <c r="AK1599" s="82"/>
      <c r="AL1599" s="162"/>
      <c r="AM1599" s="162"/>
      <c r="AN1599" s="162"/>
      <c r="AO1599" s="162"/>
      <c r="AP1599" s="162"/>
      <c r="AQ1599" s="162"/>
      <c r="AR1599" s="710"/>
      <c r="AV1599" s="82"/>
      <c r="AW1599" s="947"/>
      <c r="AX1599" s="947"/>
      <c r="AY1599" s="947"/>
    </row>
    <row r="1600" spans="31:51" x14ac:dyDescent="0.25">
      <c r="AE1600" s="75"/>
      <c r="AF1600" s="82"/>
      <c r="AG1600" s="82"/>
      <c r="AH1600" s="82"/>
      <c r="AI1600" s="82"/>
      <c r="AJ1600" s="166"/>
      <c r="AK1600" s="82"/>
      <c r="AL1600" s="162"/>
      <c r="AM1600" s="162"/>
      <c r="AN1600" s="162"/>
      <c r="AO1600" s="162"/>
      <c r="AP1600" s="162"/>
      <c r="AQ1600" s="162"/>
      <c r="AR1600" s="710"/>
      <c r="AV1600" s="82"/>
      <c r="AW1600" s="947"/>
      <c r="AX1600" s="947"/>
      <c r="AY1600" s="947"/>
    </row>
    <row r="1601" spans="31:51" x14ac:dyDescent="0.25">
      <c r="AE1601" s="75"/>
      <c r="AF1601" s="82"/>
      <c r="AG1601" s="82"/>
      <c r="AH1601" s="82"/>
      <c r="AI1601" s="82"/>
      <c r="AJ1601" s="166"/>
      <c r="AK1601" s="82"/>
      <c r="AL1601" s="162"/>
      <c r="AM1601" s="162"/>
      <c r="AN1601" s="162"/>
      <c r="AO1601" s="162"/>
      <c r="AP1601" s="162"/>
      <c r="AQ1601" s="162"/>
      <c r="AR1601" s="710"/>
      <c r="AV1601" s="82"/>
      <c r="AW1601" s="947"/>
      <c r="AX1601" s="947"/>
      <c r="AY1601" s="947"/>
    </row>
    <row r="1602" spans="31:51" x14ac:dyDescent="0.25">
      <c r="AE1602" s="75"/>
      <c r="AF1602" s="82"/>
      <c r="AG1602" s="82"/>
      <c r="AH1602" s="82"/>
      <c r="AI1602" s="82"/>
      <c r="AJ1602" s="166"/>
      <c r="AK1602" s="82"/>
      <c r="AL1602" s="162"/>
      <c r="AM1602" s="162"/>
      <c r="AN1602" s="162"/>
      <c r="AO1602" s="162"/>
      <c r="AP1602" s="162"/>
      <c r="AQ1602" s="162"/>
      <c r="AR1602" s="710"/>
      <c r="AV1602" s="82"/>
      <c r="AW1602" s="947"/>
      <c r="AX1602" s="947"/>
      <c r="AY1602" s="947"/>
    </row>
    <row r="1603" spans="31:51" x14ac:dyDescent="0.25">
      <c r="AE1603" s="75"/>
      <c r="AF1603" s="82"/>
      <c r="AG1603" s="82"/>
      <c r="AH1603" s="82"/>
      <c r="AI1603" s="82"/>
      <c r="AJ1603" s="166"/>
      <c r="AK1603" s="82"/>
      <c r="AL1603" s="162"/>
      <c r="AM1603" s="162"/>
      <c r="AN1603" s="162"/>
      <c r="AO1603" s="162"/>
      <c r="AP1603" s="162"/>
      <c r="AQ1603" s="162"/>
      <c r="AR1603" s="710"/>
      <c r="AV1603" s="82"/>
      <c r="AW1603" s="947"/>
      <c r="AX1603" s="947"/>
      <c r="AY1603" s="947"/>
    </row>
    <row r="1604" spans="31:51" x14ac:dyDescent="0.25">
      <c r="AE1604" s="75"/>
      <c r="AF1604" s="82"/>
      <c r="AG1604" s="82"/>
      <c r="AH1604" s="82"/>
      <c r="AI1604" s="82"/>
      <c r="AJ1604" s="166"/>
      <c r="AK1604" s="82"/>
      <c r="AL1604" s="162"/>
      <c r="AM1604" s="162"/>
      <c r="AN1604" s="162"/>
      <c r="AO1604" s="162"/>
      <c r="AP1604" s="162"/>
      <c r="AQ1604" s="162"/>
      <c r="AR1604" s="710"/>
      <c r="AV1604" s="82"/>
      <c r="AW1604" s="947"/>
      <c r="AX1604" s="947"/>
      <c r="AY1604" s="947"/>
    </row>
    <row r="1605" spans="31:51" x14ac:dyDescent="0.25">
      <c r="AE1605" s="75"/>
      <c r="AF1605" s="82"/>
      <c r="AG1605" s="82"/>
      <c r="AH1605" s="82"/>
      <c r="AI1605" s="82"/>
      <c r="AJ1605" s="166"/>
      <c r="AK1605" s="82"/>
      <c r="AL1605" s="162"/>
      <c r="AM1605" s="162"/>
      <c r="AN1605" s="162"/>
      <c r="AO1605" s="162"/>
      <c r="AP1605" s="162"/>
      <c r="AQ1605" s="162"/>
      <c r="AR1605" s="710"/>
      <c r="AV1605" s="82"/>
      <c r="AW1605" s="947"/>
      <c r="AX1605" s="947"/>
      <c r="AY1605" s="947"/>
    </row>
    <row r="1606" spans="31:51" x14ac:dyDescent="0.25">
      <c r="AE1606" s="75"/>
      <c r="AF1606" s="82"/>
      <c r="AG1606" s="82"/>
      <c r="AH1606" s="82"/>
      <c r="AI1606" s="82"/>
      <c r="AJ1606" s="166"/>
      <c r="AK1606" s="82"/>
      <c r="AL1606" s="162"/>
      <c r="AM1606" s="162"/>
      <c r="AN1606" s="162"/>
      <c r="AO1606" s="162"/>
      <c r="AP1606" s="162"/>
      <c r="AQ1606" s="162"/>
      <c r="AR1606" s="710"/>
      <c r="AV1606" s="82"/>
      <c r="AW1606" s="947"/>
      <c r="AX1606" s="947"/>
      <c r="AY1606" s="947"/>
    </row>
    <row r="1607" spans="31:51" x14ac:dyDescent="0.25">
      <c r="AE1607" s="75"/>
      <c r="AF1607" s="82"/>
      <c r="AG1607" s="82"/>
      <c r="AH1607" s="82"/>
      <c r="AI1607" s="82"/>
      <c r="AJ1607" s="166"/>
      <c r="AK1607" s="82"/>
      <c r="AL1607" s="162"/>
      <c r="AM1607" s="162"/>
      <c r="AN1607" s="162"/>
      <c r="AO1607" s="162"/>
      <c r="AP1607" s="162"/>
      <c r="AQ1607" s="162"/>
      <c r="AR1607" s="710"/>
      <c r="AV1607" s="82"/>
      <c r="AW1607" s="947"/>
      <c r="AX1607" s="947"/>
      <c r="AY1607" s="947"/>
    </row>
    <row r="1608" spans="31:51" x14ac:dyDescent="0.25">
      <c r="AE1608" s="75"/>
      <c r="AF1608" s="82"/>
      <c r="AG1608" s="82"/>
      <c r="AH1608" s="82"/>
      <c r="AI1608" s="82"/>
      <c r="AJ1608" s="166"/>
      <c r="AK1608" s="82"/>
      <c r="AL1608" s="162"/>
      <c r="AM1608" s="162"/>
      <c r="AN1608" s="162"/>
      <c r="AO1608" s="162"/>
      <c r="AP1608" s="162"/>
      <c r="AQ1608" s="162"/>
      <c r="AR1608" s="710"/>
      <c r="AV1608" s="82"/>
      <c r="AW1608" s="947"/>
      <c r="AX1608" s="947"/>
      <c r="AY1608" s="947"/>
    </row>
    <row r="1609" spans="31:51" x14ac:dyDescent="0.25">
      <c r="AE1609" s="75"/>
      <c r="AF1609" s="82"/>
      <c r="AG1609" s="82"/>
      <c r="AH1609" s="82"/>
      <c r="AI1609" s="82"/>
      <c r="AJ1609" s="166"/>
      <c r="AK1609" s="82"/>
      <c r="AL1609" s="162"/>
      <c r="AM1609" s="162"/>
      <c r="AN1609" s="162"/>
      <c r="AO1609" s="162"/>
      <c r="AP1609" s="162"/>
      <c r="AQ1609" s="162"/>
      <c r="AR1609" s="710"/>
      <c r="AV1609" s="82"/>
      <c r="AW1609" s="947"/>
      <c r="AX1609" s="947"/>
      <c r="AY1609" s="947"/>
    </row>
    <row r="1610" spans="31:51" x14ac:dyDescent="0.25">
      <c r="AE1610" s="75"/>
      <c r="AF1610" s="82"/>
      <c r="AG1610" s="82"/>
      <c r="AH1610" s="82"/>
      <c r="AI1610" s="82"/>
      <c r="AJ1610" s="166"/>
      <c r="AK1610" s="82"/>
      <c r="AL1610" s="162"/>
      <c r="AM1610" s="162"/>
      <c r="AN1610" s="162"/>
      <c r="AO1610" s="162"/>
      <c r="AP1610" s="162"/>
      <c r="AQ1610" s="162"/>
      <c r="AR1610" s="710"/>
      <c r="AV1610" s="82"/>
      <c r="AW1610" s="947"/>
      <c r="AX1610" s="947"/>
      <c r="AY1610" s="947"/>
    </row>
    <row r="1611" spans="31:51" x14ac:dyDescent="0.25">
      <c r="AE1611" s="75"/>
      <c r="AF1611" s="82"/>
      <c r="AG1611" s="82"/>
      <c r="AH1611" s="82"/>
      <c r="AI1611" s="82"/>
      <c r="AJ1611" s="166"/>
      <c r="AK1611" s="82"/>
      <c r="AL1611" s="162"/>
      <c r="AM1611" s="162"/>
      <c r="AN1611" s="162"/>
      <c r="AO1611" s="162"/>
      <c r="AP1611" s="162"/>
      <c r="AQ1611" s="162"/>
      <c r="AR1611" s="710"/>
      <c r="AV1611" s="82"/>
      <c r="AW1611" s="947"/>
      <c r="AX1611" s="947"/>
      <c r="AY1611" s="947"/>
    </row>
    <row r="1612" spans="31:51" x14ac:dyDescent="0.25">
      <c r="AE1612" s="75"/>
      <c r="AF1612" s="82"/>
      <c r="AG1612" s="82"/>
      <c r="AH1612" s="82"/>
      <c r="AI1612" s="82"/>
      <c r="AJ1612" s="166"/>
      <c r="AK1612" s="82"/>
      <c r="AL1612" s="162"/>
      <c r="AM1612" s="162"/>
      <c r="AN1612" s="162"/>
      <c r="AO1612" s="162"/>
      <c r="AP1612" s="162"/>
      <c r="AQ1612" s="162"/>
      <c r="AR1612" s="710"/>
      <c r="AV1612" s="82"/>
      <c r="AW1612" s="947"/>
      <c r="AX1612" s="947"/>
      <c r="AY1612" s="947"/>
    </row>
    <row r="1613" spans="31:51" x14ac:dyDescent="0.25">
      <c r="AE1613" s="75"/>
      <c r="AF1613" s="82"/>
      <c r="AG1613" s="82"/>
      <c r="AH1613" s="82"/>
      <c r="AI1613" s="82"/>
      <c r="AJ1613" s="166"/>
      <c r="AK1613" s="82"/>
      <c r="AL1613" s="162"/>
      <c r="AM1613" s="162"/>
      <c r="AN1613" s="162"/>
      <c r="AO1613" s="162"/>
      <c r="AP1613" s="162"/>
      <c r="AQ1613" s="162"/>
      <c r="AR1613" s="710"/>
      <c r="AV1613" s="82"/>
      <c r="AW1613" s="947"/>
      <c r="AX1613" s="947"/>
      <c r="AY1613" s="947"/>
    </row>
    <row r="1614" spans="31:51" x14ac:dyDescent="0.25">
      <c r="AE1614" s="75"/>
      <c r="AF1614" s="82"/>
      <c r="AG1614" s="82"/>
      <c r="AH1614" s="82"/>
      <c r="AI1614" s="82"/>
      <c r="AJ1614" s="166"/>
      <c r="AK1614" s="82"/>
      <c r="AL1614" s="162"/>
      <c r="AM1614" s="162"/>
      <c r="AN1614" s="162"/>
      <c r="AO1614" s="162"/>
      <c r="AP1614" s="162"/>
      <c r="AQ1614" s="162"/>
      <c r="AR1614" s="710"/>
      <c r="AV1614" s="82"/>
      <c r="AW1614" s="947"/>
      <c r="AX1614" s="947"/>
      <c r="AY1614" s="947"/>
    </row>
    <row r="1615" spans="31:51" x14ac:dyDescent="0.25">
      <c r="AE1615" s="75"/>
      <c r="AF1615" s="82"/>
      <c r="AG1615" s="82"/>
      <c r="AH1615" s="82"/>
      <c r="AI1615" s="82"/>
      <c r="AJ1615" s="166"/>
      <c r="AK1615" s="82"/>
      <c r="AL1615" s="162"/>
      <c r="AM1615" s="162"/>
      <c r="AN1615" s="162"/>
      <c r="AO1615" s="162"/>
      <c r="AP1615" s="162"/>
      <c r="AQ1615" s="162"/>
      <c r="AR1615" s="710"/>
      <c r="AV1615" s="82"/>
      <c r="AW1615" s="947"/>
      <c r="AX1615" s="947"/>
      <c r="AY1615" s="947"/>
    </row>
    <row r="1616" spans="31:51" x14ac:dyDescent="0.25">
      <c r="AE1616" s="75"/>
      <c r="AF1616" s="82"/>
      <c r="AG1616" s="82"/>
      <c r="AH1616" s="82"/>
      <c r="AI1616" s="82"/>
      <c r="AJ1616" s="166"/>
      <c r="AK1616" s="82"/>
      <c r="AL1616" s="162"/>
      <c r="AM1616" s="162"/>
      <c r="AN1616" s="162"/>
      <c r="AO1616" s="162"/>
      <c r="AP1616" s="162"/>
      <c r="AQ1616" s="162"/>
      <c r="AR1616" s="710"/>
      <c r="AV1616" s="82"/>
      <c r="AW1616" s="947"/>
      <c r="AX1616" s="947"/>
      <c r="AY1616" s="947"/>
    </row>
    <row r="1617" spans="31:51" x14ac:dyDescent="0.25">
      <c r="AE1617" s="75"/>
      <c r="AF1617" s="82"/>
      <c r="AG1617" s="82"/>
      <c r="AH1617" s="82"/>
      <c r="AI1617" s="82"/>
      <c r="AJ1617" s="166"/>
      <c r="AK1617" s="82"/>
      <c r="AL1617" s="162"/>
      <c r="AM1617" s="162"/>
      <c r="AN1617" s="162"/>
      <c r="AO1617" s="162"/>
      <c r="AP1617" s="162"/>
      <c r="AQ1617" s="162"/>
      <c r="AR1617" s="710"/>
      <c r="AV1617" s="82"/>
      <c r="AW1617" s="947"/>
      <c r="AX1617" s="947"/>
      <c r="AY1617" s="947"/>
    </row>
    <row r="1618" spans="31:51" x14ac:dyDescent="0.25">
      <c r="AE1618" s="75"/>
      <c r="AF1618" s="82"/>
      <c r="AG1618" s="82"/>
      <c r="AH1618" s="82"/>
      <c r="AI1618" s="82"/>
      <c r="AJ1618" s="166"/>
      <c r="AK1618" s="82"/>
      <c r="AL1618" s="162"/>
      <c r="AM1618" s="162"/>
      <c r="AN1618" s="162"/>
      <c r="AO1618" s="162"/>
      <c r="AP1618" s="162"/>
      <c r="AQ1618" s="162"/>
      <c r="AR1618" s="710"/>
      <c r="AV1618" s="82"/>
      <c r="AW1618" s="947"/>
      <c r="AX1618" s="947"/>
      <c r="AY1618" s="947"/>
    </row>
    <row r="1619" spans="31:51" x14ac:dyDescent="0.25">
      <c r="AE1619" s="75"/>
      <c r="AF1619" s="82"/>
      <c r="AG1619" s="82"/>
      <c r="AH1619" s="82"/>
      <c r="AI1619" s="82"/>
      <c r="AJ1619" s="166"/>
      <c r="AK1619" s="82"/>
      <c r="AL1619" s="162"/>
      <c r="AM1619" s="162"/>
      <c r="AN1619" s="162"/>
      <c r="AO1619" s="162"/>
      <c r="AP1619" s="162"/>
      <c r="AQ1619" s="162"/>
      <c r="AR1619" s="710"/>
      <c r="AV1619" s="82"/>
      <c r="AW1619" s="947"/>
      <c r="AX1619" s="947"/>
      <c r="AY1619" s="947"/>
    </row>
    <row r="1620" spans="31:51" x14ac:dyDescent="0.25">
      <c r="AE1620" s="75"/>
      <c r="AF1620" s="82"/>
      <c r="AG1620" s="82"/>
      <c r="AH1620" s="82"/>
      <c r="AI1620" s="82"/>
      <c r="AJ1620" s="166"/>
      <c r="AK1620" s="82"/>
      <c r="AL1620" s="162"/>
      <c r="AM1620" s="162"/>
      <c r="AN1620" s="162"/>
      <c r="AO1620" s="162"/>
      <c r="AP1620" s="162"/>
      <c r="AQ1620" s="162"/>
      <c r="AR1620" s="710"/>
      <c r="AV1620" s="82"/>
      <c r="AW1620" s="947"/>
      <c r="AX1620" s="947"/>
      <c r="AY1620" s="947"/>
    </row>
    <row r="1621" spans="31:51" x14ac:dyDescent="0.25">
      <c r="AE1621" s="75"/>
      <c r="AF1621" s="82"/>
      <c r="AG1621" s="82"/>
      <c r="AH1621" s="82"/>
      <c r="AI1621" s="82"/>
      <c r="AJ1621" s="166"/>
      <c r="AK1621" s="82"/>
      <c r="AL1621" s="162"/>
      <c r="AM1621" s="162"/>
      <c r="AN1621" s="162"/>
      <c r="AO1621" s="162"/>
      <c r="AP1621" s="162"/>
      <c r="AQ1621" s="162"/>
      <c r="AR1621" s="710"/>
      <c r="AV1621" s="82"/>
      <c r="AW1621" s="947"/>
      <c r="AX1621" s="947"/>
      <c r="AY1621" s="947"/>
    </row>
    <row r="1622" spans="31:51" x14ac:dyDescent="0.25">
      <c r="AE1622" s="75"/>
      <c r="AF1622" s="82"/>
      <c r="AG1622" s="82"/>
      <c r="AH1622" s="82"/>
      <c r="AI1622" s="82"/>
      <c r="AJ1622" s="166"/>
      <c r="AK1622" s="82"/>
      <c r="AL1622" s="162"/>
      <c r="AM1622" s="162"/>
      <c r="AN1622" s="162"/>
      <c r="AO1622" s="162"/>
      <c r="AP1622" s="162"/>
      <c r="AQ1622" s="162"/>
      <c r="AR1622" s="710"/>
      <c r="AV1622" s="82"/>
      <c r="AW1622" s="947"/>
      <c r="AX1622" s="947"/>
      <c r="AY1622" s="947"/>
    </row>
    <row r="1623" spans="31:51" x14ac:dyDescent="0.25">
      <c r="AE1623" s="75"/>
      <c r="AF1623" s="82"/>
      <c r="AG1623" s="82"/>
      <c r="AH1623" s="82"/>
      <c r="AI1623" s="82"/>
      <c r="AJ1623" s="166"/>
      <c r="AK1623" s="82"/>
      <c r="AL1623" s="162"/>
      <c r="AM1623" s="162"/>
      <c r="AN1623" s="162"/>
      <c r="AO1623" s="162"/>
      <c r="AP1623" s="162"/>
      <c r="AQ1623" s="162"/>
      <c r="AR1623" s="710"/>
      <c r="AV1623" s="82"/>
      <c r="AW1623" s="947"/>
      <c r="AX1623" s="947"/>
      <c r="AY1623" s="947"/>
    </row>
    <row r="1624" spans="31:51" x14ac:dyDescent="0.25">
      <c r="AE1624" s="75"/>
      <c r="AF1624" s="82"/>
      <c r="AG1624" s="82"/>
      <c r="AH1624" s="82"/>
      <c r="AI1624" s="82"/>
      <c r="AJ1624" s="166"/>
      <c r="AK1624" s="82"/>
      <c r="AL1624" s="162"/>
      <c r="AM1624" s="162"/>
      <c r="AN1624" s="162"/>
      <c r="AO1624" s="162"/>
      <c r="AP1624" s="162"/>
      <c r="AQ1624" s="162"/>
      <c r="AR1624" s="710"/>
      <c r="AV1624" s="82"/>
      <c r="AW1624" s="947"/>
      <c r="AX1624" s="947"/>
      <c r="AY1624" s="947"/>
    </row>
    <row r="1625" spans="31:51" x14ac:dyDescent="0.25">
      <c r="AE1625" s="75"/>
      <c r="AF1625" s="82"/>
      <c r="AG1625" s="82"/>
      <c r="AH1625" s="82"/>
      <c r="AI1625" s="82"/>
      <c r="AJ1625" s="166"/>
      <c r="AK1625" s="82"/>
      <c r="AL1625" s="162"/>
      <c r="AM1625" s="162"/>
      <c r="AN1625" s="162"/>
      <c r="AO1625" s="162"/>
      <c r="AP1625" s="162"/>
      <c r="AQ1625" s="162"/>
      <c r="AR1625" s="710"/>
      <c r="AV1625" s="82"/>
      <c r="AW1625" s="947"/>
      <c r="AX1625" s="947"/>
      <c r="AY1625" s="947"/>
    </row>
    <row r="1626" spans="31:51" x14ac:dyDescent="0.25">
      <c r="AE1626" s="75"/>
      <c r="AF1626" s="82"/>
      <c r="AG1626" s="82"/>
      <c r="AH1626" s="82"/>
      <c r="AI1626" s="82"/>
      <c r="AJ1626" s="166"/>
      <c r="AK1626" s="82"/>
      <c r="AL1626" s="162"/>
      <c r="AM1626" s="162"/>
      <c r="AN1626" s="162"/>
      <c r="AO1626" s="162"/>
      <c r="AP1626" s="162"/>
      <c r="AQ1626" s="162"/>
      <c r="AR1626" s="710"/>
      <c r="AV1626" s="82"/>
      <c r="AW1626" s="947"/>
      <c r="AX1626" s="947"/>
      <c r="AY1626" s="947"/>
    </row>
    <row r="1627" spans="31:51" x14ac:dyDescent="0.25">
      <c r="AE1627" s="75"/>
      <c r="AF1627" s="82"/>
      <c r="AG1627" s="82"/>
      <c r="AH1627" s="82"/>
      <c r="AI1627" s="82"/>
      <c r="AJ1627" s="166"/>
      <c r="AK1627" s="82"/>
      <c r="AL1627" s="162"/>
      <c r="AM1627" s="162"/>
      <c r="AN1627" s="162"/>
      <c r="AO1627" s="162"/>
      <c r="AP1627" s="162"/>
      <c r="AQ1627" s="162"/>
      <c r="AR1627" s="710"/>
      <c r="AV1627" s="82"/>
      <c r="AW1627" s="947"/>
      <c r="AX1627" s="947"/>
      <c r="AY1627" s="947"/>
    </row>
    <row r="1628" spans="31:51" x14ac:dyDescent="0.25">
      <c r="AE1628" s="75"/>
      <c r="AF1628" s="82"/>
      <c r="AG1628" s="82"/>
      <c r="AH1628" s="82"/>
      <c r="AI1628" s="82"/>
      <c r="AJ1628" s="166"/>
      <c r="AK1628" s="82"/>
      <c r="AL1628" s="162"/>
      <c r="AM1628" s="162"/>
      <c r="AN1628" s="162"/>
      <c r="AO1628" s="162"/>
      <c r="AP1628" s="162"/>
      <c r="AQ1628" s="162"/>
      <c r="AR1628" s="710"/>
      <c r="AV1628" s="82"/>
      <c r="AW1628" s="947"/>
      <c r="AX1628" s="947"/>
      <c r="AY1628" s="947"/>
    </row>
    <row r="1629" spans="31:51" x14ac:dyDescent="0.25">
      <c r="AE1629" s="75"/>
      <c r="AF1629" s="82"/>
      <c r="AG1629" s="82"/>
      <c r="AH1629" s="82"/>
      <c r="AI1629" s="82"/>
      <c r="AJ1629" s="166"/>
      <c r="AK1629" s="82"/>
      <c r="AL1629" s="162"/>
      <c r="AM1629" s="162"/>
      <c r="AN1629" s="162"/>
      <c r="AO1629" s="162"/>
      <c r="AP1629" s="162"/>
      <c r="AQ1629" s="162"/>
      <c r="AR1629" s="710"/>
      <c r="AV1629" s="82"/>
      <c r="AW1629" s="947"/>
      <c r="AX1629" s="947"/>
      <c r="AY1629" s="947"/>
    </row>
    <row r="1630" spans="31:51" x14ac:dyDescent="0.25">
      <c r="AE1630" s="75"/>
      <c r="AF1630" s="82"/>
      <c r="AG1630" s="82"/>
      <c r="AH1630" s="82"/>
      <c r="AI1630" s="82"/>
      <c r="AJ1630" s="166"/>
      <c r="AK1630" s="82"/>
      <c r="AL1630" s="162"/>
      <c r="AM1630" s="162"/>
      <c r="AN1630" s="162"/>
      <c r="AO1630" s="162"/>
      <c r="AP1630" s="162"/>
      <c r="AQ1630" s="162"/>
      <c r="AR1630" s="710"/>
      <c r="AV1630" s="82"/>
      <c r="AW1630" s="947"/>
      <c r="AX1630" s="947"/>
      <c r="AY1630" s="947"/>
    </row>
    <row r="1631" spans="31:51" x14ac:dyDescent="0.25">
      <c r="AE1631" s="75"/>
      <c r="AF1631" s="82"/>
      <c r="AG1631" s="82"/>
      <c r="AH1631" s="82"/>
      <c r="AI1631" s="82"/>
      <c r="AJ1631" s="166"/>
      <c r="AK1631" s="82"/>
      <c r="AL1631" s="162"/>
      <c r="AM1631" s="162"/>
      <c r="AN1631" s="162"/>
      <c r="AO1631" s="162"/>
      <c r="AP1631" s="162"/>
      <c r="AQ1631" s="162"/>
      <c r="AR1631" s="710"/>
      <c r="AV1631" s="82"/>
      <c r="AW1631" s="947"/>
      <c r="AX1631" s="947"/>
      <c r="AY1631" s="947"/>
    </row>
    <row r="1632" spans="31:51" x14ac:dyDescent="0.25">
      <c r="AE1632" s="75"/>
      <c r="AF1632" s="82"/>
      <c r="AG1632" s="82"/>
      <c r="AH1632" s="82"/>
      <c r="AI1632" s="82"/>
      <c r="AJ1632" s="166"/>
      <c r="AK1632" s="82"/>
      <c r="AL1632" s="162"/>
      <c r="AM1632" s="162"/>
      <c r="AN1632" s="162"/>
      <c r="AO1632" s="162"/>
      <c r="AP1632" s="162"/>
      <c r="AQ1632" s="162"/>
      <c r="AR1632" s="710"/>
      <c r="AV1632" s="82"/>
      <c r="AW1632" s="947"/>
      <c r="AX1632" s="947"/>
      <c r="AY1632" s="947"/>
    </row>
    <row r="1633" spans="31:51" x14ac:dyDescent="0.25">
      <c r="AE1633" s="75"/>
      <c r="AF1633" s="82"/>
      <c r="AG1633" s="82"/>
      <c r="AH1633" s="82"/>
      <c r="AI1633" s="82"/>
      <c r="AJ1633" s="166"/>
      <c r="AK1633" s="82"/>
      <c r="AL1633" s="162"/>
      <c r="AM1633" s="162"/>
      <c r="AN1633" s="162"/>
      <c r="AO1633" s="162"/>
      <c r="AP1633" s="162"/>
      <c r="AQ1633" s="162"/>
      <c r="AR1633" s="710"/>
      <c r="AV1633" s="82"/>
      <c r="AW1633" s="947"/>
      <c r="AX1633" s="947"/>
      <c r="AY1633" s="947"/>
    </row>
    <row r="1634" spans="31:51" x14ac:dyDescent="0.25">
      <c r="AE1634" s="75"/>
      <c r="AF1634" s="82"/>
      <c r="AG1634" s="82"/>
      <c r="AH1634" s="82"/>
      <c r="AI1634" s="82"/>
      <c r="AJ1634" s="166"/>
      <c r="AK1634" s="82"/>
      <c r="AL1634" s="162"/>
      <c r="AM1634" s="162"/>
      <c r="AN1634" s="162"/>
      <c r="AO1634" s="162"/>
      <c r="AP1634" s="162"/>
      <c r="AQ1634" s="162"/>
      <c r="AR1634" s="710"/>
      <c r="AV1634" s="82"/>
      <c r="AW1634" s="947"/>
      <c r="AX1634" s="947"/>
      <c r="AY1634" s="947"/>
    </row>
    <row r="1635" spans="31:51" x14ac:dyDescent="0.25">
      <c r="AE1635" s="75"/>
      <c r="AF1635" s="82"/>
      <c r="AG1635" s="82"/>
      <c r="AH1635" s="82"/>
      <c r="AI1635" s="82"/>
      <c r="AJ1635" s="166"/>
      <c r="AK1635" s="82"/>
      <c r="AL1635" s="162"/>
      <c r="AM1635" s="162"/>
      <c r="AN1635" s="162"/>
      <c r="AO1635" s="162"/>
      <c r="AP1635" s="162"/>
      <c r="AQ1635" s="162"/>
      <c r="AR1635" s="710"/>
      <c r="AV1635" s="82"/>
      <c r="AW1635" s="947"/>
      <c r="AX1635" s="947"/>
      <c r="AY1635" s="947"/>
    </row>
    <row r="1636" spans="31:51" x14ac:dyDescent="0.25">
      <c r="AE1636" s="75"/>
      <c r="AF1636" s="82"/>
      <c r="AG1636" s="82"/>
      <c r="AH1636" s="82"/>
      <c r="AI1636" s="82"/>
      <c r="AJ1636" s="166"/>
      <c r="AK1636" s="82"/>
      <c r="AL1636" s="162"/>
      <c r="AM1636" s="162"/>
      <c r="AN1636" s="162"/>
      <c r="AO1636" s="162"/>
      <c r="AP1636" s="162"/>
      <c r="AQ1636" s="162"/>
      <c r="AR1636" s="710"/>
      <c r="AV1636" s="82"/>
      <c r="AW1636" s="947"/>
      <c r="AX1636" s="947"/>
      <c r="AY1636" s="947"/>
    </row>
    <row r="1637" spans="31:51" x14ac:dyDescent="0.25">
      <c r="AE1637" s="75"/>
      <c r="AF1637" s="82"/>
      <c r="AG1637" s="82"/>
      <c r="AH1637" s="82"/>
      <c r="AI1637" s="82"/>
      <c r="AJ1637" s="166"/>
      <c r="AK1637" s="82"/>
      <c r="AL1637" s="162"/>
      <c r="AM1637" s="162"/>
      <c r="AN1637" s="162"/>
      <c r="AO1637" s="162"/>
      <c r="AP1637" s="162"/>
      <c r="AQ1637" s="162"/>
      <c r="AR1637" s="710"/>
      <c r="AV1637" s="82"/>
      <c r="AW1637" s="947"/>
      <c r="AX1637" s="947"/>
      <c r="AY1637" s="947"/>
    </row>
    <row r="1638" spans="31:51" x14ac:dyDescent="0.25">
      <c r="AE1638" s="75"/>
      <c r="AF1638" s="82"/>
      <c r="AG1638" s="82"/>
      <c r="AH1638" s="82"/>
      <c r="AI1638" s="82"/>
      <c r="AJ1638" s="166"/>
      <c r="AK1638" s="82"/>
      <c r="AL1638" s="162"/>
      <c r="AM1638" s="162"/>
      <c r="AN1638" s="162"/>
      <c r="AO1638" s="162"/>
      <c r="AP1638" s="162"/>
      <c r="AQ1638" s="162"/>
      <c r="AR1638" s="710"/>
      <c r="AV1638" s="82"/>
      <c r="AW1638" s="947"/>
      <c r="AX1638" s="947"/>
      <c r="AY1638" s="947"/>
    </row>
    <row r="1639" spans="31:51" x14ac:dyDescent="0.25">
      <c r="AE1639" s="75"/>
      <c r="AF1639" s="82"/>
      <c r="AG1639" s="82"/>
      <c r="AH1639" s="82"/>
      <c r="AI1639" s="82"/>
      <c r="AJ1639" s="166"/>
      <c r="AK1639" s="82"/>
      <c r="AL1639" s="162"/>
      <c r="AM1639" s="162"/>
      <c r="AN1639" s="162"/>
      <c r="AO1639" s="162"/>
      <c r="AP1639" s="162"/>
      <c r="AQ1639" s="162"/>
      <c r="AR1639" s="710"/>
      <c r="AV1639" s="82"/>
      <c r="AW1639" s="947"/>
      <c r="AX1639" s="947"/>
      <c r="AY1639" s="947"/>
    </row>
    <row r="1640" spans="31:51" x14ac:dyDescent="0.25">
      <c r="AE1640" s="75"/>
      <c r="AF1640" s="82"/>
      <c r="AG1640" s="82"/>
      <c r="AH1640" s="82"/>
      <c r="AI1640" s="82"/>
      <c r="AJ1640" s="166"/>
      <c r="AK1640" s="82"/>
      <c r="AL1640" s="162"/>
      <c r="AM1640" s="162"/>
      <c r="AN1640" s="162"/>
      <c r="AO1640" s="162"/>
      <c r="AP1640" s="162"/>
      <c r="AQ1640" s="162"/>
      <c r="AR1640" s="710"/>
      <c r="AV1640" s="82"/>
      <c r="AW1640" s="947"/>
      <c r="AX1640" s="947"/>
      <c r="AY1640" s="947"/>
    </row>
    <row r="1641" spans="31:51" x14ac:dyDescent="0.25">
      <c r="AE1641" s="75"/>
      <c r="AF1641" s="82"/>
      <c r="AG1641" s="82"/>
      <c r="AH1641" s="82"/>
      <c r="AI1641" s="82"/>
      <c r="AJ1641" s="166"/>
      <c r="AK1641" s="82"/>
      <c r="AL1641" s="162"/>
      <c r="AM1641" s="162"/>
      <c r="AN1641" s="162"/>
      <c r="AO1641" s="162"/>
      <c r="AP1641" s="162"/>
      <c r="AQ1641" s="162"/>
      <c r="AR1641" s="710"/>
      <c r="AV1641" s="82"/>
      <c r="AW1641" s="947"/>
      <c r="AX1641" s="947"/>
      <c r="AY1641" s="947"/>
    </row>
    <row r="1642" spans="31:51" x14ac:dyDescent="0.25">
      <c r="AE1642" s="75"/>
      <c r="AF1642" s="82"/>
      <c r="AG1642" s="82"/>
      <c r="AH1642" s="82"/>
      <c r="AI1642" s="82"/>
      <c r="AJ1642" s="166"/>
      <c r="AK1642" s="82"/>
      <c r="AL1642" s="162"/>
      <c r="AM1642" s="162"/>
      <c r="AN1642" s="162"/>
      <c r="AO1642" s="162"/>
      <c r="AP1642" s="162"/>
      <c r="AQ1642" s="162"/>
      <c r="AR1642" s="710"/>
      <c r="AV1642" s="82"/>
      <c r="AW1642" s="947"/>
      <c r="AX1642" s="947"/>
      <c r="AY1642" s="947"/>
    </row>
    <row r="1643" spans="31:51" x14ac:dyDescent="0.25">
      <c r="AE1643" s="75"/>
      <c r="AF1643" s="82"/>
      <c r="AG1643" s="82"/>
      <c r="AH1643" s="82"/>
      <c r="AI1643" s="82"/>
      <c r="AJ1643" s="166"/>
      <c r="AK1643" s="82"/>
      <c r="AL1643" s="162"/>
      <c r="AM1643" s="162"/>
      <c r="AN1643" s="162"/>
      <c r="AO1643" s="162"/>
      <c r="AP1643" s="162"/>
      <c r="AQ1643" s="162"/>
      <c r="AR1643" s="710"/>
      <c r="AV1643" s="82"/>
      <c r="AW1643" s="947"/>
      <c r="AX1643" s="947"/>
      <c r="AY1643" s="947"/>
    </row>
    <row r="1644" spans="31:51" x14ac:dyDescent="0.25">
      <c r="AE1644" s="75"/>
      <c r="AF1644" s="82"/>
      <c r="AG1644" s="82"/>
      <c r="AH1644" s="82"/>
      <c r="AI1644" s="82"/>
      <c r="AJ1644" s="166"/>
      <c r="AK1644" s="82"/>
      <c r="AL1644" s="162"/>
      <c r="AM1644" s="162"/>
      <c r="AN1644" s="162"/>
      <c r="AO1644" s="162"/>
      <c r="AP1644" s="162"/>
      <c r="AQ1644" s="162"/>
      <c r="AR1644" s="710"/>
      <c r="AV1644" s="82"/>
      <c r="AW1644" s="947"/>
      <c r="AX1644" s="947"/>
      <c r="AY1644" s="947"/>
    </row>
    <row r="1645" spans="31:51" x14ac:dyDescent="0.25">
      <c r="AE1645" s="75"/>
      <c r="AF1645" s="82"/>
      <c r="AG1645" s="82"/>
      <c r="AH1645" s="82"/>
      <c r="AI1645" s="82"/>
      <c r="AJ1645" s="166"/>
      <c r="AK1645" s="82"/>
      <c r="AL1645" s="162"/>
      <c r="AM1645" s="162"/>
      <c r="AN1645" s="162"/>
      <c r="AO1645" s="162"/>
      <c r="AP1645" s="162"/>
      <c r="AQ1645" s="162"/>
      <c r="AR1645" s="710"/>
      <c r="AV1645" s="82"/>
      <c r="AW1645" s="947"/>
      <c r="AX1645" s="947"/>
      <c r="AY1645" s="947"/>
    </row>
    <row r="1646" spans="31:51" x14ac:dyDescent="0.25">
      <c r="AE1646" s="75"/>
      <c r="AF1646" s="82"/>
      <c r="AG1646" s="82"/>
      <c r="AH1646" s="82"/>
      <c r="AI1646" s="82"/>
      <c r="AJ1646" s="166"/>
      <c r="AK1646" s="82"/>
      <c r="AL1646" s="162"/>
      <c r="AM1646" s="162"/>
      <c r="AN1646" s="162"/>
      <c r="AO1646" s="162"/>
      <c r="AP1646" s="162"/>
      <c r="AQ1646" s="162"/>
      <c r="AR1646" s="710"/>
      <c r="AV1646" s="82"/>
      <c r="AW1646" s="947"/>
      <c r="AX1646" s="947"/>
      <c r="AY1646" s="947"/>
    </row>
    <row r="1647" spans="31:51" x14ac:dyDescent="0.25">
      <c r="AE1647" s="75"/>
      <c r="AF1647" s="82"/>
      <c r="AG1647" s="82"/>
      <c r="AH1647" s="82"/>
      <c r="AI1647" s="82"/>
      <c r="AJ1647" s="166"/>
      <c r="AK1647" s="82"/>
      <c r="AL1647" s="162"/>
      <c r="AM1647" s="162"/>
      <c r="AN1647" s="162"/>
      <c r="AO1647" s="162"/>
      <c r="AP1647" s="162"/>
      <c r="AQ1647" s="162"/>
      <c r="AR1647" s="710"/>
      <c r="AV1647" s="82"/>
      <c r="AW1647" s="947"/>
      <c r="AX1647" s="947"/>
      <c r="AY1647" s="947"/>
    </row>
    <row r="1648" spans="31:51" x14ac:dyDescent="0.25">
      <c r="AE1648" s="75"/>
      <c r="AF1648" s="82"/>
      <c r="AG1648" s="82"/>
      <c r="AH1648" s="82"/>
      <c r="AI1648" s="82"/>
      <c r="AJ1648" s="166"/>
      <c r="AK1648" s="82"/>
      <c r="AL1648" s="162"/>
      <c r="AM1648" s="162"/>
      <c r="AN1648" s="162"/>
      <c r="AO1648" s="162"/>
      <c r="AP1648" s="162"/>
      <c r="AQ1648" s="162"/>
      <c r="AR1648" s="710"/>
      <c r="AV1648" s="82"/>
      <c r="AW1648" s="947"/>
      <c r="AX1648" s="947"/>
      <c r="AY1648" s="947"/>
    </row>
    <row r="1649" spans="31:51" x14ac:dyDescent="0.25">
      <c r="AE1649" s="75"/>
      <c r="AF1649" s="82"/>
      <c r="AG1649" s="82"/>
      <c r="AH1649" s="82"/>
      <c r="AI1649" s="82"/>
      <c r="AJ1649" s="166"/>
      <c r="AK1649" s="82"/>
      <c r="AL1649" s="162"/>
      <c r="AM1649" s="162"/>
      <c r="AN1649" s="162"/>
      <c r="AO1649" s="162"/>
      <c r="AP1649" s="162"/>
      <c r="AQ1649" s="162"/>
      <c r="AR1649" s="710"/>
      <c r="AV1649" s="82"/>
      <c r="AW1649" s="947"/>
      <c r="AX1649" s="947"/>
      <c r="AY1649" s="947"/>
    </row>
    <row r="1650" spans="31:51" x14ac:dyDescent="0.25">
      <c r="AE1650" s="75"/>
      <c r="AF1650" s="82"/>
      <c r="AG1650" s="82"/>
      <c r="AH1650" s="82"/>
      <c r="AI1650" s="82"/>
      <c r="AJ1650" s="166"/>
      <c r="AK1650" s="82"/>
      <c r="AL1650" s="162"/>
      <c r="AM1650" s="162"/>
      <c r="AN1650" s="162"/>
      <c r="AO1650" s="162"/>
      <c r="AP1650" s="162"/>
      <c r="AQ1650" s="162"/>
      <c r="AR1650" s="710"/>
      <c r="AV1650" s="82"/>
      <c r="AW1650" s="947"/>
      <c r="AX1650" s="947"/>
      <c r="AY1650" s="947"/>
    </row>
    <row r="1651" spans="31:51" x14ac:dyDescent="0.25">
      <c r="AE1651" s="75"/>
      <c r="AF1651" s="82"/>
      <c r="AG1651" s="82"/>
      <c r="AH1651" s="82"/>
      <c r="AI1651" s="82"/>
      <c r="AJ1651" s="166"/>
      <c r="AK1651" s="82"/>
      <c r="AL1651" s="162"/>
      <c r="AM1651" s="162"/>
      <c r="AN1651" s="162"/>
      <c r="AO1651" s="162"/>
      <c r="AP1651" s="162"/>
      <c r="AQ1651" s="162"/>
      <c r="AR1651" s="710"/>
      <c r="AV1651" s="82"/>
      <c r="AW1651" s="947"/>
      <c r="AX1651" s="947"/>
      <c r="AY1651" s="947"/>
    </row>
    <row r="1652" spans="31:51" x14ac:dyDescent="0.25">
      <c r="AE1652" s="75"/>
      <c r="AF1652" s="82"/>
      <c r="AG1652" s="82"/>
      <c r="AH1652" s="82"/>
      <c r="AI1652" s="82"/>
      <c r="AJ1652" s="166"/>
      <c r="AK1652" s="82"/>
      <c r="AL1652" s="162"/>
      <c r="AM1652" s="162"/>
      <c r="AN1652" s="162"/>
      <c r="AO1652" s="162"/>
      <c r="AP1652" s="162"/>
      <c r="AQ1652" s="162"/>
      <c r="AR1652" s="710"/>
      <c r="AV1652" s="82"/>
      <c r="AW1652" s="947"/>
      <c r="AX1652" s="947"/>
      <c r="AY1652" s="947"/>
    </row>
    <row r="1653" spans="31:51" x14ac:dyDescent="0.25">
      <c r="AE1653" s="75"/>
      <c r="AF1653" s="82"/>
      <c r="AG1653" s="82"/>
      <c r="AH1653" s="82"/>
      <c r="AI1653" s="82"/>
      <c r="AJ1653" s="166"/>
      <c r="AK1653" s="82"/>
      <c r="AL1653" s="162"/>
      <c r="AM1653" s="162"/>
      <c r="AN1653" s="162"/>
      <c r="AO1653" s="162"/>
      <c r="AP1653" s="162"/>
      <c r="AQ1653" s="162"/>
      <c r="AR1653" s="710"/>
      <c r="AV1653" s="82"/>
      <c r="AW1653" s="947"/>
      <c r="AX1653" s="947"/>
      <c r="AY1653" s="947"/>
    </row>
    <row r="1654" spans="31:51" x14ac:dyDescent="0.25">
      <c r="AE1654" s="75"/>
      <c r="AF1654" s="82"/>
      <c r="AG1654" s="82"/>
      <c r="AH1654" s="82"/>
      <c r="AI1654" s="82"/>
      <c r="AJ1654" s="166"/>
      <c r="AK1654" s="82"/>
      <c r="AL1654" s="162"/>
      <c r="AM1654" s="162"/>
      <c r="AN1654" s="162"/>
      <c r="AO1654" s="162"/>
      <c r="AP1654" s="162"/>
      <c r="AQ1654" s="162"/>
      <c r="AR1654" s="710"/>
      <c r="AV1654" s="82"/>
      <c r="AW1654" s="947"/>
      <c r="AX1654" s="947"/>
      <c r="AY1654" s="947"/>
    </row>
    <row r="1655" spans="31:51" x14ac:dyDescent="0.25">
      <c r="AE1655" s="75"/>
      <c r="AF1655" s="82"/>
      <c r="AG1655" s="82"/>
      <c r="AH1655" s="82"/>
      <c r="AI1655" s="82"/>
      <c r="AJ1655" s="166"/>
      <c r="AK1655" s="82"/>
      <c r="AL1655" s="162"/>
      <c r="AM1655" s="162"/>
      <c r="AN1655" s="162"/>
      <c r="AO1655" s="162"/>
      <c r="AP1655" s="162"/>
      <c r="AQ1655" s="162"/>
      <c r="AR1655" s="710"/>
      <c r="AV1655" s="82"/>
      <c r="AW1655" s="947"/>
      <c r="AX1655" s="947"/>
      <c r="AY1655" s="947"/>
    </row>
    <row r="1656" spans="31:51" x14ac:dyDescent="0.25">
      <c r="AE1656" s="75"/>
      <c r="AF1656" s="82"/>
      <c r="AG1656" s="82"/>
      <c r="AH1656" s="82"/>
      <c r="AI1656" s="82"/>
      <c r="AJ1656" s="166"/>
      <c r="AK1656" s="82"/>
      <c r="AL1656" s="162"/>
      <c r="AM1656" s="162"/>
      <c r="AN1656" s="162"/>
      <c r="AO1656" s="162"/>
      <c r="AP1656" s="162"/>
      <c r="AQ1656" s="162"/>
      <c r="AR1656" s="710"/>
      <c r="AV1656" s="82"/>
      <c r="AW1656" s="947"/>
      <c r="AX1656" s="947"/>
      <c r="AY1656" s="947"/>
    </row>
    <row r="1657" spans="31:51" x14ac:dyDescent="0.25">
      <c r="AE1657" s="75"/>
      <c r="AF1657" s="82"/>
      <c r="AG1657" s="82"/>
      <c r="AH1657" s="82"/>
      <c r="AI1657" s="82"/>
      <c r="AJ1657" s="166"/>
      <c r="AK1657" s="82"/>
      <c r="AL1657" s="162"/>
      <c r="AM1657" s="162"/>
      <c r="AN1657" s="162"/>
      <c r="AO1657" s="162"/>
      <c r="AP1657" s="162"/>
      <c r="AQ1657" s="162"/>
      <c r="AR1657" s="710"/>
      <c r="AV1657" s="82"/>
      <c r="AW1657" s="947"/>
      <c r="AX1657" s="947"/>
      <c r="AY1657" s="947"/>
    </row>
    <row r="1658" spans="31:51" x14ac:dyDescent="0.25">
      <c r="AE1658" s="75"/>
      <c r="AF1658" s="82"/>
      <c r="AG1658" s="82"/>
      <c r="AH1658" s="82"/>
      <c r="AI1658" s="82"/>
      <c r="AJ1658" s="166"/>
      <c r="AK1658" s="82"/>
      <c r="AL1658" s="162"/>
      <c r="AM1658" s="162"/>
      <c r="AN1658" s="162"/>
      <c r="AO1658" s="162"/>
      <c r="AP1658" s="162"/>
      <c r="AQ1658" s="162"/>
      <c r="AR1658" s="710"/>
      <c r="AV1658" s="82"/>
      <c r="AW1658" s="947"/>
      <c r="AX1658" s="947"/>
      <c r="AY1658" s="947"/>
    </row>
    <row r="1659" spans="31:51" x14ac:dyDescent="0.25">
      <c r="AE1659" s="75"/>
      <c r="AF1659" s="82"/>
      <c r="AG1659" s="82"/>
      <c r="AH1659" s="82"/>
      <c r="AI1659" s="82"/>
      <c r="AJ1659" s="166"/>
      <c r="AK1659" s="82"/>
      <c r="AL1659" s="162"/>
      <c r="AM1659" s="162"/>
      <c r="AN1659" s="162"/>
      <c r="AO1659" s="162"/>
      <c r="AP1659" s="162"/>
      <c r="AQ1659" s="162"/>
      <c r="AR1659" s="710"/>
      <c r="AV1659" s="82"/>
      <c r="AW1659" s="947"/>
      <c r="AX1659" s="947"/>
      <c r="AY1659" s="947"/>
    </row>
    <row r="1660" spans="31:51" x14ac:dyDescent="0.25">
      <c r="AE1660" s="75"/>
      <c r="AF1660" s="82"/>
      <c r="AG1660" s="82"/>
      <c r="AH1660" s="82"/>
      <c r="AI1660" s="82"/>
      <c r="AJ1660" s="166"/>
      <c r="AK1660" s="82"/>
      <c r="AL1660" s="162"/>
      <c r="AM1660" s="162"/>
      <c r="AN1660" s="162"/>
      <c r="AO1660" s="162"/>
      <c r="AP1660" s="162"/>
      <c r="AQ1660" s="162"/>
      <c r="AR1660" s="710"/>
      <c r="AV1660" s="82"/>
      <c r="AW1660" s="947"/>
      <c r="AX1660" s="947"/>
      <c r="AY1660" s="947"/>
    </row>
    <row r="1661" spans="31:51" x14ac:dyDescent="0.25">
      <c r="AE1661" s="75"/>
      <c r="AF1661" s="82"/>
      <c r="AG1661" s="82"/>
      <c r="AH1661" s="82"/>
      <c r="AI1661" s="82"/>
      <c r="AJ1661" s="166"/>
      <c r="AK1661" s="82"/>
      <c r="AL1661" s="162"/>
      <c r="AM1661" s="162"/>
      <c r="AN1661" s="162"/>
      <c r="AO1661" s="162"/>
      <c r="AP1661" s="162"/>
      <c r="AQ1661" s="162"/>
      <c r="AR1661" s="710"/>
      <c r="AV1661" s="82"/>
      <c r="AW1661" s="947"/>
      <c r="AX1661" s="947"/>
      <c r="AY1661" s="947"/>
    </row>
    <row r="1662" spans="31:51" x14ac:dyDescent="0.25">
      <c r="AE1662" s="75"/>
      <c r="AF1662" s="82"/>
      <c r="AG1662" s="82"/>
      <c r="AH1662" s="82"/>
      <c r="AI1662" s="82"/>
      <c r="AJ1662" s="166"/>
      <c r="AK1662" s="82"/>
      <c r="AL1662" s="162"/>
      <c r="AM1662" s="162"/>
      <c r="AN1662" s="162"/>
      <c r="AO1662" s="162"/>
      <c r="AP1662" s="162"/>
      <c r="AQ1662" s="162"/>
      <c r="AR1662" s="710"/>
      <c r="AV1662" s="82"/>
      <c r="AW1662" s="947"/>
      <c r="AX1662" s="947"/>
      <c r="AY1662" s="947"/>
    </row>
    <row r="1663" spans="31:51" x14ac:dyDescent="0.25">
      <c r="AE1663" s="75"/>
      <c r="AF1663" s="82"/>
      <c r="AG1663" s="82"/>
      <c r="AH1663" s="82"/>
      <c r="AI1663" s="82"/>
      <c r="AJ1663" s="166"/>
      <c r="AK1663" s="82"/>
      <c r="AL1663" s="162"/>
      <c r="AM1663" s="162"/>
      <c r="AN1663" s="162"/>
      <c r="AO1663" s="162"/>
      <c r="AP1663" s="162"/>
      <c r="AQ1663" s="162"/>
      <c r="AR1663" s="710"/>
      <c r="AV1663" s="82"/>
      <c r="AW1663" s="947"/>
      <c r="AX1663" s="947"/>
      <c r="AY1663" s="947"/>
    </row>
    <row r="1664" spans="31:51" x14ac:dyDescent="0.25">
      <c r="AE1664" s="75"/>
      <c r="AF1664" s="82"/>
      <c r="AG1664" s="82"/>
      <c r="AH1664" s="82"/>
      <c r="AI1664" s="82"/>
      <c r="AJ1664" s="166"/>
      <c r="AK1664" s="82"/>
      <c r="AL1664" s="162"/>
      <c r="AM1664" s="162"/>
      <c r="AN1664" s="162"/>
      <c r="AO1664" s="162"/>
      <c r="AP1664" s="162"/>
      <c r="AQ1664" s="162"/>
      <c r="AR1664" s="710"/>
      <c r="AV1664" s="82"/>
      <c r="AW1664" s="947"/>
      <c r="AX1664" s="947"/>
      <c r="AY1664" s="947"/>
    </row>
    <row r="1665" spans="31:51" x14ac:dyDescent="0.25">
      <c r="AE1665" s="75"/>
      <c r="AF1665" s="82"/>
      <c r="AG1665" s="82"/>
      <c r="AH1665" s="82"/>
      <c r="AI1665" s="82"/>
      <c r="AJ1665" s="166"/>
      <c r="AK1665" s="82"/>
      <c r="AL1665" s="162"/>
      <c r="AM1665" s="162"/>
      <c r="AN1665" s="162"/>
      <c r="AO1665" s="162"/>
      <c r="AP1665" s="162"/>
      <c r="AQ1665" s="162"/>
      <c r="AR1665" s="710"/>
      <c r="AV1665" s="82"/>
      <c r="AW1665" s="947"/>
      <c r="AX1665" s="947"/>
      <c r="AY1665" s="947"/>
    </row>
    <row r="1666" spans="31:51" x14ac:dyDescent="0.25">
      <c r="AE1666" s="75"/>
      <c r="AF1666" s="82"/>
      <c r="AG1666" s="82"/>
      <c r="AH1666" s="82"/>
      <c r="AI1666" s="82"/>
      <c r="AJ1666" s="166"/>
      <c r="AK1666" s="82"/>
      <c r="AL1666" s="162"/>
      <c r="AM1666" s="162"/>
      <c r="AN1666" s="162"/>
      <c r="AO1666" s="162"/>
      <c r="AP1666" s="162"/>
      <c r="AQ1666" s="162"/>
      <c r="AR1666" s="710"/>
      <c r="AV1666" s="82"/>
      <c r="AW1666" s="947"/>
      <c r="AX1666" s="947"/>
      <c r="AY1666" s="947"/>
    </row>
    <row r="1667" spans="31:51" x14ac:dyDescent="0.25">
      <c r="AE1667" s="75"/>
      <c r="AF1667" s="82"/>
      <c r="AG1667" s="82"/>
      <c r="AH1667" s="82"/>
      <c r="AI1667" s="82"/>
      <c r="AJ1667" s="166"/>
      <c r="AK1667" s="82"/>
      <c r="AL1667" s="162"/>
      <c r="AM1667" s="162"/>
      <c r="AN1667" s="162"/>
      <c r="AO1667" s="162"/>
      <c r="AP1667" s="162"/>
      <c r="AQ1667" s="162"/>
      <c r="AR1667" s="710"/>
      <c r="AV1667" s="82"/>
      <c r="AW1667" s="947"/>
      <c r="AX1667" s="947"/>
      <c r="AY1667" s="947"/>
    </row>
    <row r="1668" spans="31:51" x14ac:dyDescent="0.25">
      <c r="AE1668" s="75"/>
      <c r="AF1668" s="82"/>
      <c r="AG1668" s="82"/>
      <c r="AH1668" s="82"/>
      <c r="AI1668" s="82"/>
      <c r="AJ1668" s="166"/>
      <c r="AK1668" s="82"/>
      <c r="AL1668" s="162"/>
      <c r="AM1668" s="162"/>
      <c r="AN1668" s="162"/>
      <c r="AO1668" s="162"/>
      <c r="AP1668" s="162"/>
      <c r="AQ1668" s="162"/>
      <c r="AR1668" s="710"/>
      <c r="AV1668" s="82"/>
      <c r="AW1668" s="947"/>
      <c r="AX1668" s="947"/>
      <c r="AY1668" s="947"/>
    </row>
    <row r="1669" spans="31:51" x14ac:dyDescent="0.25">
      <c r="AE1669" s="75"/>
      <c r="AF1669" s="82"/>
      <c r="AG1669" s="82"/>
      <c r="AH1669" s="82"/>
      <c r="AI1669" s="82"/>
      <c r="AJ1669" s="166"/>
      <c r="AK1669" s="82"/>
      <c r="AL1669" s="162"/>
      <c r="AM1669" s="162"/>
      <c r="AN1669" s="162"/>
      <c r="AO1669" s="162"/>
      <c r="AP1669" s="162"/>
      <c r="AQ1669" s="162"/>
      <c r="AR1669" s="710"/>
      <c r="AV1669" s="82"/>
      <c r="AW1669" s="947"/>
      <c r="AX1669" s="947"/>
      <c r="AY1669" s="947"/>
    </row>
    <row r="1670" spans="31:51" x14ac:dyDescent="0.25">
      <c r="AE1670" s="75"/>
      <c r="AF1670" s="82"/>
      <c r="AG1670" s="82"/>
      <c r="AH1670" s="82"/>
      <c r="AI1670" s="82"/>
      <c r="AJ1670" s="166"/>
      <c r="AK1670" s="82"/>
      <c r="AL1670" s="162"/>
      <c r="AM1670" s="162"/>
      <c r="AN1670" s="162"/>
      <c r="AO1670" s="162"/>
      <c r="AP1670" s="162"/>
      <c r="AQ1670" s="162"/>
      <c r="AR1670" s="710"/>
      <c r="AV1670" s="82"/>
      <c r="AW1670" s="947"/>
      <c r="AX1670" s="947"/>
      <c r="AY1670" s="947"/>
    </row>
    <row r="1671" spans="31:51" x14ac:dyDescent="0.25">
      <c r="AE1671" s="75"/>
      <c r="AF1671" s="82"/>
      <c r="AG1671" s="82"/>
      <c r="AH1671" s="82"/>
      <c r="AI1671" s="82"/>
      <c r="AJ1671" s="166"/>
      <c r="AK1671" s="82"/>
      <c r="AL1671" s="162"/>
      <c r="AM1671" s="162"/>
      <c r="AN1671" s="162"/>
      <c r="AO1671" s="162"/>
      <c r="AP1671" s="162"/>
      <c r="AQ1671" s="162"/>
      <c r="AR1671" s="710"/>
      <c r="AV1671" s="82"/>
      <c r="AW1671" s="947"/>
      <c r="AX1671" s="947"/>
      <c r="AY1671" s="947"/>
    </row>
    <row r="1672" spans="31:51" x14ac:dyDescent="0.25">
      <c r="AE1672" s="75"/>
      <c r="AF1672" s="82"/>
      <c r="AG1672" s="82"/>
      <c r="AH1672" s="82"/>
      <c r="AI1672" s="82"/>
      <c r="AJ1672" s="166"/>
      <c r="AK1672" s="82"/>
      <c r="AL1672" s="162"/>
      <c r="AM1672" s="162"/>
      <c r="AN1672" s="162"/>
      <c r="AO1672" s="162"/>
      <c r="AP1672" s="162"/>
      <c r="AQ1672" s="162"/>
      <c r="AR1672" s="710"/>
      <c r="AV1672" s="82"/>
      <c r="AW1672" s="947"/>
      <c r="AX1672" s="947"/>
      <c r="AY1672" s="947"/>
    </row>
    <row r="1673" spans="31:51" x14ac:dyDescent="0.25">
      <c r="AE1673" s="75"/>
      <c r="AF1673" s="82"/>
      <c r="AG1673" s="82"/>
      <c r="AH1673" s="82"/>
      <c r="AI1673" s="82"/>
      <c r="AJ1673" s="166"/>
      <c r="AK1673" s="82"/>
      <c r="AL1673" s="162"/>
      <c r="AM1673" s="162"/>
      <c r="AN1673" s="162"/>
      <c r="AO1673" s="162"/>
      <c r="AP1673" s="162"/>
      <c r="AQ1673" s="162"/>
      <c r="AR1673" s="710"/>
      <c r="AV1673" s="82"/>
      <c r="AW1673" s="947"/>
      <c r="AX1673" s="947"/>
      <c r="AY1673" s="947"/>
    </row>
    <row r="1674" spans="31:51" x14ac:dyDescent="0.25">
      <c r="AE1674" s="75"/>
      <c r="AF1674" s="82"/>
      <c r="AG1674" s="82"/>
      <c r="AH1674" s="82"/>
      <c r="AI1674" s="82"/>
      <c r="AJ1674" s="166"/>
      <c r="AK1674" s="82"/>
      <c r="AL1674" s="162"/>
      <c r="AM1674" s="162"/>
      <c r="AN1674" s="162"/>
      <c r="AO1674" s="162"/>
      <c r="AP1674" s="162"/>
      <c r="AQ1674" s="162"/>
      <c r="AR1674" s="710"/>
      <c r="AV1674" s="82"/>
      <c r="AW1674" s="947"/>
      <c r="AX1674" s="947"/>
      <c r="AY1674" s="947"/>
    </row>
    <row r="1675" spans="31:51" x14ac:dyDescent="0.25">
      <c r="AE1675" s="75"/>
      <c r="AF1675" s="82"/>
      <c r="AG1675" s="82"/>
      <c r="AH1675" s="82"/>
      <c r="AI1675" s="82"/>
      <c r="AJ1675" s="166"/>
      <c r="AK1675" s="82"/>
      <c r="AL1675" s="162"/>
      <c r="AM1675" s="162"/>
      <c r="AN1675" s="162"/>
      <c r="AO1675" s="162"/>
      <c r="AP1675" s="162"/>
      <c r="AQ1675" s="162"/>
      <c r="AR1675" s="710"/>
      <c r="AV1675" s="82"/>
      <c r="AW1675" s="947"/>
      <c r="AX1675" s="947"/>
      <c r="AY1675" s="947"/>
    </row>
    <row r="1676" spans="31:51" x14ac:dyDescent="0.25">
      <c r="AE1676" s="75"/>
      <c r="AF1676" s="82"/>
      <c r="AG1676" s="82"/>
      <c r="AH1676" s="82"/>
      <c r="AI1676" s="82"/>
      <c r="AJ1676" s="166"/>
      <c r="AK1676" s="82"/>
      <c r="AL1676" s="162"/>
      <c r="AM1676" s="162"/>
      <c r="AN1676" s="162"/>
      <c r="AO1676" s="162"/>
      <c r="AP1676" s="162"/>
      <c r="AQ1676" s="162"/>
      <c r="AR1676" s="710"/>
      <c r="AV1676" s="82"/>
      <c r="AW1676" s="947"/>
      <c r="AX1676" s="947"/>
      <c r="AY1676" s="947"/>
    </row>
    <row r="1677" spans="31:51" x14ac:dyDescent="0.25">
      <c r="AE1677" s="75"/>
      <c r="AF1677" s="82"/>
      <c r="AG1677" s="82"/>
      <c r="AH1677" s="82"/>
      <c r="AI1677" s="82"/>
      <c r="AJ1677" s="166"/>
      <c r="AK1677" s="82"/>
      <c r="AL1677" s="162"/>
      <c r="AM1677" s="162"/>
      <c r="AN1677" s="162"/>
      <c r="AO1677" s="162"/>
      <c r="AP1677" s="162"/>
      <c r="AQ1677" s="162"/>
      <c r="AR1677" s="710"/>
      <c r="AV1677" s="82"/>
      <c r="AW1677" s="947"/>
      <c r="AX1677" s="947"/>
      <c r="AY1677" s="947"/>
    </row>
    <row r="1678" spans="31:51" x14ac:dyDescent="0.25">
      <c r="AE1678" s="75"/>
      <c r="AF1678" s="82"/>
      <c r="AG1678" s="82"/>
      <c r="AH1678" s="82"/>
      <c r="AI1678" s="82"/>
      <c r="AJ1678" s="166"/>
      <c r="AK1678" s="82"/>
      <c r="AL1678" s="162"/>
      <c r="AM1678" s="162"/>
      <c r="AN1678" s="162"/>
      <c r="AO1678" s="162"/>
      <c r="AP1678" s="162"/>
      <c r="AQ1678" s="162"/>
      <c r="AR1678" s="710"/>
      <c r="AV1678" s="82"/>
      <c r="AW1678" s="947"/>
      <c r="AX1678" s="947"/>
      <c r="AY1678" s="947"/>
    </row>
    <row r="1679" spans="31:51" x14ac:dyDescent="0.25">
      <c r="AE1679" s="75"/>
      <c r="AF1679" s="82"/>
      <c r="AG1679" s="82"/>
      <c r="AH1679" s="82"/>
      <c r="AI1679" s="82"/>
      <c r="AJ1679" s="166"/>
      <c r="AK1679" s="82"/>
      <c r="AL1679" s="162"/>
      <c r="AM1679" s="162"/>
      <c r="AN1679" s="162"/>
      <c r="AO1679" s="162"/>
      <c r="AP1679" s="162"/>
      <c r="AQ1679" s="162"/>
      <c r="AR1679" s="710"/>
      <c r="AV1679" s="82"/>
      <c r="AW1679" s="947"/>
      <c r="AX1679" s="947"/>
      <c r="AY1679" s="947"/>
    </row>
    <row r="1680" spans="31:51" x14ac:dyDescent="0.25">
      <c r="AE1680" s="75"/>
      <c r="AF1680" s="82"/>
      <c r="AG1680" s="82"/>
      <c r="AH1680" s="82"/>
      <c r="AI1680" s="82"/>
      <c r="AJ1680" s="166"/>
      <c r="AK1680" s="82"/>
      <c r="AL1680" s="162"/>
      <c r="AM1680" s="162"/>
      <c r="AN1680" s="162"/>
      <c r="AO1680" s="162"/>
      <c r="AP1680" s="162"/>
      <c r="AQ1680" s="162"/>
      <c r="AR1680" s="710"/>
      <c r="AV1680" s="82"/>
      <c r="AW1680" s="947"/>
      <c r="AX1680" s="947"/>
      <c r="AY1680" s="947"/>
    </row>
    <row r="1681" spans="31:51" x14ac:dyDescent="0.25">
      <c r="AE1681" s="75"/>
      <c r="AF1681" s="82"/>
      <c r="AG1681" s="82"/>
      <c r="AH1681" s="82"/>
      <c r="AI1681" s="82"/>
      <c r="AJ1681" s="166"/>
      <c r="AK1681" s="82"/>
      <c r="AL1681" s="162"/>
      <c r="AM1681" s="162"/>
      <c r="AN1681" s="162"/>
      <c r="AO1681" s="162"/>
      <c r="AP1681" s="162"/>
      <c r="AQ1681" s="162"/>
      <c r="AR1681" s="710"/>
      <c r="AV1681" s="82"/>
      <c r="AW1681" s="947"/>
      <c r="AX1681" s="947"/>
      <c r="AY1681" s="947"/>
    </row>
    <row r="1682" spans="31:51" x14ac:dyDescent="0.25">
      <c r="AE1682" s="75"/>
      <c r="AF1682" s="82"/>
      <c r="AG1682" s="82"/>
      <c r="AH1682" s="82"/>
      <c r="AI1682" s="82"/>
      <c r="AJ1682" s="166"/>
      <c r="AK1682" s="82"/>
      <c r="AL1682" s="162"/>
      <c r="AM1682" s="162"/>
      <c r="AN1682" s="162"/>
      <c r="AO1682" s="162"/>
      <c r="AP1682" s="162"/>
      <c r="AQ1682" s="162"/>
      <c r="AR1682" s="710"/>
      <c r="AV1682" s="82"/>
      <c r="AW1682" s="947"/>
      <c r="AX1682" s="947"/>
      <c r="AY1682" s="947"/>
    </row>
    <row r="1683" spans="31:51" x14ac:dyDescent="0.25">
      <c r="AE1683" s="75"/>
      <c r="AF1683" s="82"/>
      <c r="AG1683" s="82"/>
      <c r="AH1683" s="82"/>
      <c r="AI1683" s="82"/>
      <c r="AJ1683" s="166"/>
      <c r="AK1683" s="82"/>
      <c r="AL1683" s="162"/>
      <c r="AM1683" s="162"/>
      <c r="AN1683" s="162"/>
      <c r="AO1683" s="162"/>
      <c r="AP1683" s="162"/>
      <c r="AQ1683" s="162"/>
      <c r="AR1683" s="710"/>
      <c r="AV1683" s="82"/>
      <c r="AW1683" s="947"/>
      <c r="AX1683" s="947"/>
      <c r="AY1683" s="947"/>
    </row>
    <row r="1684" spans="31:51" x14ac:dyDescent="0.25">
      <c r="AE1684" s="75"/>
      <c r="AF1684" s="82"/>
      <c r="AG1684" s="82"/>
      <c r="AH1684" s="82"/>
      <c r="AI1684" s="82"/>
      <c r="AJ1684" s="166"/>
      <c r="AK1684" s="82"/>
      <c r="AL1684" s="162"/>
      <c r="AM1684" s="162"/>
      <c r="AN1684" s="162"/>
      <c r="AO1684" s="162"/>
      <c r="AP1684" s="162"/>
      <c r="AQ1684" s="162"/>
      <c r="AR1684" s="710"/>
      <c r="AV1684" s="82"/>
      <c r="AW1684" s="947"/>
      <c r="AX1684" s="947"/>
      <c r="AY1684" s="947"/>
    </row>
    <row r="1685" spans="31:51" x14ac:dyDescent="0.25">
      <c r="AE1685" s="75"/>
      <c r="AF1685" s="82"/>
      <c r="AG1685" s="82"/>
      <c r="AH1685" s="82"/>
      <c r="AI1685" s="82"/>
      <c r="AJ1685" s="166"/>
      <c r="AK1685" s="82"/>
      <c r="AL1685" s="162"/>
      <c r="AM1685" s="162"/>
      <c r="AN1685" s="162"/>
      <c r="AO1685" s="162"/>
      <c r="AP1685" s="162"/>
      <c r="AQ1685" s="162"/>
      <c r="AR1685" s="710"/>
      <c r="AV1685" s="82"/>
      <c r="AW1685" s="947"/>
      <c r="AX1685" s="947"/>
      <c r="AY1685" s="947"/>
    </row>
    <row r="1686" spans="31:51" x14ac:dyDescent="0.25">
      <c r="AE1686" s="75"/>
      <c r="AF1686" s="82"/>
      <c r="AG1686" s="82"/>
      <c r="AH1686" s="82"/>
      <c r="AI1686" s="82"/>
      <c r="AJ1686" s="166"/>
      <c r="AK1686" s="82"/>
      <c r="AL1686" s="162"/>
      <c r="AM1686" s="162"/>
      <c r="AN1686" s="162"/>
      <c r="AO1686" s="162"/>
      <c r="AP1686" s="162"/>
      <c r="AQ1686" s="162"/>
      <c r="AR1686" s="710"/>
      <c r="AV1686" s="82"/>
      <c r="AW1686" s="947"/>
      <c r="AX1686" s="947"/>
      <c r="AY1686" s="947"/>
    </row>
    <row r="1687" spans="31:51" x14ac:dyDescent="0.25">
      <c r="AE1687" s="75"/>
      <c r="AF1687" s="82"/>
      <c r="AG1687" s="82"/>
      <c r="AH1687" s="82"/>
      <c r="AI1687" s="82"/>
      <c r="AJ1687" s="166"/>
      <c r="AK1687" s="82"/>
      <c r="AL1687" s="162"/>
      <c r="AM1687" s="162"/>
      <c r="AN1687" s="162"/>
      <c r="AO1687" s="162"/>
      <c r="AP1687" s="162"/>
      <c r="AQ1687" s="162"/>
      <c r="AR1687" s="710"/>
      <c r="AV1687" s="82"/>
      <c r="AW1687" s="947"/>
      <c r="AX1687" s="947"/>
      <c r="AY1687" s="947"/>
    </row>
    <row r="1688" spans="31:51" x14ac:dyDescent="0.25">
      <c r="AE1688" s="75"/>
      <c r="AF1688" s="82"/>
      <c r="AG1688" s="82"/>
      <c r="AH1688" s="82"/>
      <c r="AI1688" s="82"/>
      <c r="AJ1688" s="166"/>
      <c r="AK1688" s="82"/>
      <c r="AL1688" s="162"/>
      <c r="AM1688" s="162"/>
      <c r="AN1688" s="162"/>
      <c r="AO1688" s="162"/>
      <c r="AP1688" s="162"/>
      <c r="AQ1688" s="162"/>
      <c r="AR1688" s="710"/>
      <c r="AV1688" s="82"/>
      <c r="AW1688" s="947"/>
      <c r="AX1688" s="947"/>
      <c r="AY1688" s="947"/>
    </row>
    <row r="1689" spans="31:51" x14ac:dyDescent="0.25">
      <c r="AE1689" s="75"/>
      <c r="AF1689" s="82"/>
      <c r="AG1689" s="82"/>
      <c r="AH1689" s="82"/>
      <c r="AI1689" s="82"/>
      <c r="AJ1689" s="166"/>
      <c r="AK1689" s="82"/>
      <c r="AL1689" s="162"/>
      <c r="AM1689" s="162"/>
      <c r="AN1689" s="162"/>
      <c r="AO1689" s="162"/>
      <c r="AP1689" s="162"/>
      <c r="AQ1689" s="162"/>
      <c r="AR1689" s="710"/>
      <c r="AV1689" s="82"/>
      <c r="AW1689" s="947"/>
      <c r="AX1689" s="947"/>
      <c r="AY1689" s="947"/>
    </row>
    <row r="1690" spans="31:51" x14ac:dyDescent="0.25">
      <c r="AE1690" s="75"/>
      <c r="AF1690" s="82"/>
      <c r="AG1690" s="82"/>
      <c r="AH1690" s="82"/>
      <c r="AI1690" s="82"/>
      <c r="AJ1690" s="166"/>
      <c r="AK1690" s="82"/>
      <c r="AL1690" s="162"/>
      <c r="AM1690" s="162"/>
      <c r="AN1690" s="162"/>
      <c r="AO1690" s="162"/>
      <c r="AP1690" s="162"/>
      <c r="AQ1690" s="162"/>
      <c r="AR1690" s="710"/>
      <c r="AV1690" s="82"/>
      <c r="AW1690" s="947"/>
      <c r="AX1690" s="947"/>
      <c r="AY1690" s="947"/>
    </row>
    <row r="1691" spans="31:51" x14ac:dyDescent="0.25">
      <c r="AE1691" s="75"/>
      <c r="AF1691" s="82"/>
      <c r="AG1691" s="82"/>
      <c r="AH1691" s="82"/>
      <c r="AI1691" s="82"/>
      <c r="AJ1691" s="166"/>
      <c r="AK1691" s="82"/>
      <c r="AL1691" s="162"/>
      <c r="AM1691" s="162"/>
      <c r="AN1691" s="162"/>
      <c r="AO1691" s="162"/>
      <c r="AP1691" s="162"/>
      <c r="AQ1691" s="162"/>
      <c r="AR1691" s="710"/>
      <c r="AV1691" s="82"/>
      <c r="AW1691" s="947"/>
      <c r="AX1691" s="947"/>
      <c r="AY1691" s="947"/>
    </row>
    <row r="1692" spans="31:51" x14ac:dyDescent="0.25">
      <c r="AE1692" s="75"/>
      <c r="AF1692" s="82"/>
      <c r="AG1692" s="82"/>
      <c r="AH1692" s="82"/>
      <c r="AI1692" s="82"/>
      <c r="AJ1692" s="166"/>
      <c r="AK1692" s="82"/>
      <c r="AL1692" s="162"/>
      <c r="AM1692" s="162"/>
      <c r="AN1692" s="162"/>
      <c r="AO1692" s="162"/>
      <c r="AP1692" s="162"/>
      <c r="AQ1692" s="162"/>
      <c r="AR1692" s="710"/>
      <c r="AV1692" s="82"/>
      <c r="AW1692" s="947"/>
      <c r="AX1692" s="947"/>
      <c r="AY1692" s="947"/>
    </row>
    <row r="1693" spans="31:51" x14ac:dyDescent="0.25">
      <c r="AE1693" s="75"/>
      <c r="AF1693" s="82"/>
      <c r="AG1693" s="82"/>
      <c r="AH1693" s="82"/>
      <c r="AI1693" s="82"/>
      <c r="AJ1693" s="166"/>
      <c r="AK1693" s="82"/>
      <c r="AL1693" s="162"/>
      <c r="AM1693" s="162"/>
      <c r="AN1693" s="162"/>
      <c r="AO1693" s="162"/>
      <c r="AP1693" s="162"/>
      <c r="AQ1693" s="162"/>
      <c r="AR1693" s="710"/>
      <c r="AV1693" s="82"/>
      <c r="AW1693" s="947"/>
      <c r="AX1693" s="947"/>
      <c r="AY1693" s="947"/>
    </row>
    <row r="1694" spans="31:51" x14ac:dyDescent="0.25">
      <c r="AE1694" s="75"/>
      <c r="AF1694" s="82"/>
      <c r="AG1694" s="82"/>
      <c r="AH1694" s="82"/>
      <c r="AI1694" s="82"/>
      <c r="AJ1694" s="166"/>
      <c r="AK1694" s="82"/>
      <c r="AL1694" s="162"/>
      <c r="AM1694" s="162"/>
      <c r="AN1694" s="162"/>
      <c r="AO1694" s="162"/>
      <c r="AP1694" s="162"/>
      <c r="AQ1694" s="162"/>
      <c r="AR1694" s="710"/>
      <c r="AV1694" s="82"/>
      <c r="AW1694" s="947"/>
      <c r="AX1694" s="947"/>
      <c r="AY1694" s="947"/>
    </row>
    <row r="1695" spans="31:51" x14ac:dyDescent="0.25">
      <c r="AE1695" s="75"/>
      <c r="AF1695" s="82"/>
      <c r="AG1695" s="82"/>
      <c r="AH1695" s="82"/>
      <c r="AI1695" s="82"/>
      <c r="AJ1695" s="166"/>
      <c r="AK1695" s="82"/>
      <c r="AL1695" s="162"/>
      <c r="AM1695" s="162"/>
      <c r="AN1695" s="162"/>
      <c r="AO1695" s="162"/>
      <c r="AP1695" s="162"/>
      <c r="AQ1695" s="162"/>
      <c r="AR1695" s="710"/>
      <c r="AV1695" s="82"/>
      <c r="AW1695" s="947"/>
      <c r="AX1695" s="947"/>
      <c r="AY1695" s="947"/>
    </row>
    <row r="1696" spans="31:51" x14ac:dyDescent="0.25">
      <c r="AE1696" s="75"/>
      <c r="AF1696" s="82"/>
      <c r="AG1696" s="82"/>
      <c r="AH1696" s="82"/>
      <c r="AI1696" s="82"/>
      <c r="AJ1696" s="166"/>
      <c r="AK1696" s="82"/>
      <c r="AL1696" s="162"/>
      <c r="AM1696" s="162"/>
      <c r="AN1696" s="162"/>
      <c r="AO1696" s="162"/>
      <c r="AP1696" s="162"/>
      <c r="AQ1696" s="162"/>
      <c r="AR1696" s="710"/>
      <c r="AV1696" s="82"/>
      <c r="AW1696" s="947"/>
      <c r="AX1696" s="947"/>
      <c r="AY1696" s="947"/>
    </row>
    <row r="1697" spans="31:51" x14ac:dyDescent="0.25">
      <c r="AE1697" s="75"/>
      <c r="AF1697" s="82"/>
      <c r="AG1697" s="82"/>
      <c r="AH1697" s="82"/>
      <c r="AI1697" s="82"/>
      <c r="AJ1697" s="166"/>
      <c r="AK1697" s="82"/>
      <c r="AL1697" s="162"/>
      <c r="AM1697" s="162"/>
      <c r="AN1697" s="162"/>
      <c r="AO1697" s="162"/>
      <c r="AP1697" s="162"/>
      <c r="AQ1697" s="162"/>
      <c r="AR1697" s="710"/>
      <c r="AV1697" s="82"/>
      <c r="AW1697" s="947"/>
      <c r="AX1697" s="947"/>
      <c r="AY1697" s="947"/>
    </row>
    <row r="1698" spans="31:51" x14ac:dyDescent="0.25">
      <c r="AE1698" s="75"/>
      <c r="AF1698" s="82"/>
      <c r="AG1698" s="82"/>
      <c r="AH1698" s="82"/>
      <c r="AI1698" s="82"/>
      <c r="AJ1698" s="166"/>
      <c r="AK1698" s="82"/>
      <c r="AL1698" s="162"/>
      <c r="AM1698" s="162"/>
      <c r="AN1698" s="162"/>
      <c r="AO1698" s="162"/>
      <c r="AP1698" s="162"/>
      <c r="AQ1698" s="162"/>
      <c r="AR1698" s="710"/>
      <c r="AV1698" s="82"/>
      <c r="AW1698" s="947"/>
      <c r="AX1698" s="947"/>
      <c r="AY1698" s="947"/>
    </row>
    <row r="1699" spans="31:51" x14ac:dyDescent="0.25">
      <c r="AE1699" s="75"/>
      <c r="AF1699" s="82"/>
      <c r="AG1699" s="82"/>
      <c r="AH1699" s="82"/>
      <c r="AI1699" s="82"/>
      <c r="AJ1699" s="166"/>
      <c r="AK1699" s="82"/>
      <c r="AL1699" s="162"/>
      <c r="AM1699" s="162"/>
      <c r="AN1699" s="162"/>
      <c r="AO1699" s="162"/>
      <c r="AP1699" s="162"/>
      <c r="AQ1699" s="162"/>
      <c r="AR1699" s="710"/>
      <c r="AV1699" s="82"/>
      <c r="AW1699" s="947"/>
      <c r="AX1699" s="947"/>
      <c r="AY1699" s="947"/>
    </row>
    <row r="1700" spans="31:51" x14ac:dyDescent="0.25">
      <c r="AE1700" s="75"/>
      <c r="AF1700" s="82"/>
      <c r="AG1700" s="82"/>
      <c r="AH1700" s="82"/>
      <c r="AI1700" s="82"/>
      <c r="AJ1700" s="166"/>
      <c r="AK1700" s="82"/>
      <c r="AL1700" s="162"/>
      <c r="AM1700" s="162"/>
      <c r="AN1700" s="162"/>
      <c r="AO1700" s="162"/>
      <c r="AP1700" s="162"/>
      <c r="AQ1700" s="162"/>
      <c r="AR1700" s="710"/>
      <c r="AV1700" s="82"/>
      <c r="AW1700" s="947"/>
      <c r="AX1700" s="947"/>
      <c r="AY1700" s="947"/>
    </row>
    <row r="1701" spans="31:51" x14ac:dyDescent="0.25">
      <c r="AE1701" s="75"/>
      <c r="AF1701" s="82"/>
      <c r="AG1701" s="82"/>
      <c r="AH1701" s="82"/>
      <c r="AI1701" s="82"/>
      <c r="AJ1701" s="166"/>
      <c r="AK1701" s="82"/>
      <c r="AL1701" s="162"/>
      <c r="AM1701" s="162"/>
      <c r="AN1701" s="162"/>
      <c r="AO1701" s="162"/>
      <c r="AP1701" s="162"/>
      <c r="AQ1701" s="162"/>
      <c r="AR1701" s="710"/>
      <c r="AV1701" s="82"/>
      <c r="AW1701" s="947"/>
      <c r="AX1701" s="947"/>
      <c r="AY1701" s="947"/>
    </row>
    <row r="1702" spans="31:51" x14ac:dyDescent="0.25">
      <c r="AE1702" s="75"/>
      <c r="AF1702" s="82"/>
      <c r="AG1702" s="82"/>
      <c r="AH1702" s="82"/>
      <c r="AI1702" s="82"/>
      <c r="AJ1702" s="166"/>
      <c r="AK1702" s="82"/>
      <c r="AL1702" s="162"/>
      <c r="AM1702" s="162"/>
      <c r="AN1702" s="162"/>
      <c r="AO1702" s="162"/>
      <c r="AP1702" s="162"/>
      <c r="AQ1702" s="162"/>
      <c r="AR1702" s="710"/>
      <c r="AV1702" s="82"/>
      <c r="AW1702" s="947"/>
      <c r="AX1702" s="947"/>
      <c r="AY1702" s="947"/>
    </row>
    <row r="1703" spans="31:51" x14ac:dyDescent="0.25">
      <c r="AE1703" s="75"/>
      <c r="AF1703" s="82"/>
      <c r="AG1703" s="82"/>
      <c r="AH1703" s="82"/>
      <c r="AI1703" s="82"/>
      <c r="AJ1703" s="166"/>
      <c r="AK1703" s="82"/>
      <c r="AL1703" s="162"/>
      <c r="AM1703" s="162"/>
      <c r="AN1703" s="162"/>
      <c r="AO1703" s="162"/>
      <c r="AP1703" s="162"/>
      <c r="AQ1703" s="162"/>
      <c r="AR1703" s="710"/>
      <c r="AV1703" s="82"/>
      <c r="AW1703" s="947"/>
      <c r="AX1703" s="947"/>
      <c r="AY1703" s="947"/>
    </row>
    <row r="1704" spans="31:51" x14ac:dyDescent="0.25">
      <c r="AE1704" s="75"/>
      <c r="AF1704" s="82"/>
      <c r="AG1704" s="82"/>
      <c r="AH1704" s="82"/>
      <c r="AI1704" s="82"/>
      <c r="AJ1704" s="166"/>
      <c r="AK1704" s="82"/>
      <c r="AL1704" s="162"/>
      <c r="AM1704" s="162"/>
      <c r="AN1704" s="162"/>
      <c r="AO1704" s="162"/>
      <c r="AP1704" s="162"/>
      <c r="AQ1704" s="162"/>
      <c r="AR1704" s="710"/>
      <c r="AV1704" s="82"/>
      <c r="AW1704" s="947"/>
      <c r="AX1704" s="947"/>
      <c r="AY1704" s="947"/>
    </row>
    <row r="1705" spans="31:51" x14ac:dyDescent="0.25">
      <c r="AE1705" s="75"/>
      <c r="AF1705" s="82"/>
      <c r="AG1705" s="82"/>
      <c r="AH1705" s="82"/>
      <c r="AI1705" s="82"/>
      <c r="AJ1705" s="166"/>
      <c r="AK1705" s="82"/>
      <c r="AL1705" s="162"/>
      <c r="AM1705" s="162"/>
      <c r="AN1705" s="162"/>
      <c r="AO1705" s="162"/>
      <c r="AP1705" s="162"/>
      <c r="AQ1705" s="162"/>
      <c r="AR1705" s="710"/>
      <c r="AV1705" s="82"/>
      <c r="AW1705" s="947"/>
      <c r="AX1705" s="947"/>
      <c r="AY1705" s="947"/>
    </row>
    <row r="1706" spans="31:51" x14ac:dyDescent="0.25">
      <c r="AE1706" s="75"/>
      <c r="AF1706" s="82"/>
      <c r="AG1706" s="82"/>
      <c r="AH1706" s="82"/>
      <c r="AI1706" s="82"/>
      <c r="AJ1706" s="166"/>
      <c r="AK1706" s="82"/>
      <c r="AL1706" s="162"/>
      <c r="AM1706" s="162"/>
      <c r="AN1706" s="162"/>
      <c r="AO1706" s="162"/>
      <c r="AP1706" s="162"/>
      <c r="AQ1706" s="162"/>
      <c r="AR1706" s="710"/>
      <c r="AV1706" s="82"/>
      <c r="AW1706" s="947"/>
      <c r="AX1706" s="947"/>
      <c r="AY1706" s="947"/>
    </row>
    <row r="1707" spans="31:51" x14ac:dyDescent="0.25">
      <c r="AE1707" s="75"/>
      <c r="AF1707" s="82"/>
      <c r="AG1707" s="82"/>
      <c r="AH1707" s="82"/>
      <c r="AI1707" s="82"/>
      <c r="AJ1707" s="166"/>
      <c r="AK1707" s="82"/>
      <c r="AL1707" s="162"/>
      <c r="AM1707" s="162"/>
      <c r="AN1707" s="162"/>
      <c r="AO1707" s="162"/>
      <c r="AP1707" s="162"/>
      <c r="AQ1707" s="162"/>
      <c r="AR1707" s="710"/>
      <c r="AV1707" s="82"/>
      <c r="AW1707" s="947"/>
      <c r="AX1707" s="947"/>
      <c r="AY1707" s="947"/>
    </row>
    <row r="1708" spans="31:51" x14ac:dyDescent="0.25">
      <c r="AE1708" s="75"/>
      <c r="AF1708" s="82"/>
      <c r="AG1708" s="82"/>
      <c r="AH1708" s="82"/>
      <c r="AI1708" s="82"/>
      <c r="AJ1708" s="166"/>
      <c r="AK1708" s="82"/>
      <c r="AL1708" s="162"/>
      <c r="AM1708" s="162"/>
      <c r="AN1708" s="162"/>
      <c r="AO1708" s="162"/>
      <c r="AP1708" s="162"/>
      <c r="AQ1708" s="162"/>
      <c r="AR1708" s="710"/>
      <c r="AV1708" s="82"/>
      <c r="AW1708" s="947"/>
      <c r="AX1708" s="947"/>
      <c r="AY1708" s="947"/>
    </row>
    <row r="1709" spans="31:51" x14ac:dyDescent="0.25">
      <c r="AE1709" s="75"/>
      <c r="AF1709" s="82"/>
      <c r="AG1709" s="82"/>
      <c r="AH1709" s="82"/>
      <c r="AI1709" s="82"/>
      <c r="AJ1709" s="166"/>
      <c r="AK1709" s="82"/>
      <c r="AL1709" s="162"/>
      <c r="AM1709" s="162"/>
      <c r="AN1709" s="162"/>
      <c r="AO1709" s="162"/>
      <c r="AP1709" s="162"/>
      <c r="AQ1709" s="162"/>
      <c r="AR1709" s="710"/>
      <c r="AV1709" s="82"/>
      <c r="AW1709" s="947"/>
      <c r="AX1709" s="947"/>
      <c r="AY1709" s="947"/>
    </row>
    <row r="1710" spans="31:51" x14ac:dyDescent="0.25">
      <c r="AE1710" s="75"/>
      <c r="AF1710" s="82"/>
      <c r="AG1710" s="82"/>
      <c r="AH1710" s="82"/>
      <c r="AI1710" s="82"/>
      <c r="AJ1710" s="166"/>
      <c r="AK1710" s="82"/>
      <c r="AL1710" s="162"/>
      <c r="AM1710" s="162"/>
      <c r="AN1710" s="162"/>
      <c r="AO1710" s="162"/>
      <c r="AP1710" s="162"/>
      <c r="AQ1710" s="162"/>
      <c r="AR1710" s="710"/>
      <c r="AV1710" s="82"/>
      <c r="AW1710" s="947"/>
      <c r="AX1710" s="947"/>
      <c r="AY1710" s="947"/>
    </row>
    <row r="1711" spans="31:51" x14ac:dyDescent="0.25">
      <c r="AE1711" s="75"/>
      <c r="AF1711" s="82"/>
      <c r="AG1711" s="82"/>
      <c r="AH1711" s="82"/>
      <c r="AI1711" s="82"/>
      <c r="AJ1711" s="166"/>
      <c r="AK1711" s="82"/>
      <c r="AL1711" s="162"/>
      <c r="AM1711" s="162"/>
      <c r="AN1711" s="162"/>
      <c r="AO1711" s="162"/>
      <c r="AP1711" s="162"/>
      <c r="AQ1711" s="162"/>
      <c r="AR1711" s="710"/>
      <c r="AV1711" s="82"/>
      <c r="AW1711" s="947"/>
      <c r="AX1711" s="947"/>
      <c r="AY1711" s="947"/>
    </row>
    <row r="1712" spans="31:51" x14ac:dyDescent="0.25">
      <c r="AE1712" s="75"/>
      <c r="AF1712" s="82"/>
      <c r="AG1712" s="82"/>
      <c r="AH1712" s="82"/>
      <c r="AI1712" s="82"/>
      <c r="AJ1712" s="166"/>
      <c r="AK1712" s="82"/>
      <c r="AL1712" s="162"/>
      <c r="AM1712" s="162"/>
      <c r="AN1712" s="162"/>
      <c r="AO1712" s="162"/>
      <c r="AP1712" s="162"/>
      <c r="AQ1712" s="162"/>
      <c r="AR1712" s="710"/>
      <c r="AV1712" s="82"/>
      <c r="AW1712" s="947"/>
      <c r="AX1712" s="947"/>
      <c r="AY1712" s="947"/>
    </row>
    <row r="1713" spans="31:51" x14ac:dyDescent="0.25">
      <c r="AE1713" s="75"/>
      <c r="AF1713" s="82"/>
      <c r="AG1713" s="82"/>
      <c r="AH1713" s="82"/>
      <c r="AI1713" s="82"/>
      <c r="AJ1713" s="166"/>
      <c r="AK1713" s="82"/>
      <c r="AL1713" s="162"/>
      <c r="AM1713" s="162"/>
      <c r="AN1713" s="162"/>
      <c r="AO1713" s="162"/>
      <c r="AP1713" s="162"/>
      <c r="AQ1713" s="162"/>
      <c r="AR1713" s="710"/>
      <c r="AV1713" s="82"/>
      <c r="AW1713" s="947"/>
      <c r="AX1713" s="947"/>
      <c r="AY1713" s="947"/>
    </row>
    <row r="1714" spans="31:51" x14ac:dyDescent="0.25">
      <c r="AE1714" s="75"/>
      <c r="AF1714" s="82"/>
      <c r="AG1714" s="82"/>
      <c r="AH1714" s="82"/>
      <c r="AI1714" s="82"/>
      <c r="AJ1714" s="166"/>
      <c r="AK1714" s="82"/>
      <c r="AL1714" s="162"/>
      <c r="AM1714" s="162"/>
      <c r="AN1714" s="162"/>
      <c r="AO1714" s="162"/>
      <c r="AP1714" s="162"/>
      <c r="AQ1714" s="162"/>
      <c r="AR1714" s="710"/>
      <c r="AV1714" s="82"/>
      <c r="AW1714" s="947"/>
      <c r="AX1714" s="947"/>
      <c r="AY1714" s="947"/>
    </row>
    <row r="1715" spans="31:51" x14ac:dyDescent="0.25">
      <c r="AE1715" s="75"/>
      <c r="AF1715" s="82"/>
      <c r="AG1715" s="82"/>
      <c r="AH1715" s="82"/>
      <c r="AI1715" s="82"/>
      <c r="AJ1715" s="166"/>
      <c r="AK1715" s="82"/>
      <c r="AL1715" s="162"/>
      <c r="AM1715" s="162"/>
      <c r="AN1715" s="162"/>
      <c r="AO1715" s="162"/>
      <c r="AP1715" s="162"/>
      <c r="AQ1715" s="162"/>
      <c r="AR1715" s="710"/>
      <c r="AV1715" s="82"/>
      <c r="AW1715" s="947"/>
      <c r="AX1715" s="947"/>
      <c r="AY1715" s="947"/>
    </row>
    <row r="1716" spans="31:51" x14ac:dyDescent="0.25">
      <c r="AE1716" s="75"/>
      <c r="AF1716" s="82"/>
      <c r="AG1716" s="82"/>
      <c r="AH1716" s="82"/>
      <c r="AI1716" s="82"/>
      <c r="AJ1716" s="166"/>
      <c r="AK1716" s="82"/>
      <c r="AL1716" s="162"/>
      <c r="AM1716" s="162"/>
      <c r="AN1716" s="162"/>
      <c r="AO1716" s="162"/>
      <c r="AP1716" s="162"/>
      <c r="AQ1716" s="162"/>
      <c r="AR1716" s="710"/>
      <c r="AV1716" s="82"/>
      <c r="AW1716" s="947"/>
      <c r="AX1716" s="947"/>
      <c r="AY1716" s="947"/>
    </row>
    <row r="1717" spans="31:51" x14ac:dyDescent="0.25">
      <c r="AE1717" s="75"/>
      <c r="AF1717" s="82"/>
      <c r="AG1717" s="82"/>
      <c r="AH1717" s="82"/>
      <c r="AI1717" s="82"/>
      <c r="AJ1717" s="166"/>
      <c r="AK1717" s="82"/>
      <c r="AL1717" s="162"/>
      <c r="AM1717" s="162"/>
      <c r="AN1717" s="162"/>
      <c r="AO1717" s="162"/>
      <c r="AP1717" s="162"/>
      <c r="AQ1717" s="162"/>
      <c r="AR1717" s="710"/>
      <c r="AV1717" s="82"/>
      <c r="AW1717" s="947"/>
      <c r="AX1717" s="947"/>
      <c r="AY1717" s="947"/>
    </row>
    <row r="1718" spans="31:51" x14ac:dyDescent="0.25">
      <c r="AE1718" s="75"/>
      <c r="AF1718" s="82"/>
      <c r="AG1718" s="82"/>
      <c r="AH1718" s="82"/>
      <c r="AI1718" s="82"/>
      <c r="AJ1718" s="166"/>
      <c r="AK1718" s="82"/>
      <c r="AL1718" s="162"/>
      <c r="AM1718" s="162"/>
      <c r="AN1718" s="162"/>
      <c r="AO1718" s="162"/>
      <c r="AP1718" s="162"/>
      <c r="AQ1718" s="162"/>
      <c r="AR1718" s="710"/>
      <c r="AV1718" s="82"/>
      <c r="AW1718" s="947"/>
      <c r="AX1718" s="947"/>
      <c r="AY1718" s="947"/>
    </row>
    <row r="1719" spans="31:51" x14ac:dyDescent="0.25">
      <c r="AE1719" s="75"/>
      <c r="AF1719" s="82"/>
      <c r="AG1719" s="82"/>
      <c r="AH1719" s="82"/>
      <c r="AI1719" s="82"/>
      <c r="AJ1719" s="166"/>
      <c r="AK1719" s="82"/>
      <c r="AL1719" s="162"/>
      <c r="AM1719" s="162"/>
      <c r="AN1719" s="162"/>
      <c r="AO1719" s="162"/>
      <c r="AP1719" s="162"/>
      <c r="AQ1719" s="162"/>
      <c r="AR1719" s="710"/>
      <c r="AV1719" s="82"/>
      <c r="AW1719" s="947"/>
      <c r="AX1719" s="947"/>
      <c r="AY1719" s="947"/>
    </row>
    <row r="1720" spans="31:51" x14ac:dyDescent="0.25">
      <c r="AE1720" s="75"/>
      <c r="AF1720" s="82"/>
      <c r="AG1720" s="82"/>
      <c r="AH1720" s="82"/>
      <c r="AI1720" s="82"/>
      <c r="AJ1720" s="166"/>
      <c r="AK1720" s="82"/>
      <c r="AL1720" s="162"/>
      <c r="AM1720" s="162"/>
      <c r="AN1720" s="162"/>
      <c r="AO1720" s="162"/>
      <c r="AP1720" s="162"/>
      <c r="AQ1720" s="162"/>
      <c r="AR1720" s="710"/>
      <c r="AV1720" s="82"/>
      <c r="AW1720" s="947"/>
      <c r="AX1720" s="947"/>
      <c r="AY1720" s="947"/>
    </row>
    <row r="1721" spans="31:51" x14ac:dyDescent="0.25">
      <c r="AE1721" s="75"/>
      <c r="AF1721" s="82"/>
      <c r="AG1721" s="82"/>
      <c r="AH1721" s="82"/>
      <c r="AI1721" s="82"/>
      <c r="AJ1721" s="166"/>
      <c r="AK1721" s="82"/>
      <c r="AL1721" s="162"/>
      <c r="AM1721" s="162"/>
      <c r="AN1721" s="162"/>
      <c r="AO1721" s="162"/>
      <c r="AP1721" s="162"/>
      <c r="AQ1721" s="162"/>
      <c r="AR1721" s="710"/>
      <c r="AV1721" s="82"/>
      <c r="AW1721" s="947"/>
      <c r="AX1721" s="947"/>
      <c r="AY1721" s="947"/>
    </row>
    <row r="1722" spans="31:51" x14ac:dyDescent="0.25">
      <c r="AE1722" s="75"/>
      <c r="AF1722" s="82"/>
      <c r="AG1722" s="82"/>
      <c r="AH1722" s="82"/>
      <c r="AI1722" s="82"/>
      <c r="AJ1722" s="166"/>
      <c r="AK1722" s="82"/>
      <c r="AL1722" s="162"/>
      <c r="AM1722" s="162"/>
      <c r="AN1722" s="162"/>
      <c r="AO1722" s="162"/>
      <c r="AP1722" s="162"/>
      <c r="AQ1722" s="162"/>
      <c r="AR1722" s="710"/>
      <c r="AV1722" s="82"/>
      <c r="AW1722" s="947"/>
      <c r="AX1722" s="947"/>
      <c r="AY1722" s="947"/>
    </row>
    <row r="1723" spans="31:51" x14ac:dyDescent="0.25">
      <c r="AE1723" s="75"/>
      <c r="AF1723" s="82"/>
      <c r="AG1723" s="82"/>
      <c r="AH1723" s="82"/>
      <c r="AI1723" s="82"/>
      <c r="AJ1723" s="166"/>
      <c r="AK1723" s="82"/>
      <c r="AL1723" s="162"/>
      <c r="AM1723" s="162"/>
      <c r="AN1723" s="162"/>
      <c r="AO1723" s="162"/>
      <c r="AP1723" s="162"/>
      <c r="AQ1723" s="162"/>
      <c r="AR1723" s="710"/>
      <c r="AV1723" s="82"/>
      <c r="AW1723" s="947"/>
      <c r="AX1723" s="947"/>
      <c r="AY1723" s="947"/>
    </row>
    <row r="1724" spans="31:51" x14ac:dyDescent="0.25">
      <c r="AE1724" s="75"/>
      <c r="AF1724" s="82"/>
      <c r="AG1724" s="82"/>
      <c r="AH1724" s="82"/>
      <c r="AI1724" s="82"/>
      <c r="AJ1724" s="166"/>
      <c r="AK1724" s="82"/>
      <c r="AL1724" s="162"/>
      <c r="AM1724" s="162"/>
      <c r="AN1724" s="162"/>
      <c r="AO1724" s="162"/>
      <c r="AP1724" s="162"/>
      <c r="AQ1724" s="162"/>
      <c r="AR1724" s="710"/>
      <c r="AV1724" s="82"/>
      <c r="AW1724" s="947"/>
      <c r="AX1724" s="947"/>
      <c r="AY1724" s="947"/>
    </row>
    <row r="1725" spans="31:51" x14ac:dyDescent="0.25">
      <c r="AE1725" s="75"/>
      <c r="AF1725" s="82"/>
      <c r="AG1725" s="82"/>
      <c r="AH1725" s="82"/>
      <c r="AI1725" s="82"/>
      <c r="AJ1725" s="166"/>
      <c r="AK1725" s="82"/>
      <c r="AL1725" s="162"/>
      <c r="AM1725" s="162"/>
      <c r="AN1725" s="162"/>
      <c r="AO1725" s="162"/>
      <c r="AP1725" s="162"/>
      <c r="AQ1725" s="162"/>
      <c r="AR1725" s="710"/>
      <c r="AV1725" s="82"/>
      <c r="AW1725" s="947"/>
      <c r="AX1725" s="947"/>
      <c r="AY1725" s="947"/>
    </row>
    <row r="1726" spans="31:51" x14ac:dyDescent="0.25">
      <c r="AE1726" s="75"/>
      <c r="AF1726" s="82"/>
      <c r="AG1726" s="82"/>
      <c r="AH1726" s="82"/>
      <c r="AI1726" s="82"/>
      <c r="AJ1726" s="166"/>
      <c r="AK1726" s="82"/>
      <c r="AL1726" s="162"/>
      <c r="AM1726" s="162"/>
      <c r="AN1726" s="162"/>
      <c r="AO1726" s="162"/>
      <c r="AP1726" s="162"/>
      <c r="AQ1726" s="162"/>
      <c r="AR1726" s="710"/>
      <c r="AV1726" s="82"/>
      <c r="AW1726" s="947"/>
      <c r="AX1726" s="947"/>
      <c r="AY1726" s="947"/>
    </row>
    <row r="1727" spans="31:51" x14ac:dyDescent="0.25">
      <c r="AE1727" s="75"/>
      <c r="AF1727" s="82"/>
      <c r="AG1727" s="82"/>
      <c r="AH1727" s="82"/>
      <c r="AI1727" s="82"/>
      <c r="AJ1727" s="166"/>
      <c r="AK1727" s="82"/>
      <c r="AL1727" s="162"/>
      <c r="AM1727" s="162"/>
      <c r="AN1727" s="162"/>
      <c r="AO1727" s="162"/>
      <c r="AP1727" s="162"/>
      <c r="AQ1727" s="162"/>
      <c r="AR1727" s="710"/>
      <c r="AV1727" s="82"/>
      <c r="AW1727" s="947"/>
      <c r="AX1727" s="947"/>
      <c r="AY1727" s="947"/>
    </row>
    <row r="1728" spans="31:51" x14ac:dyDescent="0.25">
      <c r="AE1728" s="75"/>
      <c r="AF1728" s="82"/>
      <c r="AG1728" s="82"/>
      <c r="AH1728" s="82"/>
      <c r="AI1728" s="82"/>
      <c r="AJ1728" s="166"/>
      <c r="AK1728" s="82"/>
      <c r="AL1728" s="162"/>
      <c r="AM1728" s="162"/>
      <c r="AN1728" s="162"/>
      <c r="AO1728" s="162"/>
      <c r="AP1728" s="162"/>
      <c r="AQ1728" s="162"/>
      <c r="AR1728" s="710"/>
      <c r="AV1728" s="82"/>
      <c r="AW1728" s="947"/>
      <c r="AX1728" s="947"/>
      <c r="AY1728" s="947"/>
    </row>
    <row r="1729" spans="31:51" x14ac:dyDescent="0.25">
      <c r="AE1729" s="75"/>
      <c r="AF1729" s="82"/>
      <c r="AG1729" s="82"/>
      <c r="AH1729" s="82"/>
      <c r="AI1729" s="82"/>
      <c r="AJ1729" s="166"/>
      <c r="AK1729" s="82"/>
      <c r="AL1729" s="162"/>
      <c r="AM1729" s="162"/>
      <c r="AN1729" s="162"/>
      <c r="AO1729" s="162"/>
      <c r="AP1729" s="162"/>
      <c r="AQ1729" s="162"/>
      <c r="AR1729" s="710"/>
      <c r="AV1729" s="82"/>
      <c r="AW1729" s="947"/>
      <c r="AX1729" s="947"/>
      <c r="AY1729" s="947"/>
    </row>
    <row r="1730" spans="31:51" x14ac:dyDescent="0.25">
      <c r="AE1730" s="75"/>
      <c r="AF1730" s="82"/>
      <c r="AG1730" s="82"/>
      <c r="AH1730" s="82"/>
      <c r="AI1730" s="82"/>
      <c r="AJ1730" s="166"/>
      <c r="AK1730" s="82"/>
      <c r="AL1730" s="162"/>
      <c r="AM1730" s="162"/>
      <c r="AN1730" s="162"/>
      <c r="AO1730" s="162"/>
      <c r="AP1730" s="162"/>
      <c r="AQ1730" s="162"/>
      <c r="AR1730" s="710"/>
      <c r="AV1730" s="82"/>
      <c r="AW1730" s="947"/>
      <c r="AX1730" s="947"/>
      <c r="AY1730" s="947"/>
    </row>
    <row r="1731" spans="31:51" x14ac:dyDescent="0.25">
      <c r="AE1731" s="75"/>
      <c r="AF1731" s="82"/>
      <c r="AG1731" s="82"/>
      <c r="AH1731" s="82"/>
      <c r="AI1731" s="82"/>
      <c r="AJ1731" s="166"/>
      <c r="AK1731" s="82"/>
      <c r="AL1731" s="162"/>
      <c r="AM1731" s="162"/>
      <c r="AN1731" s="162"/>
      <c r="AO1731" s="162"/>
      <c r="AP1731" s="162"/>
      <c r="AQ1731" s="162"/>
      <c r="AR1731" s="710"/>
      <c r="AV1731" s="82"/>
      <c r="AW1731" s="947"/>
      <c r="AX1731" s="947"/>
      <c r="AY1731" s="947"/>
    </row>
    <row r="1732" spans="31:51" x14ac:dyDescent="0.25">
      <c r="AE1732" s="75"/>
      <c r="AF1732" s="82"/>
      <c r="AG1732" s="82"/>
      <c r="AH1732" s="82"/>
      <c r="AI1732" s="82"/>
      <c r="AJ1732" s="166"/>
      <c r="AK1732" s="82"/>
      <c r="AL1732" s="162"/>
      <c r="AM1732" s="162"/>
      <c r="AN1732" s="162"/>
      <c r="AO1732" s="162"/>
      <c r="AP1732" s="162"/>
      <c r="AQ1732" s="162"/>
      <c r="AR1732" s="710"/>
      <c r="AV1732" s="82"/>
      <c r="AW1732" s="947"/>
      <c r="AX1732" s="947"/>
      <c r="AY1732" s="947"/>
    </row>
    <row r="1733" spans="31:51" x14ac:dyDescent="0.25">
      <c r="AE1733" s="75"/>
      <c r="AF1733" s="82"/>
      <c r="AG1733" s="82"/>
      <c r="AH1733" s="82"/>
      <c r="AI1733" s="82"/>
      <c r="AJ1733" s="166"/>
      <c r="AK1733" s="82"/>
      <c r="AL1733" s="162"/>
      <c r="AM1733" s="162"/>
      <c r="AN1733" s="162"/>
      <c r="AO1733" s="162"/>
      <c r="AP1733" s="162"/>
      <c r="AQ1733" s="162"/>
      <c r="AR1733" s="710"/>
      <c r="AV1733" s="82"/>
      <c r="AW1733" s="947"/>
      <c r="AX1733" s="947"/>
      <c r="AY1733" s="947"/>
    </row>
    <row r="1734" spans="31:51" x14ac:dyDescent="0.25">
      <c r="AE1734" s="75"/>
      <c r="AF1734" s="82"/>
      <c r="AG1734" s="82"/>
      <c r="AH1734" s="82"/>
      <c r="AI1734" s="82"/>
      <c r="AJ1734" s="166"/>
      <c r="AK1734" s="82"/>
      <c r="AL1734" s="162"/>
      <c r="AM1734" s="162"/>
      <c r="AN1734" s="162"/>
      <c r="AO1734" s="162"/>
      <c r="AP1734" s="162"/>
      <c r="AQ1734" s="162"/>
      <c r="AR1734" s="710"/>
      <c r="AV1734" s="82"/>
      <c r="AW1734" s="947"/>
      <c r="AX1734" s="947"/>
      <c r="AY1734" s="947"/>
    </row>
    <row r="1735" spans="31:51" x14ac:dyDescent="0.25">
      <c r="AE1735" s="75"/>
      <c r="AF1735" s="82"/>
      <c r="AG1735" s="82"/>
      <c r="AH1735" s="82"/>
      <c r="AI1735" s="82"/>
      <c r="AJ1735" s="166"/>
      <c r="AK1735" s="82"/>
      <c r="AL1735" s="162"/>
      <c r="AM1735" s="162"/>
      <c r="AN1735" s="162"/>
      <c r="AO1735" s="162"/>
      <c r="AP1735" s="162"/>
      <c r="AQ1735" s="162"/>
      <c r="AR1735" s="710"/>
      <c r="AV1735" s="82"/>
      <c r="AW1735" s="947"/>
      <c r="AX1735" s="947"/>
      <c r="AY1735" s="947"/>
    </row>
    <row r="1736" spans="31:51" x14ac:dyDescent="0.25">
      <c r="AE1736" s="75"/>
      <c r="AF1736" s="82"/>
      <c r="AG1736" s="82"/>
      <c r="AH1736" s="82"/>
      <c r="AI1736" s="82"/>
      <c r="AJ1736" s="166"/>
      <c r="AK1736" s="82"/>
      <c r="AL1736" s="162"/>
      <c r="AM1736" s="162"/>
      <c r="AN1736" s="162"/>
      <c r="AO1736" s="162"/>
      <c r="AP1736" s="162"/>
      <c r="AQ1736" s="162"/>
      <c r="AR1736" s="710"/>
      <c r="AV1736" s="82"/>
      <c r="AW1736" s="947"/>
      <c r="AX1736" s="947"/>
      <c r="AY1736" s="947"/>
    </row>
    <row r="1737" spans="31:51" x14ac:dyDescent="0.25">
      <c r="AE1737" s="75"/>
      <c r="AF1737" s="82"/>
      <c r="AG1737" s="82"/>
      <c r="AH1737" s="82"/>
      <c r="AI1737" s="82"/>
      <c r="AJ1737" s="166"/>
      <c r="AK1737" s="82"/>
      <c r="AL1737" s="162"/>
      <c r="AM1737" s="162"/>
      <c r="AN1737" s="162"/>
      <c r="AO1737" s="162"/>
      <c r="AP1737" s="162"/>
      <c r="AQ1737" s="162"/>
      <c r="AR1737" s="710"/>
      <c r="AV1737" s="82"/>
      <c r="AW1737" s="947"/>
      <c r="AX1737" s="947"/>
      <c r="AY1737" s="947"/>
    </row>
    <row r="1738" spans="31:51" x14ac:dyDescent="0.25">
      <c r="AE1738" s="75"/>
      <c r="AF1738" s="82"/>
      <c r="AG1738" s="82"/>
      <c r="AH1738" s="82"/>
      <c r="AI1738" s="82"/>
      <c r="AJ1738" s="166"/>
      <c r="AK1738" s="82"/>
      <c r="AL1738" s="162"/>
      <c r="AM1738" s="162"/>
      <c r="AN1738" s="162"/>
      <c r="AO1738" s="162"/>
      <c r="AP1738" s="162"/>
      <c r="AQ1738" s="162"/>
      <c r="AR1738" s="710"/>
      <c r="AV1738" s="82"/>
      <c r="AW1738" s="947"/>
      <c r="AX1738" s="947"/>
      <c r="AY1738" s="947"/>
    </row>
    <row r="1739" spans="31:51" x14ac:dyDescent="0.25">
      <c r="AE1739" s="75"/>
      <c r="AF1739" s="82"/>
      <c r="AG1739" s="82"/>
      <c r="AH1739" s="82"/>
      <c r="AI1739" s="82"/>
      <c r="AJ1739" s="166"/>
      <c r="AK1739" s="82"/>
      <c r="AL1739" s="162"/>
      <c r="AM1739" s="162"/>
      <c r="AN1739" s="162"/>
      <c r="AO1739" s="162"/>
      <c r="AP1739" s="162"/>
      <c r="AQ1739" s="162"/>
      <c r="AR1739" s="710"/>
      <c r="AV1739" s="82"/>
      <c r="AW1739" s="947"/>
      <c r="AX1739" s="947"/>
      <c r="AY1739" s="947"/>
    </row>
    <row r="1740" spans="31:51" x14ac:dyDescent="0.25">
      <c r="AE1740" s="75"/>
      <c r="AF1740" s="82"/>
      <c r="AG1740" s="82"/>
      <c r="AH1740" s="82"/>
      <c r="AI1740" s="82"/>
      <c r="AJ1740" s="166"/>
      <c r="AK1740" s="82"/>
      <c r="AL1740" s="162"/>
      <c r="AM1740" s="162"/>
      <c r="AN1740" s="162"/>
      <c r="AO1740" s="162"/>
      <c r="AP1740" s="162"/>
      <c r="AQ1740" s="162"/>
      <c r="AR1740" s="710"/>
      <c r="AV1740" s="82"/>
      <c r="AW1740" s="947"/>
      <c r="AX1740" s="947"/>
      <c r="AY1740" s="947"/>
    </row>
    <row r="1741" spans="31:51" x14ac:dyDescent="0.25">
      <c r="AE1741" s="75"/>
      <c r="AF1741" s="82"/>
      <c r="AG1741" s="82"/>
      <c r="AH1741" s="82"/>
      <c r="AI1741" s="82"/>
      <c r="AJ1741" s="166"/>
      <c r="AK1741" s="82"/>
      <c r="AL1741" s="162"/>
      <c r="AM1741" s="162"/>
      <c r="AN1741" s="162"/>
      <c r="AO1741" s="162"/>
      <c r="AP1741" s="162"/>
      <c r="AQ1741" s="162"/>
      <c r="AR1741" s="710"/>
      <c r="AV1741" s="82"/>
      <c r="AW1741" s="947"/>
      <c r="AX1741" s="947"/>
      <c r="AY1741" s="947"/>
    </row>
    <row r="1742" spans="31:51" x14ac:dyDescent="0.25">
      <c r="AE1742" s="75"/>
      <c r="AF1742" s="82"/>
      <c r="AG1742" s="82"/>
      <c r="AH1742" s="82"/>
      <c r="AI1742" s="82"/>
      <c r="AJ1742" s="166"/>
      <c r="AK1742" s="82"/>
      <c r="AL1742" s="162"/>
      <c r="AM1742" s="162"/>
      <c r="AN1742" s="162"/>
      <c r="AO1742" s="162"/>
      <c r="AP1742" s="162"/>
      <c r="AQ1742" s="162"/>
      <c r="AR1742" s="710"/>
      <c r="AV1742" s="82"/>
      <c r="AW1742" s="947"/>
      <c r="AX1742" s="947"/>
      <c r="AY1742" s="947"/>
    </row>
    <row r="1743" spans="31:51" x14ac:dyDescent="0.25">
      <c r="AE1743" s="75"/>
      <c r="AF1743" s="82"/>
      <c r="AG1743" s="82"/>
      <c r="AH1743" s="82"/>
      <c r="AI1743" s="82"/>
      <c r="AJ1743" s="166"/>
      <c r="AK1743" s="82"/>
      <c r="AL1743" s="162"/>
      <c r="AM1743" s="162"/>
      <c r="AN1743" s="162"/>
      <c r="AO1743" s="162"/>
      <c r="AP1743" s="162"/>
      <c r="AQ1743" s="162"/>
      <c r="AR1743" s="710"/>
      <c r="AV1743" s="82"/>
      <c r="AW1743" s="947"/>
      <c r="AX1743" s="947"/>
      <c r="AY1743" s="947"/>
    </row>
    <row r="1744" spans="31:51" x14ac:dyDescent="0.25">
      <c r="AE1744" s="75"/>
      <c r="AF1744" s="82"/>
      <c r="AG1744" s="82"/>
      <c r="AH1744" s="82"/>
      <c r="AI1744" s="82"/>
      <c r="AJ1744" s="166"/>
      <c r="AK1744" s="82"/>
      <c r="AL1744" s="162"/>
      <c r="AM1744" s="162"/>
      <c r="AN1744" s="162"/>
      <c r="AO1744" s="162"/>
      <c r="AP1744" s="162"/>
      <c r="AQ1744" s="162"/>
      <c r="AR1744" s="710"/>
      <c r="AV1744" s="82"/>
      <c r="AW1744" s="947"/>
      <c r="AX1744" s="947"/>
      <c r="AY1744" s="947"/>
    </row>
    <row r="1745" spans="31:51" x14ac:dyDescent="0.25">
      <c r="AE1745" s="75"/>
      <c r="AF1745" s="82"/>
      <c r="AG1745" s="82"/>
      <c r="AH1745" s="82"/>
      <c r="AI1745" s="82"/>
      <c r="AJ1745" s="166"/>
      <c r="AK1745" s="82"/>
      <c r="AL1745" s="162"/>
      <c r="AM1745" s="162"/>
      <c r="AN1745" s="162"/>
      <c r="AO1745" s="162"/>
      <c r="AP1745" s="162"/>
      <c r="AQ1745" s="162"/>
      <c r="AR1745" s="710"/>
      <c r="AV1745" s="82"/>
      <c r="AW1745" s="947"/>
      <c r="AX1745" s="947"/>
      <c r="AY1745" s="947"/>
    </row>
    <row r="1746" spans="31:51" x14ac:dyDescent="0.25">
      <c r="AE1746" s="75"/>
      <c r="AF1746" s="82"/>
      <c r="AG1746" s="82"/>
      <c r="AH1746" s="82"/>
      <c r="AI1746" s="82"/>
      <c r="AJ1746" s="166"/>
      <c r="AK1746" s="82"/>
      <c r="AL1746" s="162"/>
      <c r="AM1746" s="162"/>
      <c r="AN1746" s="162"/>
      <c r="AO1746" s="162"/>
      <c r="AP1746" s="162"/>
      <c r="AQ1746" s="162"/>
      <c r="AR1746" s="710"/>
      <c r="AV1746" s="82"/>
      <c r="AW1746" s="947"/>
      <c r="AX1746" s="947"/>
      <c r="AY1746" s="947"/>
    </row>
    <row r="1747" spans="31:51" x14ac:dyDescent="0.25">
      <c r="AE1747" s="75"/>
      <c r="AF1747" s="82"/>
      <c r="AG1747" s="82"/>
      <c r="AH1747" s="82"/>
      <c r="AI1747" s="82"/>
      <c r="AJ1747" s="166"/>
      <c r="AK1747" s="82"/>
      <c r="AL1747" s="162"/>
      <c r="AM1747" s="162"/>
      <c r="AN1747" s="162"/>
      <c r="AO1747" s="162"/>
      <c r="AP1747" s="162"/>
      <c r="AQ1747" s="162"/>
      <c r="AR1747" s="710"/>
      <c r="AV1747" s="82"/>
      <c r="AW1747" s="947"/>
      <c r="AX1747" s="947"/>
      <c r="AY1747" s="947"/>
    </row>
    <row r="1748" spans="31:51" x14ac:dyDescent="0.25">
      <c r="AE1748" s="75"/>
      <c r="AF1748" s="82"/>
      <c r="AG1748" s="82"/>
      <c r="AH1748" s="82"/>
      <c r="AI1748" s="82"/>
      <c r="AJ1748" s="166"/>
      <c r="AK1748" s="82"/>
      <c r="AL1748" s="162"/>
      <c r="AM1748" s="162"/>
      <c r="AN1748" s="162"/>
      <c r="AO1748" s="162"/>
      <c r="AP1748" s="162"/>
      <c r="AQ1748" s="162"/>
      <c r="AR1748" s="710"/>
      <c r="AV1748" s="82"/>
      <c r="AW1748" s="947"/>
      <c r="AX1748" s="947"/>
      <c r="AY1748" s="947"/>
    </row>
    <row r="1749" spans="31:51" x14ac:dyDescent="0.25">
      <c r="AE1749" s="75"/>
      <c r="AF1749" s="82"/>
      <c r="AG1749" s="82"/>
      <c r="AH1749" s="82"/>
      <c r="AI1749" s="82"/>
      <c r="AJ1749" s="166"/>
      <c r="AK1749" s="82"/>
      <c r="AL1749" s="162"/>
      <c r="AM1749" s="162"/>
      <c r="AN1749" s="162"/>
      <c r="AO1749" s="162"/>
      <c r="AP1749" s="162"/>
      <c r="AQ1749" s="162"/>
      <c r="AR1749" s="710"/>
      <c r="AV1749" s="82"/>
      <c r="AW1749" s="947"/>
      <c r="AX1749" s="947"/>
      <c r="AY1749" s="947"/>
    </row>
    <row r="1750" spans="31:51" x14ac:dyDescent="0.25">
      <c r="AE1750" s="75"/>
      <c r="AF1750" s="82"/>
      <c r="AG1750" s="82"/>
      <c r="AH1750" s="82"/>
      <c r="AI1750" s="82"/>
      <c r="AJ1750" s="166"/>
      <c r="AK1750" s="82"/>
      <c r="AL1750" s="162"/>
      <c r="AM1750" s="162"/>
      <c r="AN1750" s="162"/>
      <c r="AO1750" s="162"/>
      <c r="AP1750" s="162"/>
      <c r="AQ1750" s="162"/>
      <c r="AR1750" s="710"/>
      <c r="AV1750" s="82"/>
      <c r="AW1750" s="947"/>
      <c r="AX1750" s="947"/>
      <c r="AY1750" s="947"/>
    </row>
    <row r="1751" spans="31:51" x14ac:dyDescent="0.25">
      <c r="AE1751" s="75"/>
      <c r="AF1751" s="82"/>
      <c r="AG1751" s="82"/>
      <c r="AH1751" s="82"/>
      <c r="AI1751" s="82"/>
      <c r="AJ1751" s="166"/>
      <c r="AK1751" s="82"/>
      <c r="AL1751" s="162"/>
      <c r="AM1751" s="162"/>
      <c r="AN1751" s="162"/>
      <c r="AO1751" s="162"/>
      <c r="AP1751" s="162"/>
      <c r="AQ1751" s="162"/>
      <c r="AR1751" s="710"/>
      <c r="AV1751" s="82"/>
      <c r="AW1751" s="947"/>
      <c r="AX1751" s="947"/>
      <c r="AY1751" s="947"/>
    </row>
    <row r="1752" spans="31:51" x14ac:dyDescent="0.25">
      <c r="AE1752" s="75"/>
      <c r="AF1752" s="82"/>
      <c r="AG1752" s="82"/>
      <c r="AH1752" s="82"/>
      <c r="AI1752" s="82"/>
      <c r="AJ1752" s="166"/>
      <c r="AK1752" s="82"/>
      <c r="AL1752" s="162"/>
      <c r="AM1752" s="162"/>
      <c r="AN1752" s="162"/>
      <c r="AO1752" s="162"/>
      <c r="AP1752" s="162"/>
      <c r="AQ1752" s="162"/>
      <c r="AR1752" s="710"/>
      <c r="AV1752" s="82"/>
      <c r="AW1752" s="947"/>
      <c r="AX1752" s="947"/>
      <c r="AY1752" s="947"/>
    </row>
    <row r="1753" spans="31:51" x14ac:dyDescent="0.25">
      <c r="AE1753" s="75"/>
      <c r="AF1753" s="82"/>
      <c r="AG1753" s="82"/>
      <c r="AH1753" s="82"/>
      <c r="AI1753" s="82"/>
      <c r="AJ1753" s="166"/>
      <c r="AK1753" s="82"/>
      <c r="AL1753" s="162"/>
      <c r="AM1753" s="162"/>
      <c r="AN1753" s="162"/>
      <c r="AO1753" s="162"/>
      <c r="AP1753" s="162"/>
      <c r="AQ1753" s="162"/>
      <c r="AR1753" s="710"/>
      <c r="AV1753" s="82"/>
      <c r="AW1753" s="947"/>
      <c r="AX1753" s="947"/>
      <c r="AY1753" s="947"/>
    </row>
    <row r="1754" spans="31:51" x14ac:dyDescent="0.25">
      <c r="AE1754" s="75"/>
      <c r="AF1754" s="82"/>
      <c r="AG1754" s="82"/>
      <c r="AH1754" s="82"/>
      <c r="AI1754" s="82"/>
      <c r="AJ1754" s="166"/>
      <c r="AK1754" s="82"/>
      <c r="AL1754" s="162"/>
      <c r="AM1754" s="162"/>
      <c r="AN1754" s="162"/>
      <c r="AO1754" s="162"/>
      <c r="AP1754" s="162"/>
      <c r="AQ1754" s="162"/>
      <c r="AR1754" s="710"/>
      <c r="AV1754" s="82"/>
      <c r="AW1754" s="947"/>
      <c r="AX1754" s="947"/>
      <c r="AY1754" s="947"/>
    </row>
    <row r="1755" spans="31:51" x14ac:dyDescent="0.25">
      <c r="AE1755" s="75"/>
      <c r="AF1755" s="82"/>
      <c r="AG1755" s="82"/>
      <c r="AH1755" s="82"/>
      <c r="AI1755" s="82"/>
      <c r="AJ1755" s="166"/>
      <c r="AK1755" s="82"/>
      <c r="AL1755" s="162"/>
      <c r="AM1755" s="162"/>
      <c r="AN1755" s="162"/>
      <c r="AO1755" s="162"/>
      <c r="AP1755" s="162"/>
      <c r="AQ1755" s="162"/>
      <c r="AR1755" s="710"/>
      <c r="AV1755" s="82"/>
      <c r="AW1755" s="947"/>
      <c r="AX1755" s="947"/>
      <c r="AY1755" s="947"/>
    </row>
    <row r="1756" spans="31:51" x14ac:dyDescent="0.25">
      <c r="AE1756" s="75"/>
      <c r="AF1756" s="82"/>
      <c r="AG1756" s="82"/>
      <c r="AH1756" s="82"/>
      <c r="AI1756" s="82"/>
      <c r="AJ1756" s="166"/>
      <c r="AK1756" s="82"/>
      <c r="AL1756" s="162"/>
      <c r="AM1756" s="162"/>
      <c r="AN1756" s="162"/>
      <c r="AO1756" s="162"/>
      <c r="AP1756" s="162"/>
      <c r="AQ1756" s="162"/>
      <c r="AR1756" s="710"/>
      <c r="AV1756" s="82"/>
      <c r="AW1756" s="947"/>
      <c r="AX1756" s="947"/>
      <c r="AY1756" s="947"/>
    </row>
    <row r="1757" spans="31:51" x14ac:dyDescent="0.25">
      <c r="AE1757" s="75"/>
      <c r="AF1757" s="82"/>
      <c r="AG1757" s="82"/>
      <c r="AH1757" s="82"/>
      <c r="AI1757" s="82"/>
      <c r="AJ1757" s="166"/>
      <c r="AK1757" s="82"/>
      <c r="AL1757" s="162"/>
      <c r="AM1757" s="162"/>
      <c r="AN1757" s="162"/>
      <c r="AO1757" s="162"/>
      <c r="AP1757" s="162"/>
      <c r="AQ1757" s="162"/>
      <c r="AR1757" s="710"/>
      <c r="AV1757" s="82"/>
      <c r="AW1757" s="947"/>
      <c r="AX1757" s="947"/>
      <c r="AY1757" s="947"/>
    </row>
    <row r="1758" spans="31:51" x14ac:dyDescent="0.25">
      <c r="AE1758" s="75"/>
      <c r="AF1758" s="82"/>
      <c r="AG1758" s="82"/>
      <c r="AH1758" s="82"/>
      <c r="AI1758" s="82"/>
      <c r="AJ1758" s="166"/>
      <c r="AK1758" s="82"/>
      <c r="AL1758" s="162"/>
      <c r="AM1758" s="162"/>
      <c r="AN1758" s="162"/>
      <c r="AO1758" s="162"/>
      <c r="AP1758" s="162"/>
      <c r="AQ1758" s="162"/>
      <c r="AR1758" s="710"/>
      <c r="AV1758" s="82"/>
      <c r="AW1758" s="947"/>
      <c r="AX1758" s="947"/>
      <c r="AY1758" s="947"/>
    </row>
    <row r="1759" spans="31:51" x14ac:dyDescent="0.25">
      <c r="AE1759" s="75"/>
      <c r="AF1759" s="82"/>
      <c r="AG1759" s="82"/>
      <c r="AH1759" s="82"/>
      <c r="AI1759" s="82"/>
      <c r="AJ1759" s="166"/>
      <c r="AK1759" s="82"/>
      <c r="AL1759" s="162"/>
      <c r="AM1759" s="162"/>
      <c r="AN1759" s="162"/>
      <c r="AO1759" s="162"/>
      <c r="AP1759" s="162"/>
      <c r="AQ1759" s="162"/>
      <c r="AR1759" s="710"/>
      <c r="AV1759" s="82"/>
      <c r="AW1759" s="947"/>
      <c r="AX1759" s="947"/>
      <c r="AY1759" s="947"/>
    </row>
    <row r="1760" spans="31:51" x14ac:dyDescent="0.25">
      <c r="AE1760" s="75"/>
      <c r="AF1760" s="82"/>
      <c r="AG1760" s="82"/>
      <c r="AH1760" s="82"/>
      <c r="AI1760" s="82"/>
      <c r="AJ1760" s="166"/>
      <c r="AK1760" s="82"/>
      <c r="AL1760" s="162"/>
      <c r="AM1760" s="162"/>
      <c r="AN1760" s="162"/>
      <c r="AO1760" s="162"/>
      <c r="AP1760" s="162"/>
      <c r="AQ1760" s="162"/>
      <c r="AR1760" s="710"/>
      <c r="AV1760" s="82"/>
      <c r="AW1760" s="947"/>
      <c r="AX1760" s="947"/>
      <c r="AY1760" s="947"/>
    </row>
    <row r="1761" spans="31:51" x14ac:dyDescent="0.25">
      <c r="AE1761" s="75"/>
      <c r="AF1761" s="82"/>
      <c r="AG1761" s="82"/>
      <c r="AH1761" s="82"/>
      <c r="AI1761" s="82"/>
      <c r="AJ1761" s="166"/>
      <c r="AK1761" s="82"/>
      <c r="AL1761" s="162"/>
      <c r="AM1761" s="162"/>
      <c r="AN1761" s="162"/>
      <c r="AO1761" s="162"/>
      <c r="AP1761" s="162"/>
      <c r="AQ1761" s="162"/>
      <c r="AR1761" s="710"/>
      <c r="AV1761" s="82"/>
      <c r="AW1761" s="947"/>
      <c r="AX1761" s="947"/>
      <c r="AY1761" s="947"/>
    </row>
    <row r="1762" spans="31:51" x14ac:dyDescent="0.25">
      <c r="AE1762" s="75"/>
      <c r="AF1762" s="82"/>
      <c r="AG1762" s="82"/>
      <c r="AH1762" s="82"/>
      <c r="AI1762" s="82"/>
      <c r="AJ1762" s="166"/>
      <c r="AK1762" s="82"/>
      <c r="AL1762" s="162"/>
      <c r="AM1762" s="162"/>
      <c r="AN1762" s="162"/>
      <c r="AO1762" s="162"/>
      <c r="AP1762" s="162"/>
      <c r="AQ1762" s="162"/>
      <c r="AR1762" s="710"/>
      <c r="AV1762" s="82"/>
      <c r="AW1762" s="947"/>
      <c r="AX1762" s="947"/>
      <c r="AY1762" s="947"/>
    </row>
    <row r="1763" spans="31:51" x14ac:dyDescent="0.25">
      <c r="AE1763" s="75"/>
      <c r="AF1763" s="82"/>
      <c r="AG1763" s="82"/>
      <c r="AH1763" s="82"/>
      <c r="AI1763" s="82"/>
      <c r="AJ1763" s="166"/>
      <c r="AK1763" s="82"/>
      <c r="AL1763" s="162"/>
      <c r="AM1763" s="162"/>
      <c r="AN1763" s="162"/>
      <c r="AO1763" s="162"/>
      <c r="AP1763" s="162"/>
      <c r="AQ1763" s="162"/>
      <c r="AR1763" s="710"/>
      <c r="AV1763" s="82"/>
      <c r="AW1763" s="947"/>
      <c r="AX1763" s="947"/>
      <c r="AY1763" s="947"/>
    </row>
    <row r="1764" spans="31:51" x14ac:dyDescent="0.25">
      <c r="AE1764" s="75"/>
      <c r="AF1764" s="82"/>
      <c r="AG1764" s="82"/>
      <c r="AH1764" s="82"/>
      <c r="AI1764" s="82"/>
      <c r="AJ1764" s="166"/>
      <c r="AK1764" s="82"/>
      <c r="AL1764" s="162"/>
      <c r="AM1764" s="162"/>
      <c r="AN1764" s="162"/>
      <c r="AO1764" s="162"/>
      <c r="AP1764" s="162"/>
      <c r="AQ1764" s="162"/>
      <c r="AR1764" s="710"/>
      <c r="AV1764" s="82"/>
      <c r="AW1764" s="947"/>
      <c r="AX1764" s="947"/>
      <c r="AY1764" s="947"/>
    </row>
    <row r="1765" spans="31:51" x14ac:dyDescent="0.25">
      <c r="AE1765" s="75"/>
      <c r="AF1765" s="82"/>
      <c r="AG1765" s="82"/>
      <c r="AH1765" s="82"/>
      <c r="AI1765" s="82"/>
      <c r="AJ1765" s="166"/>
      <c r="AK1765" s="82"/>
      <c r="AL1765" s="162"/>
      <c r="AM1765" s="162"/>
      <c r="AN1765" s="162"/>
      <c r="AO1765" s="162"/>
      <c r="AP1765" s="162"/>
      <c r="AQ1765" s="162"/>
      <c r="AR1765" s="710"/>
      <c r="AV1765" s="82"/>
      <c r="AW1765" s="947"/>
      <c r="AX1765" s="947"/>
      <c r="AY1765" s="947"/>
    </row>
    <row r="1766" spans="31:51" x14ac:dyDescent="0.25">
      <c r="AE1766" s="75"/>
      <c r="AF1766" s="82"/>
      <c r="AG1766" s="82"/>
      <c r="AH1766" s="82"/>
      <c r="AI1766" s="82"/>
      <c r="AJ1766" s="166"/>
      <c r="AK1766" s="82"/>
      <c r="AL1766" s="162"/>
      <c r="AM1766" s="162"/>
      <c r="AN1766" s="162"/>
      <c r="AO1766" s="162"/>
      <c r="AP1766" s="162"/>
      <c r="AQ1766" s="162"/>
      <c r="AR1766" s="710"/>
      <c r="AV1766" s="82"/>
      <c r="AW1766" s="947"/>
      <c r="AX1766" s="947"/>
      <c r="AY1766" s="947"/>
    </row>
    <row r="1767" spans="31:51" x14ac:dyDescent="0.25">
      <c r="AE1767" s="75"/>
      <c r="AF1767" s="82"/>
      <c r="AG1767" s="82"/>
      <c r="AH1767" s="82"/>
      <c r="AI1767" s="82"/>
      <c r="AJ1767" s="166"/>
      <c r="AK1767" s="82"/>
      <c r="AL1767" s="162"/>
      <c r="AM1767" s="162"/>
      <c r="AN1767" s="162"/>
      <c r="AO1767" s="162"/>
      <c r="AP1767" s="162"/>
      <c r="AQ1767" s="162"/>
      <c r="AR1767" s="710"/>
      <c r="AV1767" s="82"/>
      <c r="AW1767" s="947"/>
      <c r="AX1767" s="947"/>
      <c r="AY1767" s="947"/>
    </row>
    <row r="1768" spans="31:51" x14ac:dyDescent="0.25">
      <c r="AE1768" s="75"/>
      <c r="AF1768" s="82"/>
      <c r="AG1768" s="82"/>
      <c r="AH1768" s="82"/>
      <c r="AI1768" s="82"/>
      <c r="AJ1768" s="166"/>
      <c r="AK1768" s="82"/>
      <c r="AL1768" s="162"/>
      <c r="AM1768" s="162"/>
      <c r="AN1768" s="162"/>
      <c r="AO1768" s="162"/>
      <c r="AP1768" s="162"/>
      <c r="AQ1768" s="162"/>
      <c r="AR1768" s="710"/>
      <c r="AV1768" s="82"/>
      <c r="AW1768" s="947"/>
      <c r="AX1768" s="947"/>
      <c r="AY1768" s="947"/>
    </row>
    <row r="1769" spans="31:51" x14ac:dyDescent="0.25">
      <c r="AE1769" s="75"/>
      <c r="AF1769" s="82"/>
      <c r="AG1769" s="82"/>
      <c r="AH1769" s="82"/>
      <c r="AI1769" s="82"/>
      <c r="AJ1769" s="166"/>
      <c r="AK1769" s="82"/>
      <c r="AL1769" s="162"/>
      <c r="AM1769" s="162"/>
      <c r="AN1769" s="162"/>
      <c r="AO1769" s="162"/>
      <c r="AP1769" s="162"/>
      <c r="AQ1769" s="162"/>
      <c r="AR1769" s="710"/>
      <c r="AV1769" s="82"/>
      <c r="AW1769" s="947"/>
      <c r="AX1769" s="947"/>
      <c r="AY1769" s="947"/>
    </row>
    <row r="1770" spans="31:51" x14ac:dyDescent="0.25">
      <c r="AE1770" s="75"/>
      <c r="AF1770" s="82"/>
      <c r="AG1770" s="82"/>
      <c r="AH1770" s="82"/>
      <c r="AI1770" s="82"/>
      <c r="AJ1770" s="166"/>
      <c r="AK1770" s="82"/>
      <c r="AL1770" s="162"/>
      <c r="AM1770" s="162"/>
      <c r="AN1770" s="162"/>
      <c r="AO1770" s="162"/>
      <c r="AP1770" s="162"/>
      <c r="AQ1770" s="162"/>
      <c r="AR1770" s="710"/>
      <c r="AV1770" s="82"/>
      <c r="AW1770" s="947"/>
      <c r="AX1770" s="947"/>
      <c r="AY1770" s="947"/>
    </row>
    <row r="1771" spans="31:51" x14ac:dyDescent="0.25">
      <c r="AE1771" s="75"/>
      <c r="AF1771" s="82"/>
      <c r="AG1771" s="82"/>
      <c r="AH1771" s="82"/>
      <c r="AI1771" s="82"/>
      <c r="AJ1771" s="166"/>
      <c r="AK1771" s="82"/>
      <c r="AL1771" s="162"/>
      <c r="AM1771" s="162"/>
      <c r="AN1771" s="162"/>
      <c r="AO1771" s="162"/>
      <c r="AP1771" s="162"/>
      <c r="AQ1771" s="162"/>
      <c r="AR1771" s="710"/>
      <c r="AV1771" s="82"/>
      <c r="AW1771" s="947"/>
      <c r="AX1771" s="947"/>
      <c r="AY1771" s="947"/>
    </row>
    <row r="1772" spans="31:51" x14ac:dyDescent="0.25">
      <c r="AE1772" s="75"/>
      <c r="AF1772" s="82"/>
      <c r="AG1772" s="82"/>
      <c r="AH1772" s="82"/>
      <c r="AI1772" s="82"/>
      <c r="AJ1772" s="166"/>
      <c r="AK1772" s="82"/>
      <c r="AL1772" s="162"/>
      <c r="AM1772" s="162"/>
      <c r="AN1772" s="162"/>
      <c r="AO1772" s="162"/>
      <c r="AP1772" s="162"/>
      <c r="AQ1772" s="162"/>
      <c r="AR1772" s="710"/>
      <c r="AV1772" s="82"/>
      <c r="AW1772" s="947"/>
      <c r="AX1772" s="947"/>
      <c r="AY1772" s="947"/>
    </row>
    <row r="1773" spans="31:51" x14ac:dyDescent="0.25">
      <c r="AE1773" s="75"/>
      <c r="AF1773" s="82"/>
      <c r="AG1773" s="82"/>
      <c r="AH1773" s="82"/>
      <c r="AI1773" s="82"/>
      <c r="AJ1773" s="166"/>
      <c r="AK1773" s="82"/>
      <c r="AL1773" s="162"/>
      <c r="AM1773" s="162"/>
      <c r="AN1773" s="162"/>
      <c r="AO1773" s="162"/>
      <c r="AP1773" s="162"/>
      <c r="AQ1773" s="162"/>
      <c r="AR1773" s="710"/>
      <c r="AV1773" s="82"/>
      <c r="AW1773" s="947"/>
      <c r="AX1773" s="947"/>
      <c r="AY1773" s="947"/>
    </row>
    <row r="1774" spans="31:51" x14ac:dyDescent="0.25">
      <c r="AE1774" s="75"/>
      <c r="AF1774" s="82"/>
      <c r="AG1774" s="82"/>
      <c r="AH1774" s="82"/>
      <c r="AI1774" s="82"/>
      <c r="AJ1774" s="166"/>
      <c r="AK1774" s="82"/>
      <c r="AL1774" s="162"/>
      <c r="AM1774" s="162"/>
      <c r="AN1774" s="162"/>
      <c r="AO1774" s="162"/>
      <c r="AP1774" s="162"/>
      <c r="AQ1774" s="162"/>
      <c r="AR1774" s="710"/>
      <c r="AV1774" s="82"/>
      <c r="AW1774" s="947"/>
      <c r="AX1774" s="947"/>
      <c r="AY1774" s="947"/>
    </row>
    <row r="1775" spans="31:51" x14ac:dyDescent="0.25">
      <c r="AE1775" s="75"/>
      <c r="AF1775" s="82"/>
      <c r="AG1775" s="82"/>
      <c r="AH1775" s="82"/>
      <c r="AI1775" s="82"/>
      <c r="AJ1775" s="166"/>
      <c r="AK1775" s="82"/>
      <c r="AL1775" s="162"/>
      <c r="AM1775" s="162"/>
      <c r="AN1775" s="162"/>
      <c r="AO1775" s="162"/>
      <c r="AP1775" s="162"/>
      <c r="AQ1775" s="162"/>
      <c r="AR1775" s="710"/>
      <c r="AV1775" s="82"/>
      <c r="AW1775" s="947"/>
      <c r="AX1775" s="947"/>
      <c r="AY1775" s="947"/>
    </row>
    <row r="1776" spans="31:51" x14ac:dyDescent="0.25">
      <c r="AE1776" s="75"/>
      <c r="AF1776" s="82"/>
      <c r="AG1776" s="82"/>
      <c r="AH1776" s="82"/>
      <c r="AI1776" s="82"/>
      <c r="AJ1776" s="166"/>
      <c r="AK1776" s="82"/>
      <c r="AL1776" s="162"/>
      <c r="AM1776" s="162"/>
      <c r="AN1776" s="162"/>
      <c r="AO1776" s="162"/>
      <c r="AP1776" s="162"/>
      <c r="AQ1776" s="162"/>
      <c r="AR1776" s="710"/>
      <c r="AV1776" s="82"/>
      <c r="AW1776" s="947"/>
      <c r="AX1776" s="947"/>
      <c r="AY1776" s="947"/>
    </row>
    <row r="1777" spans="31:51" x14ac:dyDescent="0.25">
      <c r="AE1777" s="75"/>
      <c r="AF1777" s="82"/>
      <c r="AG1777" s="82"/>
      <c r="AH1777" s="82"/>
      <c r="AI1777" s="82"/>
      <c r="AJ1777" s="166"/>
      <c r="AK1777" s="82"/>
      <c r="AL1777" s="162"/>
      <c r="AM1777" s="162"/>
      <c r="AN1777" s="162"/>
      <c r="AO1777" s="162"/>
      <c r="AP1777" s="162"/>
      <c r="AQ1777" s="162"/>
      <c r="AR1777" s="710"/>
      <c r="AV1777" s="82"/>
      <c r="AW1777" s="947"/>
      <c r="AX1777" s="947"/>
      <c r="AY1777" s="947"/>
    </row>
    <row r="1778" spans="31:51" x14ac:dyDescent="0.25">
      <c r="AE1778" s="75"/>
      <c r="AF1778" s="82"/>
      <c r="AG1778" s="82"/>
      <c r="AH1778" s="82"/>
      <c r="AI1778" s="82"/>
      <c r="AJ1778" s="166"/>
      <c r="AK1778" s="82"/>
      <c r="AL1778" s="162"/>
      <c r="AM1778" s="162"/>
      <c r="AN1778" s="162"/>
      <c r="AO1778" s="162"/>
      <c r="AP1778" s="162"/>
      <c r="AQ1778" s="162"/>
      <c r="AR1778" s="710"/>
      <c r="AV1778" s="82"/>
      <c r="AW1778" s="947"/>
      <c r="AX1778" s="947"/>
      <c r="AY1778" s="947"/>
    </row>
    <row r="1779" spans="31:51" x14ac:dyDescent="0.25">
      <c r="AE1779" s="75"/>
      <c r="AF1779" s="82"/>
      <c r="AG1779" s="82"/>
      <c r="AH1779" s="82"/>
      <c r="AI1779" s="82"/>
      <c r="AJ1779" s="166"/>
      <c r="AK1779" s="82"/>
      <c r="AL1779" s="162"/>
      <c r="AM1779" s="162"/>
      <c r="AN1779" s="162"/>
      <c r="AO1779" s="162"/>
      <c r="AP1779" s="162"/>
      <c r="AQ1779" s="162"/>
      <c r="AR1779" s="710"/>
      <c r="AV1779" s="82"/>
      <c r="AW1779" s="947"/>
      <c r="AX1779" s="947"/>
      <c r="AY1779" s="947"/>
    </row>
    <row r="1780" spans="31:51" x14ac:dyDescent="0.25">
      <c r="AE1780" s="75"/>
      <c r="AF1780" s="82"/>
      <c r="AG1780" s="82"/>
      <c r="AH1780" s="82"/>
      <c r="AI1780" s="82"/>
      <c r="AJ1780" s="166"/>
      <c r="AK1780" s="82"/>
      <c r="AL1780" s="162"/>
      <c r="AM1780" s="162"/>
      <c r="AN1780" s="162"/>
      <c r="AO1780" s="162"/>
      <c r="AP1780" s="162"/>
      <c r="AQ1780" s="162"/>
      <c r="AR1780" s="710"/>
      <c r="AV1780" s="82"/>
      <c r="AW1780" s="947"/>
      <c r="AX1780" s="947"/>
      <c r="AY1780" s="947"/>
    </row>
    <row r="1781" spans="31:51" x14ac:dyDescent="0.25">
      <c r="AE1781" s="75"/>
      <c r="AF1781" s="82"/>
      <c r="AG1781" s="82"/>
      <c r="AH1781" s="82"/>
      <c r="AI1781" s="82"/>
      <c r="AJ1781" s="166"/>
      <c r="AK1781" s="82"/>
      <c r="AL1781" s="162"/>
      <c r="AM1781" s="162"/>
      <c r="AN1781" s="162"/>
      <c r="AO1781" s="162"/>
      <c r="AP1781" s="162"/>
      <c r="AQ1781" s="162"/>
      <c r="AR1781" s="710"/>
      <c r="AV1781" s="82"/>
      <c r="AW1781" s="947"/>
      <c r="AX1781" s="947"/>
      <c r="AY1781" s="947"/>
    </row>
    <row r="1782" spans="31:51" x14ac:dyDescent="0.25">
      <c r="AE1782" s="75"/>
      <c r="AF1782" s="82"/>
      <c r="AG1782" s="82"/>
      <c r="AH1782" s="82"/>
      <c r="AI1782" s="82"/>
      <c r="AJ1782" s="166"/>
      <c r="AK1782" s="82"/>
      <c r="AL1782" s="162"/>
      <c r="AM1782" s="162"/>
      <c r="AN1782" s="162"/>
      <c r="AO1782" s="162"/>
      <c r="AP1782" s="162"/>
      <c r="AQ1782" s="162"/>
      <c r="AR1782" s="710"/>
      <c r="AV1782" s="82"/>
      <c r="AW1782" s="947"/>
      <c r="AX1782" s="947"/>
      <c r="AY1782" s="947"/>
    </row>
    <row r="1783" spans="31:51" x14ac:dyDescent="0.25">
      <c r="AE1783" s="75"/>
      <c r="AF1783" s="82"/>
      <c r="AG1783" s="82"/>
      <c r="AH1783" s="82"/>
      <c r="AI1783" s="82"/>
      <c r="AJ1783" s="166"/>
      <c r="AK1783" s="82"/>
      <c r="AL1783" s="162"/>
      <c r="AM1783" s="162"/>
      <c r="AN1783" s="162"/>
      <c r="AO1783" s="162"/>
      <c r="AP1783" s="162"/>
      <c r="AQ1783" s="162"/>
      <c r="AR1783" s="710"/>
      <c r="AV1783" s="82"/>
      <c r="AW1783" s="947"/>
      <c r="AX1783" s="947"/>
      <c r="AY1783" s="947"/>
    </row>
    <row r="1784" spans="31:51" x14ac:dyDescent="0.25">
      <c r="AE1784" s="75"/>
      <c r="AF1784" s="82"/>
      <c r="AG1784" s="82"/>
      <c r="AH1784" s="82"/>
      <c r="AI1784" s="82"/>
      <c r="AJ1784" s="166"/>
      <c r="AK1784" s="82"/>
      <c r="AL1784" s="162"/>
      <c r="AM1784" s="162"/>
      <c r="AN1784" s="162"/>
      <c r="AO1784" s="162"/>
      <c r="AP1784" s="162"/>
      <c r="AQ1784" s="162"/>
      <c r="AR1784" s="710"/>
      <c r="AV1784" s="82"/>
      <c r="AW1784" s="947"/>
      <c r="AX1784" s="947"/>
      <c r="AY1784" s="947"/>
    </row>
    <row r="1785" spans="31:51" x14ac:dyDescent="0.25">
      <c r="AE1785" s="75"/>
      <c r="AF1785" s="82"/>
      <c r="AG1785" s="82"/>
      <c r="AH1785" s="82"/>
      <c r="AI1785" s="82"/>
      <c r="AJ1785" s="166"/>
      <c r="AK1785" s="82"/>
      <c r="AL1785" s="162"/>
      <c r="AM1785" s="162"/>
      <c r="AN1785" s="162"/>
      <c r="AO1785" s="162"/>
      <c r="AP1785" s="162"/>
      <c r="AQ1785" s="162"/>
      <c r="AR1785" s="710"/>
      <c r="AV1785" s="82"/>
      <c r="AW1785" s="947"/>
      <c r="AX1785" s="947"/>
      <c r="AY1785" s="947"/>
    </row>
    <row r="1786" spans="31:51" x14ac:dyDescent="0.25">
      <c r="AE1786" s="75"/>
      <c r="AF1786" s="82"/>
      <c r="AG1786" s="82"/>
      <c r="AH1786" s="82"/>
      <c r="AI1786" s="82"/>
      <c r="AJ1786" s="166"/>
      <c r="AK1786" s="82"/>
      <c r="AL1786" s="162"/>
      <c r="AM1786" s="162"/>
      <c r="AN1786" s="162"/>
      <c r="AO1786" s="162"/>
      <c r="AP1786" s="162"/>
      <c r="AQ1786" s="162"/>
      <c r="AR1786" s="710"/>
      <c r="AV1786" s="82"/>
      <c r="AW1786" s="947"/>
      <c r="AX1786" s="947"/>
      <c r="AY1786" s="947"/>
    </row>
    <row r="1787" spans="31:51" x14ac:dyDescent="0.25">
      <c r="AE1787" s="75"/>
      <c r="AF1787" s="82"/>
      <c r="AG1787" s="82"/>
      <c r="AH1787" s="82"/>
      <c r="AI1787" s="82"/>
      <c r="AJ1787" s="166"/>
      <c r="AK1787" s="82"/>
      <c r="AL1787" s="162"/>
      <c r="AM1787" s="162"/>
      <c r="AN1787" s="162"/>
      <c r="AO1787" s="162"/>
      <c r="AP1787" s="162"/>
      <c r="AQ1787" s="162"/>
      <c r="AR1787" s="710"/>
      <c r="AV1787" s="82"/>
      <c r="AW1787" s="947"/>
      <c r="AX1787" s="947"/>
      <c r="AY1787" s="947"/>
    </row>
    <row r="1788" spans="31:51" x14ac:dyDescent="0.25">
      <c r="AE1788" s="75"/>
      <c r="AF1788" s="82"/>
      <c r="AG1788" s="82"/>
      <c r="AH1788" s="82"/>
      <c r="AI1788" s="82"/>
      <c r="AJ1788" s="166"/>
      <c r="AK1788" s="82"/>
      <c r="AL1788" s="162"/>
      <c r="AM1788" s="162"/>
      <c r="AN1788" s="162"/>
      <c r="AO1788" s="162"/>
      <c r="AP1788" s="162"/>
      <c r="AQ1788" s="162"/>
      <c r="AR1788" s="710"/>
      <c r="AV1788" s="82"/>
      <c r="AW1788" s="947"/>
      <c r="AX1788" s="947"/>
      <c r="AY1788" s="947"/>
    </row>
    <row r="1789" spans="31:51" x14ac:dyDescent="0.25">
      <c r="AE1789" s="75"/>
      <c r="AF1789" s="82"/>
      <c r="AG1789" s="82"/>
      <c r="AH1789" s="82"/>
      <c r="AI1789" s="82"/>
      <c r="AJ1789" s="166"/>
      <c r="AK1789" s="82"/>
      <c r="AL1789" s="162"/>
      <c r="AM1789" s="162"/>
      <c r="AN1789" s="162"/>
      <c r="AO1789" s="162"/>
      <c r="AP1789" s="162"/>
      <c r="AQ1789" s="162"/>
      <c r="AR1789" s="710"/>
      <c r="AV1789" s="82"/>
      <c r="AW1789" s="947"/>
      <c r="AX1789" s="947"/>
      <c r="AY1789" s="947"/>
    </row>
    <row r="1790" spans="31:51" x14ac:dyDescent="0.25">
      <c r="AE1790" s="75"/>
      <c r="AF1790" s="82"/>
      <c r="AG1790" s="82"/>
      <c r="AH1790" s="82"/>
      <c r="AI1790" s="82"/>
      <c r="AJ1790" s="166"/>
      <c r="AK1790" s="82"/>
      <c r="AL1790" s="162"/>
      <c r="AM1790" s="162"/>
      <c r="AN1790" s="162"/>
      <c r="AO1790" s="162"/>
      <c r="AP1790" s="162"/>
      <c r="AQ1790" s="162"/>
      <c r="AR1790" s="710"/>
      <c r="AV1790" s="82"/>
      <c r="AW1790" s="947"/>
      <c r="AX1790" s="947"/>
      <c r="AY1790" s="947"/>
    </row>
    <row r="1791" spans="31:51" x14ac:dyDescent="0.25">
      <c r="AE1791" s="75"/>
      <c r="AF1791" s="82"/>
      <c r="AG1791" s="82"/>
      <c r="AH1791" s="82"/>
      <c r="AI1791" s="82"/>
      <c r="AJ1791" s="166"/>
      <c r="AK1791" s="82"/>
      <c r="AL1791" s="162"/>
      <c r="AM1791" s="162"/>
      <c r="AN1791" s="162"/>
      <c r="AO1791" s="162"/>
      <c r="AP1791" s="162"/>
      <c r="AQ1791" s="162"/>
      <c r="AR1791" s="710"/>
      <c r="AV1791" s="82"/>
      <c r="AW1791" s="947"/>
      <c r="AX1791" s="947"/>
      <c r="AY1791" s="947"/>
    </row>
    <row r="1792" spans="31:51" x14ac:dyDescent="0.25">
      <c r="AE1792" s="75"/>
      <c r="AF1792" s="82"/>
      <c r="AG1792" s="82"/>
      <c r="AH1792" s="82"/>
      <c r="AI1792" s="82"/>
      <c r="AJ1792" s="166"/>
      <c r="AK1792" s="82"/>
      <c r="AL1792" s="162"/>
      <c r="AM1792" s="162"/>
      <c r="AN1792" s="162"/>
      <c r="AO1792" s="162"/>
      <c r="AP1792" s="162"/>
      <c r="AQ1792" s="162"/>
      <c r="AR1792" s="710"/>
      <c r="AV1792" s="82"/>
      <c r="AW1792" s="947"/>
      <c r="AX1792" s="947"/>
      <c r="AY1792" s="947"/>
    </row>
    <row r="1793" spans="31:51" x14ac:dyDescent="0.25">
      <c r="AE1793" s="75"/>
      <c r="AF1793" s="82"/>
      <c r="AG1793" s="82"/>
      <c r="AH1793" s="82"/>
      <c r="AI1793" s="82"/>
      <c r="AJ1793" s="166"/>
      <c r="AK1793" s="82"/>
      <c r="AL1793" s="162"/>
      <c r="AM1793" s="162"/>
      <c r="AN1793" s="162"/>
      <c r="AO1793" s="162"/>
      <c r="AP1793" s="162"/>
      <c r="AQ1793" s="162"/>
      <c r="AR1793" s="710"/>
      <c r="AV1793" s="82"/>
      <c r="AW1793" s="947"/>
      <c r="AX1793" s="947"/>
      <c r="AY1793" s="947"/>
    </row>
    <row r="1794" spans="31:51" x14ac:dyDescent="0.25">
      <c r="AE1794" s="75"/>
      <c r="AF1794" s="82"/>
      <c r="AG1794" s="82"/>
      <c r="AH1794" s="82"/>
      <c r="AI1794" s="82"/>
      <c r="AJ1794" s="166"/>
      <c r="AK1794" s="82"/>
      <c r="AL1794" s="162"/>
      <c r="AM1794" s="162"/>
      <c r="AN1794" s="162"/>
      <c r="AO1794" s="162"/>
      <c r="AP1794" s="162"/>
      <c r="AQ1794" s="162"/>
      <c r="AR1794" s="710"/>
      <c r="AV1794" s="82"/>
      <c r="AW1794" s="947"/>
      <c r="AX1794" s="947"/>
      <c r="AY1794" s="947"/>
    </row>
    <row r="1795" spans="31:51" x14ac:dyDescent="0.25">
      <c r="AE1795" s="75"/>
      <c r="AF1795" s="82"/>
      <c r="AG1795" s="82"/>
      <c r="AH1795" s="82"/>
      <c r="AI1795" s="82"/>
      <c r="AJ1795" s="166"/>
      <c r="AK1795" s="82"/>
      <c r="AL1795" s="162"/>
      <c r="AM1795" s="162"/>
      <c r="AN1795" s="162"/>
      <c r="AO1795" s="162"/>
      <c r="AP1795" s="162"/>
      <c r="AQ1795" s="162"/>
      <c r="AR1795" s="710"/>
      <c r="AV1795" s="82"/>
      <c r="AW1795" s="947"/>
      <c r="AX1795" s="947"/>
      <c r="AY1795" s="947"/>
    </row>
    <row r="1796" spans="31:51" x14ac:dyDescent="0.25">
      <c r="AE1796" s="75"/>
      <c r="AF1796" s="82"/>
      <c r="AG1796" s="82"/>
      <c r="AH1796" s="82"/>
      <c r="AI1796" s="82"/>
      <c r="AJ1796" s="166"/>
      <c r="AK1796" s="82"/>
      <c r="AL1796" s="162"/>
      <c r="AM1796" s="162"/>
      <c r="AN1796" s="162"/>
      <c r="AO1796" s="162"/>
      <c r="AP1796" s="162"/>
      <c r="AQ1796" s="162"/>
      <c r="AR1796" s="710"/>
      <c r="AV1796" s="82"/>
      <c r="AW1796" s="947"/>
      <c r="AX1796" s="947"/>
      <c r="AY1796" s="947"/>
    </row>
    <row r="1797" spans="31:51" x14ac:dyDescent="0.25">
      <c r="AE1797" s="75"/>
      <c r="AF1797" s="82"/>
      <c r="AG1797" s="82"/>
      <c r="AH1797" s="82"/>
      <c r="AI1797" s="82"/>
      <c r="AJ1797" s="166"/>
      <c r="AK1797" s="82"/>
      <c r="AL1797" s="162"/>
      <c r="AM1797" s="162"/>
      <c r="AN1797" s="162"/>
      <c r="AO1797" s="162"/>
      <c r="AP1797" s="162"/>
      <c r="AQ1797" s="162"/>
      <c r="AR1797" s="710"/>
      <c r="AV1797" s="82"/>
      <c r="AW1797" s="947"/>
      <c r="AX1797" s="947"/>
      <c r="AY1797" s="947"/>
    </row>
    <row r="1798" spans="31:51" x14ac:dyDescent="0.25">
      <c r="AE1798" s="75"/>
      <c r="AF1798" s="82"/>
      <c r="AG1798" s="82"/>
      <c r="AH1798" s="82"/>
      <c r="AI1798" s="82"/>
      <c r="AJ1798" s="166"/>
      <c r="AK1798" s="82"/>
      <c r="AL1798" s="162"/>
      <c r="AM1798" s="162"/>
      <c r="AN1798" s="162"/>
      <c r="AO1798" s="162"/>
      <c r="AP1798" s="162"/>
      <c r="AQ1798" s="162"/>
      <c r="AR1798" s="710"/>
      <c r="AV1798" s="82"/>
      <c r="AW1798" s="947"/>
      <c r="AX1798" s="947"/>
      <c r="AY1798" s="947"/>
    </row>
    <row r="1799" spans="31:51" x14ac:dyDescent="0.25">
      <c r="AE1799" s="75"/>
      <c r="AF1799" s="82"/>
      <c r="AG1799" s="82"/>
      <c r="AH1799" s="82"/>
      <c r="AI1799" s="82"/>
      <c r="AJ1799" s="166"/>
      <c r="AK1799" s="82"/>
      <c r="AL1799" s="162"/>
      <c r="AM1799" s="162"/>
      <c r="AN1799" s="162"/>
      <c r="AO1799" s="162"/>
      <c r="AP1799" s="162"/>
      <c r="AQ1799" s="162"/>
      <c r="AR1799" s="710"/>
      <c r="AV1799" s="82"/>
      <c r="AW1799" s="947"/>
      <c r="AX1799" s="947"/>
      <c r="AY1799" s="947"/>
    </row>
    <row r="1800" spans="31:51" x14ac:dyDescent="0.25">
      <c r="AE1800" s="75"/>
      <c r="AF1800" s="82"/>
      <c r="AG1800" s="82"/>
      <c r="AH1800" s="82"/>
      <c r="AI1800" s="82"/>
      <c r="AJ1800" s="166"/>
      <c r="AK1800" s="82"/>
      <c r="AL1800" s="162"/>
      <c r="AM1800" s="162"/>
      <c r="AN1800" s="162"/>
      <c r="AO1800" s="162"/>
      <c r="AP1800" s="162"/>
      <c r="AQ1800" s="162"/>
      <c r="AR1800" s="710"/>
      <c r="AV1800" s="82"/>
      <c r="AW1800" s="947"/>
      <c r="AX1800" s="947"/>
      <c r="AY1800" s="947"/>
    </row>
    <row r="1801" spans="31:51" x14ac:dyDescent="0.25">
      <c r="AE1801" s="75"/>
      <c r="AF1801" s="82"/>
      <c r="AG1801" s="82"/>
      <c r="AH1801" s="82"/>
      <c r="AI1801" s="82"/>
      <c r="AJ1801" s="166"/>
      <c r="AK1801" s="82"/>
      <c r="AL1801" s="162"/>
      <c r="AM1801" s="162"/>
      <c r="AN1801" s="162"/>
      <c r="AO1801" s="162"/>
      <c r="AP1801" s="162"/>
      <c r="AQ1801" s="162"/>
      <c r="AR1801" s="710"/>
      <c r="AV1801" s="82"/>
      <c r="AW1801" s="947"/>
      <c r="AX1801" s="947"/>
      <c r="AY1801" s="947"/>
    </row>
    <row r="1802" spans="31:51" x14ac:dyDescent="0.25">
      <c r="AE1802" s="75"/>
      <c r="AF1802" s="82"/>
      <c r="AG1802" s="82"/>
      <c r="AH1802" s="82"/>
      <c r="AI1802" s="82"/>
      <c r="AJ1802" s="166"/>
      <c r="AK1802" s="82"/>
      <c r="AL1802" s="162"/>
      <c r="AM1802" s="162"/>
      <c r="AN1802" s="162"/>
      <c r="AO1802" s="162"/>
      <c r="AP1802" s="162"/>
      <c r="AQ1802" s="162"/>
      <c r="AR1802" s="710"/>
      <c r="AV1802" s="82"/>
      <c r="AW1802" s="947"/>
      <c r="AX1802" s="947"/>
      <c r="AY1802" s="947"/>
    </row>
    <row r="1803" spans="31:51" x14ac:dyDescent="0.25">
      <c r="AE1803" s="75"/>
      <c r="AF1803" s="82"/>
      <c r="AG1803" s="82"/>
      <c r="AH1803" s="82"/>
      <c r="AI1803" s="82"/>
      <c r="AJ1803" s="166"/>
      <c r="AK1803" s="82"/>
      <c r="AL1803" s="162"/>
      <c r="AM1803" s="162"/>
      <c r="AN1803" s="162"/>
      <c r="AO1803" s="162"/>
      <c r="AP1803" s="162"/>
      <c r="AQ1803" s="162"/>
      <c r="AR1803" s="710"/>
      <c r="AV1803" s="82"/>
      <c r="AW1803" s="947"/>
      <c r="AX1803" s="947"/>
      <c r="AY1803" s="947"/>
    </row>
    <row r="1804" spans="31:51" x14ac:dyDescent="0.25">
      <c r="AE1804" s="75"/>
      <c r="AF1804" s="82"/>
      <c r="AG1804" s="82"/>
      <c r="AH1804" s="82"/>
      <c r="AI1804" s="82"/>
      <c r="AJ1804" s="166"/>
      <c r="AK1804" s="82"/>
      <c r="AL1804" s="162"/>
      <c r="AM1804" s="162"/>
      <c r="AN1804" s="162"/>
      <c r="AO1804" s="162"/>
      <c r="AP1804" s="162"/>
      <c r="AQ1804" s="162"/>
      <c r="AR1804" s="710"/>
      <c r="AV1804" s="82"/>
      <c r="AW1804" s="947"/>
      <c r="AX1804" s="947"/>
      <c r="AY1804" s="947"/>
    </row>
    <row r="1805" spans="31:51" x14ac:dyDescent="0.25">
      <c r="AE1805" s="75"/>
      <c r="AF1805" s="82"/>
      <c r="AG1805" s="82"/>
      <c r="AH1805" s="82"/>
      <c r="AI1805" s="82"/>
      <c r="AJ1805" s="166"/>
      <c r="AK1805" s="82"/>
      <c r="AL1805" s="162"/>
      <c r="AM1805" s="162"/>
      <c r="AN1805" s="162"/>
      <c r="AO1805" s="162"/>
      <c r="AP1805" s="162"/>
      <c r="AQ1805" s="162"/>
      <c r="AR1805" s="710"/>
      <c r="AV1805" s="82"/>
      <c r="AW1805" s="947"/>
      <c r="AX1805" s="947"/>
      <c r="AY1805" s="947"/>
    </row>
    <row r="1806" spans="31:51" x14ac:dyDescent="0.25">
      <c r="AE1806" s="75"/>
      <c r="AF1806" s="82"/>
      <c r="AG1806" s="82"/>
      <c r="AH1806" s="82"/>
      <c r="AI1806" s="82"/>
      <c r="AJ1806" s="166"/>
      <c r="AK1806" s="82"/>
      <c r="AL1806" s="162"/>
      <c r="AM1806" s="162"/>
      <c r="AN1806" s="162"/>
      <c r="AO1806" s="162"/>
      <c r="AP1806" s="162"/>
      <c r="AQ1806" s="162"/>
      <c r="AR1806" s="710"/>
      <c r="AV1806" s="82"/>
      <c r="AW1806" s="947"/>
      <c r="AX1806" s="947"/>
      <c r="AY1806" s="947"/>
    </row>
    <row r="1807" spans="31:51" x14ac:dyDescent="0.25">
      <c r="AE1807" s="75"/>
      <c r="AF1807" s="82"/>
      <c r="AG1807" s="82"/>
      <c r="AH1807" s="82"/>
      <c r="AI1807" s="82"/>
      <c r="AJ1807" s="166"/>
      <c r="AK1807" s="82"/>
      <c r="AL1807" s="162"/>
      <c r="AM1807" s="162"/>
      <c r="AN1807" s="162"/>
      <c r="AO1807" s="162"/>
      <c r="AP1807" s="162"/>
      <c r="AQ1807" s="162"/>
      <c r="AR1807" s="710"/>
      <c r="AV1807" s="82"/>
      <c r="AW1807" s="947"/>
      <c r="AX1807" s="947"/>
      <c r="AY1807" s="947"/>
    </row>
    <row r="1808" spans="31:51" x14ac:dyDescent="0.25">
      <c r="AE1808" s="75"/>
      <c r="AF1808" s="82"/>
      <c r="AG1808" s="82"/>
      <c r="AH1808" s="82"/>
      <c r="AI1808" s="82"/>
      <c r="AJ1808" s="166"/>
      <c r="AK1808" s="82"/>
      <c r="AL1808" s="162"/>
      <c r="AM1808" s="162"/>
      <c r="AN1808" s="162"/>
      <c r="AO1808" s="162"/>
      <c r="AP1808" s="162"/>
      <c r="AQ1808" s="162"/>
      <c r="AR1808" s="710"/>
      <c r="AV1808" s="82"/>
      <c r="AW1808" s="947"/>
      <c r="AX1808" s="947"/>
      <c r="AY1808" s="947"/>
    </row>
    <row r="1809" spans="31:51" x14ac:dyDescent="0.25">
      <c r="AE1809" s="75"/>
      <c r="AF1809" s="82"/>
      <c r="AG1809" s="82"/>
      <c r="AH1809" s="82"/>
      <c r="AI1809" s="82"/>
      <c r="AJ1809" s="166"/>
      <c r="AK1809" s="82"/>
      <c r="AL1809" s="162"/>
      <c r="AM1809" s="162"/>
      <c r="AN1809" s="162"/>
      <c r="AO1809" s="162"/>
      <c r="AP1809" s="162"/>
      <c r="AQ1809" s="162"/>
      <c r="AR1809" s="710"/>
      <c r="AV1809" s="82"/>
      <c r="AW1809" s="947"/>
      <c r="AX1809" s="947"/>
      <c r="AY1809" s="947"/>
    </row>
    <row r="1810" spans="31:51" x14ac:dyDescent="0.25">
      <c r="AE1810" s="75"/>
      <c r="AF1810" s="82"/>
      <c r="AG1810" s="82"/>
      <c r="AH1810" s="82"/>
      <c r="AI1810" s="82"/>
      <c r="AJ1810" s="166"/>
      <c r="AK1810" s="82"/>
      <c r="AL1810" s="162"/>
      <c r="AM1810" s="162"/>
      <c r="AN1810" s="162"/>
      <c r="AO1810" s="162"/>
      <c r="AP1810" s="162"/>
      <c r="AQ1810" s="162"/>
      <c r="AR1810" s="710"/>
      <c r="AV1810" s="82"/>
      <c r="AW1810" s="947"/>
      <c r="AX1810" s="947"/>
      <c r="AY1810" s="947"/>
    </row>
    <row r="1811" spans="31:51" x14ac:dyDescent="0.25">
      <c r="AE1811" s="75"/>
      <c r="AF1811" s="82"/>
      <c r="AG1811" s="82"/>
      <c r="AH1811" s="82"/>
      <c r="AI1811" s="82"/>
      <c r="AJ1811" s="166"/>
      <c r="AK1811" s="82"/>
      <c r="AL1811" s="162"/>
      <c r="AM1811" s="162"/>
      <c r="AN1811" s="162"/>
      <c r="AO1811" s="162"/>
      <c r="AP1811" s="162"/>
      <c r="AQ1811" s="162"/>
      <c r="AR1811" s="710"/>
      <c r="AV1811" s="82"/>
      <c r="AW1811" s="947"/>
      <c r="AX1811" s="947"/>
      <c r="AY1811" s="947"/>
    </row>
    <row r="1812" spans="31:51" x14ac:dyDescent="0.25">
      <c r="AE1812" s="75"/>
      <c r="AF1812" s="82"/>
      <c r="AG1812" s="82"/>
      <c r="AH1812" s="82"/>
      <c r="AI1812" s="82"/>
      <c r="AJ1812" s="166"/>
      <c r="AK1812" s="82"/>
      <c r="AL1812" s="162"/>
      <c r="AM1812" s="162"/>
      <c r="AN1812" s="162"/>
      <c r="AO1812" s="162"/>
      <c r="AP1812" s="162"/>
      <c r="AQ1812" s="162"/>
      <c r="AR1812" s="710"/>
      <c r="AV1812" s="82"/>
      <c r="AW1812" s="947"/>
      <c r="AX1812" s="947"/>
      <c r="AY1812" s="947"/>
    </row>
    <row r="1813" spans="31:51" x14ac:dyDescent="0.25">
      <c r="AE1813" s="75"/>
      <c r="AF1813" s="82"/>
      <c r="AG1813" s="82"/>
      <c r="AH1813" s="82"/>
      <c r="AI1813" s="82"/>
      <c r="AJ1813" s="166"/>
      <c r="AK1813" s="82"/>
      <c r="AL1813" s="162"/>
      <c r="AM1813" s="162"/>
      <c r="AN1813" s="162"/>
      <c r="AO1813" s="162"/>
      <c r="AP1813" s="162"/>
      <c r="AQ1813" s="162"/>
      <c r="AR1813" s="710"/>
      <c r="AV1813" s="82"/>
      <c r="AW1813" s="947"/>
      <c r="AX1813" s="947"/>
      <c r="AY1813" s="947"/>
    </row>
    <row r="1814" spans="31:51" x14ac:dyDescent="0.25">
      <c r="AE1814" s="75"/>
      <c r="AF1814" s="82"/>
      <c r="AG1814" s="82"/>
      <c r="AH1814" s="82"/>
      <c r="AI1814" s="82"/>
      <c r="AJ1814" s="166"/>
      <c r="AK1814" s="82"/>
      <c r="AL1814" s="162"/>
      <c r="AM1814" s="162"/>
      <c r="AN1814" s="162"/>
      <c r="AO1814" s="162"/>
      <c r="AP1814" s="162"/>
      <c r="AQ1814" s="162"/>
      <c r="AR1814" s="710"/>
      <c r="AV1814" s="82"/>
      <c r="AW1814" s="947"/>
      <c r="AX1814" s="947"/>
      <c r="AY1814" s="947"/>
    </row>
    <row r="1815" spans="31:51" x14ac:dyDescent="0.25">
      <c r="AE1815" s="75"/>
      <c r="AF1815" s="82"/>
      <c r="AG1815" s="82"/>
      <c r="AH1815" s="82"/>
      <c r="AI1815" s="82"/>
      <c r="AJ1815" s="166"/>
      <c r="AK1815" s="82"/>
      <c r="AL1815" s="162"/>
      <c r="AM1815" s="162"/>
      <c r="AN1815" s="162"/>
      <c r="AO1815" s="162"/>
      <c r="AP1815" s="162"/>
      <c r="AQ1815" s="162"/>
      <c r="AR1815" s="710"/>
      <c r="AV1815" s="82"/>
      <c r="AW1815" s="947"/>
      <c r="AX1815" s="947"/>
      <c r="AY1815" s="947"/>
    </row>
    <row r="1816" spans="31:51" x14ac:dyDescent="0.25">
      <c r="AE1816" s="75"/>
      <c r="AF1816" s="82"/>
      <c r="AG1816" s="82"/>
      <c r="AH1816" s="82"/>
      <c r="AI1816" s="82"/>
      <c r="AJ1816" s="166"/>
      <c r="AK1816" s="82"/>
      <c r="AL1816" s="162"/>
      <c r="AM1816" s="162"/>
      <c r="AN1816" s="162"/>
      <c r="AO1816" s="162"/>
      <c r="AP1816" s="162"/>
      <c r="AQ1816" s="162"/>
      <c r="AR1816" s="710"/>
      <c r="AV1816" s="82"/>
      <c r="AW1816" s="947"/>
      <c r="AX1816" s="947"/>
      <c r="AY1816" s="947"/>
    </row>
    <row r="1817" spans="31:51" x14ac:dyDescent="0.25">
      <c r="AE1817" s="75"/>
      <c r="AF1817" s="82"/>
      <c r="AG1817" s="82"/>
      <c r="AH1817" s="82"/>
      <c r="AI1817" s="82"/>
      <c r="AJ1817" s="166"/>
      <c r="AK1817" s="82"/>
      <c r="AL1817" s="162"/>
      <c r="AM1817" s="162"/>
      <c r="AN1817" s="162"/>
      <c r="AO1817" s="162"/>
      <c r="AP1817" s="162"/>
      <c r="AQ1817" s="162"/>
      <c r="AR1817" s="710"/>
      <c r="AV1817" s="82"/>
      <c r="AW1817" s="947"/>
      <c r="AX1817" s="947"/>
      <c r="AY1817" s="947"/>
    </row>
    <row r="1818" spans="31:51" x14ac:dyDescent="0.25">
      <c r="AE1818" s="75"/>
      <c r="AF1818" s="82"/>
      <c r="AG1818" s="82"/>
      <c r="AH1818" s="82"/>
      <c r="AI1818" s="82"/>
      <c r="AJ1818" s="166"/>
      <c r="AK1818" s="82"/>
      <c r="AL1818" s="162"/>
      <c r="AM1818" s="162"/>
      <c r="AN1818" s="162"/>
      <c r="AO1818" s="162"/>
      <c r="AP1818" s="162"/>
      <c r="AQ1818" s="162"/>
      <c r="AR1818" s="710"/>
      <c r="AV1818" s="82"/>
      <c r="AW1818" s="947"/>
      <c r="AX1818" s="947"/>
      <c r="AY1818" s="947"/>
    </row>
    <row r="1819" spans="31:51" x14ac:dyDescent="0.25">
      <c r="AE1819" s="75"/>
      <c r="AF1819" s="82"/>
      <c r="AG1819" s="82"/>
      <c r="AH1819" s="82"/>
      <c r="AI1819" s="82"/>
      <c r="AJ1819" s="166"/>
      <c r="AK1819" s="82"/>
      <c r="AL1819" s="162"/>
      <c r="AM1819" s="162"/>
      <c r="AN1819" s="162"/>
      <c r="AO1819" s="162"/>
      <c r="AP1819" s="162"/>
      <c r="AQ1819" s="162"/>
      <c r="AR1819" s="710"/>
      <c r="AV1819" s="82"/>
      <c r="AW1819" s="947"/>
      <c r="AX1819" s="947"/>
      <c r="AY1819" s="947"/>
    </row>
    <row r="1820" spans="31:51" x14ac:dyDescent="0.25">
      <c r="AE1820" s="75"/>
      <c r="AF1820" s="82"/>
      <c r="AG1820" s="82"/>
      <c r="AH1820" s="82"/>
      <c r="AI1820" s="82"/>
      <c r="AJ1820" s="166"/>
      <c r="AK1820" s="82"/>
      <c r="AL1820" s="162"/>
      <c r="AM1820" s="162"/>
      <c r="AN1820" s="162"/>
      <c r="AO1820" s="162"/>
      <c r="AP1820" s="162"/>
      <c r="AQ1820" s="162"/>
      <c r="AR1820" s="710"/>
      <c r="AV1820" s="82"/>
      <c r="AW1820" s="947"/>
      <c r="AX1820" s="947"/>
      <c r="AY1820" s="947"/>
    </row>
    <row r="1821" spans="31:51" x14ac:dyDescent="0.25">
      <c r="AE1821" s="75"/>
      <c r="AF1821" s="82"/>
      <c r="AG1821" s="82"/>
      <c r="AH1821" s="82"/>
      <c r="AI1821" s="82"/>
      <c r="AJ1821" s="166"/>
      <c r="AK1821" s="82"/>
      <c r="AL1821" s="162"/>
      <c r="AM1821" s="162"/>
      <c r="AN1821" s="162"/>
      <c r="AO1821" s="162"/>
      <c r="AP1821" s="162"/>
      <c r="AQ1821" s="162"/>
      <c r="AR1821" s="710"/>
      <c r="AV1821" s="82"/>
      <c r="AW1821" s="947"/>
      <c r="AX1821" s="947"/>
      <c r="AY1821" s="947"/>
    </row>
    <row r="1822" spans="31:51" x14ac:dyDescent="0.25">
      <c r="AE1822" s="75"/>
      <c r="AF1822" s="82"/>
      <c r="AG1822" s="82"/>
      <c r="AH1822" s="82"/>
      <c r="AI1822" s="82"/>
      <c r="AJ1822" s="166"/>
      <c r="AK1822" s="82"/>
      <c r="AL1822" s="162"/>
      <c r="AM1822" s="162"/>
      <c r="AN1822" s="162"/>
      <c r="AO1822" s="162"/>
      <c r="AP1822" s="162"/>
      <c r="AQ1822" s="162"/>
      <c r="AR1822" s="710"/>
      <c r="AV1822" s="82"/>
      <c r="AW1822" s="947"/>
      <c r="AX1822" s="947"/>
      <c r="AY1822" s="947"/>
    </row>
    <row r="1823" spans="31:51" x14ac:dyDescent="0.25">
      <c r="AE1823" s="75"/>
      <c r="AF1823" s="82"/>
      <c r="AG1823" s="82"/>
      <c r="AH1823" s="82"/>
      <c r="AI1823" s="82"/>
      <c r="AJ1823" s="166"/>
      <c r="AK1823" s="82"/>
      <c r="AL1823" s="162"/>
      <c r="AM1823" s="162"/>
      <c r="AN1823" s="162"/>
      <c r="AO1823" s="162"/>
      <c r="AP1823" s="162"/>
      <c r="AQ1823" s="162"/>
      <c r="AR1823" s="710"/>
      <c r="AV1823" s="82"/>
      <c r="AW1823" s="947"/>
      <c r="AX1823" s="947"/>
      <c r="AY1823" s="947"/>
    </row>
    <row r="1824" spans="31:51" x14ac:dyDescent="0.25">
      <c r="AE1824" s="75"/>
      <c r="AF1824" s="82"/>
      <c r="AG1824" s="82"/>
      <c r="AH1824" s="82"/>
      <c r="AI1824" s="82"/>
      <c r="AJ1824" s="166"/>
      <c r="AK1824" s="82"/>
      <c r="AL1824" s="162"/>
      <c r="AM1824" s="162"/>
      <c r="AN1824" s="162"/>
      <c r="AO1824" s="162"/>
      <c r="AP1824" s="162"/>
      <c r="AQ1824" s="162"/>
      <c r="AR1824" s="710"/>
      <c r="AV1824" s="82"/>
      <c r="AW1824" s="947"/>
      <c r="AX1824" s="947"/>
      <c r="AY1824" s="947"/>
    </row>
    <row r="1825" spans="31:51" x14ac:dyDescent="0.25">
      <c r="AE1825" s="75"/>
      <c r="AF1825" s="82"/>
      <c r="AG1825" s="82"/>
      <c r="AH1825" s="82"/>
      <c r="AI1825" s="82"/>
      <c r="AJ1825" s="166"/>
      <c r="AK1825" s="82"/>
      <c r="AL1825" s="162"/>
      <c r="AM1825" s="162"/>
      <c r="AN1825" s="162"/>
      <c r="AO1825" s="162"/>
      <c r="AP1825" s="162"/>
      <c r="AQ1825" s="162"/>
      <c r="AR1825" s="710"/>
      <c r="AV1825" s="82"/>
      <c r="AW1825" s="947"/>
      <c r="AX1825" s="947"/>
      <c r="AY1825" s="947"/>
    </row>
    <row r="1826" spans="31:51" x14ac:dyDescent="0.25">
      <c r="AE1826" s="75"/>
      <c r="AF1826" s="82"/>
      <c r="AG1826" s="82"/>
      <c r="AH1826" s="82"/>
      <c r="AI1826" s="82"/>
      <c r="AJ1826" s="166"/>
      <c r="AK1826" s="82"/>
      <c r="AL1826" s="162"/>
      <c r="AM1826" s="162"/>
      <c r="AN1826" s="162"/>
      <c r="AO1826" s="162"/>
      <c r="AP1826" s="162"/>
      <c r="AQ1826" s="162"/>
      <c r="AR1826" s="710"/>
      <c r="AV1826" s="82"/>
      <c r="AW1826" s="947"/>
      <c r="AX1826" s="947"/>
      <c r="AY1826" s="947"/>
    </row>
    <row r="1827" spans="31:51" x14ac:dyDescent="0.25">
      <c r="AE1827" s="75"/>
      <c r="AF1827" s="82"/>
      <c r="AG1827" s="82"/>
      <c r="AH1827" s="82"/>
      <c r="AI1827" s="82"/>
      <c r="AJ1827" s="166"/>
      <c r="AK1827" s="82"/>
      <c r="AL1827" s="162"/>
      <c r="AM1827" s="162"/>
      <c r="AN1827" s="162"/>
      <c r="AO1827" s="162"/>
      <c r="AP1827" s="162"/>
      <c r="AQ1827" s="162"/>
      <c r="AR1827" s="710"/>
      <c r="AV1827" s="82"/>
      <c r="AW1827" s="947"/>
      <c r="AX1827" s="947"/>
      <c r="AY1827" s="947"/>
    </row>
    <row r="1828" spans="31:51" x14ac:dyDescent="0.25">
      <c r="AE1828" s="75"/>
      <c r="AF1828" s="82"/>
      <c r="AG1828" s="82"/>
      <c r="AH1828" s="82"/>
      <c r="AI1828" s="82"/>
      <c r="AJ1828" s="166"/>
      <c r="AK1828" s="82"/>
      <c r="AL1828" s="162"/>
      <c r="AM1828" s="162"/>
      <c r="AN1828" s="162"/>
      <c r="AO1828" s="162"/>
      <c r="AP1828" s="162"/>
      <c r="AQ1828" s="162"/>
      <c r="AR1828" s="710"/>
      <c r="AV1828" s="82"/>
      <c r="AW1828" s="947"/>
      <c r="AX1828" s="947"/>
      <c r="AY1828" s="947"/>
    </row>
    <row r="1829" spans="31:51" x14ac:dyDescent="0.25">
      <c r="AE1829" s="75"/>
      <c r="AF1829" s="82"/>
      <c r="AG1829" s="82"/>
      <c r="AH1829" s="82"/>
      <c r="AI1829" s="82"/>
      <c r="AJ1829" s="166"/>
      <c r="AK1829" s="82"/>
      <c r="AL1829" s="162"/>
      <c r="AM1829" s="162"/>
      <c r="AN1829" s="162"/>
      <c r="AO1829" s="162"/>
      <c r="AP1829" s="162"/>
      <c r="AQ1829" s="162"/>
      <c r="AR1829" s="710"/>
      <c r="AV1829" s="82"/>
      <c r="AW1829" s="947"/>
      <c r="AX1829" s="947"/>
      <c r="AY1829" s="947"/>
    </row>
    <row r="1830" spans="31:51" x14ac:dyDescent="0.25">
      <c r="AE1830" s="75"/>
      <c r="AF1830" s="82"/>
      <c r="AG1830" s="82"/>
      <c r="AH1830" s="82"/>
      <c r="AI1830" s="82"/>
      <c r="AJ1830" s="166"/>
      <c r="AK1830" s="82"/>
      <c r="AL1830" s="162"/>
      <c r="AM1830" s="162"/>
      <c r="AN1830" s="162"/>
      <c r="AO1830" s="162"/>
      <c r="AP1830" s="162"/>
      <c r="AQ1830" s="162"/>
      <c r="AR1830" s="710"/>
      <c r="AV1830" s="82"/>
      <c r="AW1830" s="947"/>
      <c r="AX1830" s="947"/>
      <c r="AY1830" s="947"/>
    </row>
    <row r="1831" spans="31:51" x14ac:dyDescent="0.25">
      <c r="AE1831" s="75"/>
      <c r="AF1831" s="82"/>
      <c r="AG1831" s="82"/>
      <c r="AH1831" s="82"/>
      <c r="AI1831" s="82"/>
      <c r="AJ1831" s="166"/>
      <c r="AK1831" s="82"/>
      <c r="AL1831" s="162"/>
      <c r="AM1831" s="162"/>
      <c r="AN1831" s="162"/>
      <c r="AO1831" s="162"/>
      <c r="AP1831" s="162"/>
      <c r="AQ1831" s="162"/>
      <c r="AR1831" s="710"/>
      <c r="AV1831" s="82"/>
      <c r="AW1831" s="947"/>
      <c r="AX1831" s="947"/>
      <c r="AY1831" s="947"/>
    </row>
    <row r="1832" spans="31:51" x14ac:dyDescent="0.25">
      <c r="AE1832" s="75"/>
      <c r="AF1832" s="82"/>
      <c r="AG1832" s="82"/>
      <c r="AH1832" s="82"/>
      <c r="AI1832" s="82"/>
      <c r="AJ1832" s="166"/>
      <c r="AK1832" s="82"/>
      <c r="AL1832" s="162"/>
      <c r="AM1832" s="162"/>
      <c r="AN1832" s="162"/>
      <c r="AO1832" s="162"/>
      <c r="AP1832" s="162"/>
      <c r="AQ1832" s="162"/>
      <c r="AR1832" s="710"/>
      <c r="AV1832" s="82"/>
      <c r="AW1832" s="947"/>
      <c r="AX1832" s="947"/>
      <c r="AY1832" s="947"/>
    </row>
    <row r="1833" spans="31:51" x14ac:dyDescent="0.25">
      <c r="AE1833" s="75"/>
      <c r="AF1833" s="82"/>
      <c r="AG1833" s="82"/>
      <c r="AH1833" s="82"/>
      <c r="AI1833" s="82"/>
      <c r="AJ1833" s="166"/>
      <c r="AK1833" s="82"/>
      <c r="AL1833" s="162"/>
      <c r="AM1833" s="162"/>
      <c r="AN1833" s="162"/>
      <c r="AO1833" s="162"/>
      <c r="AP1833" s="162"/>
      <c r="AQ1833" s="162"/>
      <c r="AR1833" s="710"/>
      <c r="AV1833" s="82"/>
      <c r="AW1833" s="947"/>
      <c r="AX1833" s="947"/>
      <c r="AY1833" s="947"/>
    </row>
    <row r="1834" spans="31:51" x14ac:dyDescent="0.25">
      <c r="AE1834" s="75"/>
      <c r="AF1834" s="82"/>
      <c r="AG1834" s="82"/>
      <c r="AH1834" s="82"/>
      <c r="AI1834" s="82"/>
      <c r="AJ1834" s="166"/>
      <c r="AK1834" s="82"/>
      <c r="AL1834" s="162"/>
      <c r="AM1834" s="162"/>
      <c r="AN1834" s="162"/>
      <c r="AO1834" s="162"/>
      <c r="AP1834" s="162"/>
      <c r="AQ1834" s="162"/>
      <c r="AR1834" s="710"/>
      <c r="AV1834" s="82"/>
      <c r="AW1834" s="947"/>
      <c r="AX1834" s="947"/>
      <c r="AY1834" s="947"/>
    </row>
    <row r="1835" spans="31:51" x14ac:dyDescent="0.25">
      <c r="AE1835" s="75"/>
      <c r="AF1835" s="82"/>
      <c r="AG1835" s="82"/>
      <c r="AH1835" s="82"/>
      <c r="AI1835" s="82"/>
      <c r="AJ1835" s="166"/>
      <c r="AK1835" s="82"/>
      <c r="AL1835" s="162"/>
      <c r="AM1835" s="162"/>
      <c r="AN1835" s="162"/>
      <c r="AO1835" s="162"/>
      <c r="AP1835" s="162"/>
      <c r="AQ1835" s="162"/>
      <c r="AR1835" s="710"/>
      <c r="AV1835" s="82"/>
      <c r="AW1835" s="947"/>
      <c r="AX1835" s="947"/>
      <c r="AY1835" s="947"/>
    </row>
    <row r="1836" spans="31:51" x14ac:dyDescent="0.25">
      <c r="AE1836" s="75"/>
      <c r="AF1836" s="82"/>
      <c r="AG1836" s="82"/>
      <c r="AH1836" s="82"/>
      <c r="AI1836" s="82"/>
      <c r="AJ1836" s="166"/>
      <c r="AK1836" s="82"/>
      <c r="AL1836" s="162"/>
      <c r="AM1836" s="162"/>
      <c r="AN1836" s="162"/>
      <c r="AO1836" s="162"/>
      <c r="AP1836" s="162"/>
      <c r="AQ1836" s="162"/>
      <c r="AR1836" s="710"/>
      <c r="AV1836" s="82"/>
      <c r="AW1836" s="947"/>
      <c r="AX1836" s="947"/>
      <c r="AY1836" s="947"/>
    </row>
    <row r="1837" spans="31:51" x14ac:dyDescent="0.25">
      <c r="AE1837" s="75"/>
      <c r="AF1837" s="82"/>
      <c r="AG1837" s="82"/>
      <c r="AH1837" s="82"/>
      <c r="AI1837" s="82"/>
      <c r="AJ1837" s="166"/>
      <c r="AK1837" s="82"/>
      <c r="AL1837" s="162"/>
      <c r="AM1837" s="162"/>
      <c r="AN1837" s="162"/>
      <c r="AO1837" s="162"/>
      <c r="AP1837" s="162"/>
      <c r="AQ1837" s="162"/>
      <c r="AR1837" s="710"/>
      <c r="AV1837" s="82"/>
      <c r="AW1837" s="947"/>
      <c r="AX1837" s="947"/>
      <c r="AY1837" s="947"/>
    </row>
    <row r="1838" spans="31:51" x14ac:dyDescent="0.25">
      <c r="AE1838" s="75"/>
      <c r="AF1838" s="82"/>
      <c r="AG1838" s="82"/>
      <c r="AH1838" s="82"/>
      <c r="AI1838" s="82"/>
      <c r="AJ1838" s="166"/>
      <c r="AK1838" s="82"/>
      <c r="AL1838" s="162"/>
      <c r="AM1838" s="162"/>
      <c r="AN1838" s="162"/>
      <c r="AO1838" s="162"/>
      <c r="AP1838" s="162"/>
      <c r="AQ1838" s="162"/>
      <c r="AR1838" s="710"/>
      <c r="AV1838" s="82"/>
      <c r="AW1838" s="947"/>
      <c r="AX1838" s="947"/>
      <c r="AY1838" s="947"/>
    </row>
    <row r="1839" spans="31:51" x14ac:dyDescent="0.25">
      <c r="AE1839" s="75"/>
      <c r="AF1839" s="82"/>
      <c r="AG1839" s="82"/>
      <c r="AH1839" s="82"/>
      <c r="AI1839" s="82"/>
      <c r="AJ1839" s="166"/>
      <c r="AK1839" s="82"/>
      <c r="AL1839" s="162"/>
      <c r="AM1839" s="162"/>
      <c r="AN1839" s="162"/>
      <c r="AO1839" s="162"/>
      <c r="AP1839" s="162"/>
      <c r="AQ1839" s="162"/>
      <c r="AR1839" s="710"/>
      <c r="AV1839" s="82"/>
      <c r="AW1839" s="947"/>
      <c r="AX1839" s="947"/>
      <c r="AY1839" s="947"/>
    </row>
    <row r="1840" spans="31:51" x14ac:dyDescent="0.25">
      <c r="AE1840" s="75"/>
      <c r="AF1840" s="82"/>
      <c r="AG1840" s="82"/>
      <c r="AH1840" s="82"/>
      <c r="AI1840" s="82"/>
      <c r="AJ1840" s="166"/>
      <c r="AK1840" s="82"/>
      <c r="AL1840" s="162"/>
      <c r="AM1840" s="162"/>
      <c r="AN1840" s="162"/>
      <c r="AO1840" s="162"/>
      <c r="AP1840" s="162"/>
      <c r="AQ1840" s="162"/>
      <c r="AR1840" s="710"/>
      <c r="AV1840" s="82"/>
      <c r="AW1840" s="947"/>
      <c r="AX1840" s="947"/>
      <c r="AY1840" s="947"/>
    </row>
    <row r="1841" spans="31:51" x14ac:dyDescent="0.25">
      <c r="AE1841" s="75"/>
      <c r="AF1841" s="82"/>
      <c r="AG1841" s="82"/>
      <c r="AH1841" s="82"/>
      <c r="AI1841" s="82"/>
      <c r="AJ1841" s="166"/>
      <c r="AK1841" s="82"/>
      <c r="AL1841" s="162"/>
      <c r="AM1841" s="162"/>
      <c r="AN1841" s="162"/>
      <c r="AO1841" s="162"/>
      <c r="AP1841" s="162"/>
      <c r="AQ1841" s="162"/>
      <c r="AR1841" s="710"/>
      <c r="AV1841" s="82"/>
      <c r="AW1841" s="947"/>
      <c r="AX1841" s="947"/>
      <c r="AY1841" s="947"/>
    </row>
    <row r="1842" spans="31:51" x14ac:dyDescent="0.25">
      <c r="AE1842" s="75"/>
      <c r="AF1842" s="82"/>
      <c r="AG1842" s="82"/>
      <c r="AH1842" s="82"/>
      <c r="AI1842" s="82"/>
      <c r="AJ1842" s="166"/>
      <c r="AK1842" s="82"/>
      <c r="AL1842" s="162"/>
      <c r="AM1842" s="162"/>
      <c r="AN1842" s="162"/>
      <c r="AO1842" s="162"/>
      <c r="AP1842" s="162"/>
      <c r="AQ1842" s="162"/>
      <c r="AR1842" s="710"/>
      <c r="AV1842" s="82"/>
      <c r="AW1842" s="947"/>
      <c r="AX1842" s="947"/>
      <c r="AY1842" s="947"/>
    </row>
    <row r="1843" spans="31:51" x14ac:dyDescent="0.25">
      <c r="AE1843" s="75"/>
      <c r="AF1843" s="82"/>
      <c r="AG1843" s="82"/>
      <c r="AH1843" s="82"/>
      <c r="AI1843" s="82"/>
      <c r="AJ1843" s="166"/>
      <c r="AK1843" s="82"/>
      <c r="AL1843" s="162"/>
      <c r="AM1843" s="162"/>
      <c r="AN1843" s="162"/>
      <c r="AO1843" s="162"/>
      <c r="AP1843" s="162"/>
      <c r="AQ1843" s="162"/>
      <c r="AR1843" s="710"/>
      <c r="AV1843" s="82"/>
      <c r="AW1843" s="947"/>
      <c r="AX1843" s="947"/>
      <c r="AY1843" s="947"/>
    </row>
    <row r="1844" spans="31:51" x14ac:dyDescent="0.25">
      <c r="AE1844" s="75"/>
      <c r="AF1844" s="82"/>
      <c r="AG1844" s="82"/>
      <c r="AH1844" s="82"/>
      <c r="AI1844" s="82"/>
      <c r="AJ1844" s="166"/>
      <c r="AK1844" s="82"/>
      <c r="AL1844" s="162"/>
      <c r="AM1844" s="162"/>
      <c r="AN1844" s="162"/>
      <c r="AO1844" s="162"/>
      <c r="AP1844" s="162"/>
      <c r="AQ1844" s="162"/>
      <c r="AR1844" s="710"/>
      <c r="AV1844" s="82"/>
      <c r="AW1844" s="947"/>
      <c r="AX1844" s="947"/>
      <c r="AY1844" s="947"/>
    </row>
    <row r="1845" spans="31:51" x14ac:dyDescent="0.25">
      <c r="AE1845" s="75"/>
      <c r="AF1845" s="82"/>
      <c r="AG1845" s="82"/>
      <c r="AH1845" s="82"/>
      <c r="AI1845" s="82"/>
      <c r="AJ1845" s="166"/>
      <c r="AK1845" s="82"/>
      <c r="AL1845" s="162"/>
      <c r="AM1845" s="162"/>
      <c r="AN1845" s="162"/>
      <c r="AO1845" s="162"/>
      <c r="AP1845" s="162"/>
      <c r="AQ1845" s="162"/>
      <c r="AR1845" s="710"/>
      <c r="AV1845" s="82"/>
      <c r="AW1845" s="947"/>
      <c r="AX1845" s="947"/>
      <c r="AY1845" s="947"/>
    </row>
    <row r="1846" spans="31:51" x14ac:dyDescent="0.25">
      <c r="AE1846" s="75"/>
      <c r="AF1846" s="82"/>
      <c r="AG1846" s="82"/>
      <c r="AH1846" s="82"/>
      <c r="AI1846" s="82"/>
      <c r="AJ1846" s="166"/>
      <c r="AK1846" s="82"/>
      <c r="AL1846" s="162"/>
      <c r="AM1846" s="162"/>
      <c r="AN1846" s="162"/>
      <c r="AO1846" s="162"/>
      <c r="AP1846" s="162"/>
      <c r="AQ1846" s="162"/>
      <c r="AR1846" s="710"/>
      <c r="AV1846" s="82"/>
      <c r="AW1846" s="947"/>
      <c r="AX1846" s="947"/>
      <c r="AY1846" s="947"/>
    </row>
    <row r="1847" spans="31:51" x14ac:dyDescent="0.25">
      <c r="AE1847" s="75"/>
      <c r="AF1847" s="82"/>
      <c r="AG1847" s="82"/>
      <c r="AH1847" s="82"/>
      <c r="AI1847" s="82"/>
      <c r="AJ1847" s="166"/>
      <c r="AK1847" s="82"/>
      <c r="AL1847" s="162"/>
      <c r="AM1847" s="162"/>
      <c r="AN1847" s="162"/>
      <c r="AO1847" s="162"/>
      <c r="AP1847" s="162"/>
      <c r="AQ1847" s="162"/>
      <c r="AR1847" s="710"/>
      <c r="AV1847" s="82"/>
      <c r="AW1847" s="947"/>
      <c r="AX1847" s="947"/>
      <c r="AY1847" s="947"/>
    </row>
    <row r="1848" spans="31:51" x14ac:dyDescent="0.25">
      <c r="AE1848" s="75"/>
      <c r="AF1848" s="82"/>
      <c r="AG1848" s="82"/>
      <c r="AH1848" s="82"/>
      <c r="AI1848" s="82"/>
      <c r="AJ1848" s="166"/>
      <c r="AK1848" s="82"/>
      <c r="AL1848" s="162"/>
      <c r="AM1848" s="162"/>
      <c r="AN1848" s="162"/>
      <c r="AO1848" s="162"/>
      <c r="AP1848" s="162"/>
      <c r="AQ1848" s="162"/>
      <c r="AR1848" s="710"/>
      <c r="AV1848" s="82"/>
      <c r="AW1848" s="947"/>
      <c r="AX1848" s="947"/>
      <c r="AY1848" s="947"/>
    </row>
    <row r="1849" spans="31:51" x14ac:dyDescent="0.25">
      <c r="AE1849" s="75"/>
      <c r="AF1849" s="82"/>
      <c r="AG1849" s="82"/>
      <c r="AH1849" s="82"/>
      <c r="AI1849" s="82"/>
      <c r="AJ1849" s="166"/>
      <c r="AK1849" s="82"/>
      <c r="AL1849" s="162"/>
      <c r="AM1849" s="162"/>
      <c r="AN1849" s="162"/>
      <c r="AO1849" s="162"/>
      <c r="AP1849" s="162"/>
      <c r="AQ1849" s="162"/>
      <c r="AR1849" s="710"/>
      <c r="AV1849" s="82"/>
      <c r="AW1849" s="947"/>
      <c r="AX1849" s="947"/>
      <c r="AY1849" s="947"/>
    </row>
    <row r="1850" spans="31:51" x14ac:dyDescent="0.25">
      <c r="AE1850" s="75"/>
      <c r="AF1850" s="82"/>
      <c r="AG1850" s="82"/>
      <c r="AH1850" s="82"/>
      <c r="AI1850" s="82"/>
      <c r="AJ1850" s="166"/>
      <c r="AK1850" s="82"/>
      <c r="AL1850" s="162"/>
      <c r="AM1850" s="162"/>
      <c r="AN1850" s="162"/>
      <c r="AO1850" s="162"/>
      <c r="AP1850" s="162"/>
      <c r="AQ1850" s="162"/>
      <c r="AR1850" s="710"/>
      <c r="AV1850" s="82"/>
      <c r="AW1850" s="947"/>
      <c r="AX1850" s="947"/>
      <c r="AY1850" s="947"/>
    </row>
    <row r="1851" spans="31:51" x14ac:dyDescent="0.25">
      <c r="AE1851" s="75"/>
      <c r="AF1851" s="82"/>
      <c r="AG1851" s="82"/>
      <c r="AH1851" s="82"/>
      <c r="AI1851" s="82"/>
      <c r="AJ1851" s="166"/>
      <c r="AK1851" s="82"/>
      <c r="AL1851" s="162"/>
      <c r="AM1851" s="162"/>
      <c r="AN1851" s="162"/>
      <c r="AO1851" s="162"/>
      <c r="AP1851" s="162"/>
      <c r="AQ1851" s="162"/>
      <c r="AR1851" s="710"/>
      <c r="AV1851" s="82"/>
      <c r="AW1851" s="947"/>
      <c r="AX1851" s="947"/>
      <c r="AY1851" s="947"/>
    </row>
    <row r="1852" spans="31:51" x14ac:dyDescent="0.25">
      <c r="AE1852" s="75"/>
      <c r="AF1852" s="82"/>
      <c r="AG1852" s="82"/>
      <c r="AH1852" s="82"/>
      <c r="AI1852" s="82"/>
      <c r="AJ1852" s="166"/>
      <c r="AK1852" s="82"/>
      <c r="AL1852" s="162"/>
      <c r="AM1852" s="162"/>
      <c r="AN1852" s="162"/>
      <c r="AO1852" s="162"/>
      <c r="AP1852" s="162"/>
      <c r="AQ1852" s="162"/>
      <c r="AR1852" s="710"/>
      <c r="AV1852" s="82"/>
      <c r="AW1852" s="947"/>
      <c r="AX1852" s="947"/>
      <c r="AY1852" s="947"/>
    </row>
    <row r="1853" spans="31:51" x14ac:dyDescent="0.25">
      <c r="AE1853" s="75"/>
      <c r="AF1853" s="82"/>
      <c r="AG1853" s="82"/>
      <c r="AH1853" s="82"/>
      <c r="AI1853" s="82"/>
      <c r="AJ1853" s="166"/>
      <c r="AK1853" s="82"/>
      <c r="AL1853" s="162"/>
      <c r="AM1853" s="162"/>
      <c r="AN1853" s="162"/>
      <c r="AO1853" s="162"/>
      <c r="AP1853" s="162"/>
      <c r="AQ1853" s="162"/>
      <c r="AR1853" s="710"/>
      <c r="AV1853" s="82"/>
      <c r="AW1853" s="947"/>
      <c r="AX1853" s="947"/>
      <c r="AY1853" s="947"/>
    </row>
    <row r="1854" spans="31:51" x14ac:dyDescent="0.25">
      <c r="AE1854" s="75"/>
      <c r="AF1854" s="82"/>
      <c r="AG1854" s="82"/>
      <c r="AH1854" s="82"/>
      <c r="AI1854" s="82"/>
      <c r="AJ1854" s="166"/>
      <c r="AK1854" s="82"/>
      <c r="AL1854" s="162"/>
      <c r="AM1854" s="162"/>
      <c r="AN1854" s="162"/>
      <c r="AO1854" s="162"/>
      <c r="AP1854" s="162"/>
      <c r="AQ1854" s="162"/>
      <c r="AR1854" s="710"/>
      <c r="AV1854" s="82"/>
      <c r="AW1854" s="947"/>
      <c r="AX1854" s="947"/>
      <c r="AY1854" s="947"/>
    </row>
    <row r="1855" spans="31:51" x14ac:dyDescent="0.25">
      <c r="AE1855" s="75"/>
      <c r="AF1855" s="82"/>
      <c r="AG1855" s="82"/>
      <c r="AH1855" s="82"/>
      <c r="AI1855" s="82"/>
      <c r="AJ1855" s="166"/>
      <c r="AK1855" s="82"/>
      <c r="AL1855" s="162"/>
      <c r="AM1855" s="162"/>
      <c r="AN1855" s="162"/>
      <c r="AO1855" s="162"/>
      <c r="AP1855" s="162"/>
      <c r="AQ1855" s="162"/>
      <c r="AR1855" s="710"/>
      <c r="AV1855" s="82"/>
      <c r="AW1855" s="947"/>
      <c r="AX1855" s="947"/>
      <c r="AY1855" s="947"/>
    </row>
    <row r="1856" spans="31:51" x14ac:dyDescent="0.25">
      <c r="AE1856" s="75"/>
      <c r="AF1856" s="82"/>
      <c r="AG1856" s="82"/>
      <c r="AH1856" s="82"/>
      <c r="AI1856" s="82"/>
      <c r="AJ1856" s="166"/>
      <c r="AK1856" s="82"/>
      <c r="AL1856" s="162"/>
      <c r="AM1856" s="162"/>
      <c r="AN1856" s="162"/>
      <c r="AO1856" s="162"/>
      <c r="AP1856" s="162"/>
      <c r="AQ1856" s="162"/>
      <c r="AR1856" s="710"/>
      <c r="AV1856" s="82"/>
      <c r="AW1856" s="947"/>
      <c r="AX1856" s="947"/>
      <c r="AY1856" s="947"/>
    </row>
    <row r="1857" spans="31:51" x14ac:dyDescent="0.25">
      <c r="AE1857" s="75"/>
      <c r="AF1857" s="82"/>
      <c r="AG1857" s="82"/>
      <c r="AH1857" s="82"/>
      <c r="AI1857" s="82"/>
      <c r="AJ1857" s="166"/>
      <c r="AK1857" s="82"/>
      <c r="AL1857" s="162"/>
      <c r="AM1857" s="162"/>
      <c r="AN1857" s="162"/>
      <c r="AO1857" s="162"/>
      <c r="AP1857" s="162"/>
      <c r="AQ1857" s="162"/>
      <c r="AR1857" s="710"/>
      <c r="AV1857" s="82"/>
      <c r="AW1857" s="947"/>
      <c r="AX1857" s="947"/>
      <c r="AY1857" s="947"/>
    </row>
    <row r="1858" spans="31:51" x14ac:dyDescent="0.25">
      <c r="AE1858" s="75"/>
      <c r="AF1858" s="82"/>
      <c r="AG1858" s="82"/>
      <c r="AH1858" s="82"/>
      <c r="AI1858" s="82"/>
      <c r="AJ1858" s="166"/>
      <c r="AK1858" s="82"/>
      <c r="AL1858" s="162"/>
      <c r="AM1858" s="162"/>
      <c r="AN1858" s="162"/>
      <c r="AO1858" s="162"/>
      <c r="AP1858" s="162"/>
      <c r="AQ1858" s="162"/>
      <c r="AR1858" s="710"/>
      <c r="AV1858" s="82"/>
      <c r="AW1858" s="947"/>
      <c r="AX1858" s="947"/>
      <c r="AY1858" s="947"/>
    </row>
    <row r="1859" spans="31:51" x14ac:dyDescent="0.25">
      <c r="AE1859" s="75"/>
      <c r="AF1859" s="82"/>
      <c r="AG1859" s="82"/>
      <c r="AH1859" s="82"/>
      <c r="AI1859" s="82"/>
      <c r="AJ1859" s="166"/>
      <c r="AK1859" s="82"/>
      <c r="AL1859" s="162"/>
      <c r="AM1859" s="162"/>
      <c r="AN1859" s="162"/>
      <c r="AO1859" s="162"/>
      <c r="AP1859" s="162"/>
      <c r="AQ1859" s="162"/>
      <c r="AR1859" s="710"/>
      <c r="AV1859" s="82"/>
      <c r="AW1859" s="947"/>
      <c r="AX1859" s="947"/>
      <c r="AY1859" s="947"/>
    </row>
    <row r="1860" spans="31:51" x14ac:dyDescent="0.25">
      <c r="AE1860" s="75"/>
      <c r="AF1860" s="82"/>
      <c r="AG1860" s="82"/>
      <c r="AH1860" s="82"/>
      <c r="AI1860" s="82"/>
      <c r="AJ1860" s="166"/>
      <c r="AK1860" s="82"/>
      <c r="AL1860" s="162"/>
      <c r="AM1860" s="162"/>
      <c r="AN1860" s="162"/>
      <c r="AO1860" s="162"/>
      <c r="AP1860" s="162"/>
      <c r="AQ1860" s="162"/>
      <c r="AR1860" s="710"/>
      <c r="AV1860" s="82"/>
      <c r="AW1860" s="947"/>
      <c r="AX1860" s="947"/>
      <c r="AY1860" s="947"/>
    </row>
    <row r="1861" spans="31:51" x14ac:dyDescent="0.25">
      <c r="AE1861" s="75"/>
      <c r="AF1861" s="82"/>
      <c r="AG1861" s="82"/>
      <c r="AH1861" s="82"/>
      <c r="AI1861" s="82"/>
      <c r="AJ1861" s="166"/>
      <c r="AK1861" s="82"/>
      <c r="AL1861" s="162"/>
      <c r="AM1861" s="162"/>
      <c r="AN1861" s="162"/>
      <c r="AO1861" s="162"/>
      <c r="AP1861" s="162"/>
      <c r="AQ1861" s="162"/>
      <c r="AR1861" s="710"/>
      <c r="AV1861" s="82"/>
      <c r="AW1861" s="947"/>
      <c r="AX1861" s="947"/>
      <c r="AY1861" s="947"/>
    </row>
    <row r="1862" spans="31:51" x14ac:dyDescent="0.25">
      <c r="AE1862" s="75"/>
      <c r="AF1862" s="82"/>
      <c r="AG1862" s="82"/>
      <c r="AH1862" s="82"/>
      <c r="AI1862" s="82"/>
      <c r="AJ1862" s="166"/>
      <c r="AK1862" s="82"/>
      <c r="AL1862" s="162"/>
      <c r="AM1862" s="162"/>
      <c r="AN1862" s="162"/>
      <c r="AO1862" s="162"/>
      <c r="AP1862" s="162"/>
      <c r="AQ1862" s="162"/>
      <c r="AR1862" s="710"/>
      <c r="AV1862" s="82"/>
      <c r="AW1862" s="947"/>
      <c r="AX1862" s="947"/>
      <c r="AY1862" s="947"/>
    </row>
    <row r="1863" spans="31:51" x14ac:dyDescent="0.25">
      <c r="AE1863" s="75"/>
      <c r="AF1863" s="82"/>
      <c r="AG1863" s="82"/>
      <c r="AH1863" s="82"/>
      <c r="AI1863" s="82"/>
      <c r="AJ1863" s="166"/>
      <c r="AK1863" s="82"/>
      <c r="AL1863" s="162"/>
      <c r="AM1863" s="162"/>
      <c r="AN1863" s="162"/>
      <c r="AO1863" s="162"/>
      <c r="AP1863" s="162"/>
      <c r="AQ1863" s="162"/>
      <c r="AR1863" s="710"/>
      <c r="AV1863" s="82"/>
      <c r="AW1863" s="947"/>
      <c r="AX1863" s="947"/>
      <c r="AY1863" s="947"/>
    </row>
    <row r="1864" spans="31:51" x14ac:dyDescent="0.25">
      <c r="AE1864" s="75"/>
      <c r="AF1864" s="82"/>
      <c r="AG1864" s="82"/>
      <c r="AH1864" s="82"/>
      <c r="AI1864" s="82"/>
      <c r="AJ1864" s="166"/>
      <c r="AK1864" s="82"/>
      <c r="AL1864" s="162"/>
      <c r="AM1864" s="162"/>
      <c r="AN1864" s="162"/>
      <c r="AO1864" s="162"/>
      <c r="AP1864" s="162"/>
      <c r="AQ1864" s="162"/>
      <c r="AR1864" s="710"/>
      <c r="AV1864" s="82"/>
      <c r="AW1864" s="947"/>
      <c r="AX1864" s="947"/>
      <c r="AY1864" s="947"/>
    </row>
    <row r="1865" spans="31:51" x14ac:dyDescent="0.25">
      <c r="AE1865" s="75"/>
      <c r="AF1865" s="82"/>
      <c r="AG1865" s="82"/>
      <c r="AH1865" s="82"/>
      <c r="AI1865" s="82"/>
      <c r="AJ1865" s="166"/>
      <c r="AK1865" s="82"/>
      <c r="AL1865" s="162"/>
      <c r="AM1865" s="162"/>
      <c r="AN1865" s="162"/>
      <c r="AO1865" s="162"/>
      <c r="AP1865" s="162"/>
      <c r="AQ1865" s="162"/>
      <c r="AR1865" s="710"/>
      <c r="AV1865" s="82"/>
      <c r="AW1865" s="947"/>
      <c r="AX1865" s="947"/>
      <c r="AY1865" s="947"/>
    </row>
    <row r="1866" spans="31:51" x14ac:dyDescent="0.25">
      <c r="AE1866" s="75"/>
      <c r="AF1866" s="82"/>
      <c r="AG1866" s="82"/>
      <c r="AH1866" s="82"/>
      <c r="AI1866" s="82"/>
      <c r="AJ1866" s="166"/>
      <c r="AK1866" s="82"/>
      <c r="AL1866" s="162"/>
      <c r="AM1866" s="162"/>
      <c r="AN1866" s="162"/>
      <c r="AO1866" s="162"/>
      <c r="AP1866" s="162"/>
      <c r="AQ1866" s="162"/>
      <c r="AR1866" s="710"/>
      <c r="AV1866" s="82"/>
      <c r="AW1866" s="947"/>
      <c r="AX1866" s="947"/>
      <c r="AY1866" s="947"/>
    </row>
    <row r="1867" spans="31:51" x14ac:dyDescent="0.25">
      <c r="AE1867" s="75"/>
      <c r="AF1867" s="82"/>
      <c r="AG1867" s="82"/>
      <c r="AH1867" s="82"/>
      <c r="AI1867" s="82"/>
      <c r="AJ1867" s="166"/>
      <c r="AK1867" s="82"/>
      <c r="AL1867" s="162"/>
      <c r="AM1867" s="162"/>
      <c r="AN1867" s="162"/>
      <c r="AO1867" s="162"/>
      <c r="AP1867" s="162"/>
      <c r="AQ1867" s="162"/>
      <c r="AR1867" s="710"/>
      <c r="AV1867" s="82"/>
      <c r="AW1867" s="947"/>
      <c r="AX1867" s="947"/>
      <c r="AY1867" s="947"/>
    </row>
    <row r="1868" spans="31:51" x14ac:dyDescent="0.25">
      <c r="AE1868" s="75"/>
      <c r="AF1868" s="82"/>
      <c r="AG1868" s="82"/>
      <c r="AH1868" s="82"/>
      <c r="AI1868" s="82"/>
      <c r="AJ1868" s="166"/>
      <c r="AK1868" s="82"/>
      <c r="AL1868" s="162"/>
      <c r="AM1868" s="162"/>
      <c r="AN1868" s="162"/>
      <c r="AO1868" s="162"/>
      <c r="AP1868" s="162"/>
      <c r="AQ1868" s="162"/>
      <c r="AR1868" s="710"/>
      <c r="AV1868" s="82"/>
      <c r="AW1868" s="947"/>
      <c r="AX1868" s="947"/>
      <c r="AY1868" s="947"/>
    </row>
    <row r="1869" spans="31:51" x14ac:dyDescent="0.25">
      <c r="AE1869" s="75"/>
      <c r="AF1869" s="82"/>
      <c r="AG1869" s="82"/>
      <c r="AH1869" s="82"/>
      <c r="AI1869" s="82"/>
      <c r="AJ1869" s="166"/>
      <c r="AK1869" s="82"/>
      <c r="AL1869" s="162"/>
      <c r="AM1869" s="162"/>
      <c r="AN1869" s="162"/>
      <c r="AO1869" s="162"/>
      <c r="AP1869" s="162"/>
      <c r="AQ1869" s="162"/>
      <c r="AR1869" s="710"/>
      <c r="AV1869" s="82"/>
      <c r="AW1869" s="947"/>
      <c r="AX1869" s="947"/>
      <c r="AY1869" s="947"/>
    </row>
    <row r="1870" spans="31:51" x14ac:dyDescent="0.25">
      <c r="AE1870" s="75"/>
      <c r="AF1870" s="82"/>
      <c r="AG1870" s="82"/>
      <c r="AH1870" s="82"/>
      <c r="AI1870" s="82"/>
      <c r="AJ1870" s="166"/>
      <c r="AK1870" s="82"/>
      <c r="AL1870" s="162"/>
      <c r="AM1870" s="162"/>
      <c r="AN1870" s="162"/>
      <c r="AO1870" s="162"/>
      <c r="AP1870" s="162"/>
      <c r="AQ1870" s="162"/>
      <c r="AR1870" s="710"/>
      <c r="AV1870" s="82"/>
      <c r="AW1870" s="947"/>
      <c r="AX1870" s="947"/>
      <c r="AY1870" s="947"/>
    </row>
    <row r="1871" spans="31:51" x14ac:dyDescent="0.25">
      <c r="AE1871" s="75"/>
      <c r="AF1871" s="82"/>
      <c r="AG1871" s="82"/>
      <c r="AH1871" s="82"/>
      <c r="AI1871" s="82"/>
      <c r="AJ1871" s="166"/>
      <c r="AK1871" s="82"/>
      <c r="AL1871" s="162"/>
      <c r="AM1871" s="162"/>
      <c r="AN1871" s="162"/>
      <c r="AO1871" s="162"/>
      <c r="AP1871" s="162"/>
      <c r="AQ1871" s="162"/>
      <c r="AR1871" s="710"/>
      <c r="AV1871" s="82"/>
      <c r="AW1871" s="947"/>
      <c r="AX1871" s="947"/>
      <c r="AY1871" s="947"/>
    </row>
    <row r="1872" spans="31:51" x14ac:dyDescent="0.25">
      <c r="AE1872" s="75"/>
      <c r="AF1872" s="82"/>
      <c r="AG1872" s="82"/>
      <c r="AH1872" s="82"/>
      <c r="AI1872" s="82"/>
      <c r="AJ1872" s="166"/>
      <c r="AK1872" s="82"/>
      <c r="AL1872" s="162"/>
      <c r="AM1872" s="162"/>
      <c r="AN1872" s="162"/>
      <c r="AO1872" s="162"/>
      <c r="AP1872" s="162"/>
      <c r="AQ1872" s="162"/>
      <c r="AR1872" s="710"/>
      <c r="AV1872" s="82"/>
      <c r="AW1872" s="947"/>
      <c r="AX1872" s="947"/>
      <c r="AY1872" s="947"/>
    </row>
    <row r="1873" spans="31:51" x14ac:dyDescent="0.25">
      <c r="AE1873" s="75"/>
      <c r="AF1873" s="82"/>
      <c r="AG1873" s="82"/>
      <c r="AH1873" s="82"/>
      <c r="AI1873" s="82"/>
      <c r="AJ1873" s="166"/>
      <c r="AK1873" s="82"/>
      <c r="AL1873" s="162"/>
      <c r="AM1873" s="162"/>
      <c r="AN1873" s="162"/>
      <c r="AO1873" s="162"/>
      <c r="AP1873" s="162"/>
      <c r="AQ1873" s="162"/>
      <c r="AR1873" s="710"/>
      <c r="AV1873" s="82"/>
      <c r="AW1873" s="947"/>
      <c r="AX1873" s="947"/>
      <c r="AY1873" s="947"/>
    </row>
    <row r="1874" spans="31:51" x14ac:dyDescent="0.25">
      <c r="AE1874" s="75"/>
      <c r="AF1874" s="82"/>
      <c r="AG1874" s="82"/>
      <c r="AH1874" s="82"/>
      <c r="AI1874" s="82"/>
      <c r="AJ1874" s="166"/>
      <c r="AK1874" s="82"/>
      <c r="AL1874" s="162"/>
      <c r="AM1874" s="162"/>
      <c r="AN1874" s="162"/>
      <c r="AO1874" s="162"/>
      <c r="AP1874" s="162"/>
      <c r="AQ1874" s="162"/>
      <c r="AR1874" s="710"/>
      <c r="AV1874" s="82"/>
      <c r="AW1874" s="947"/>
      <c r="AX1874" s="947"/>
      <c r="AY1874" s="947"/>
    </row>
    <row r="1875" spans="31:51" x14ac:dyDescent="0.25">
      <c r="AE1875" s="75"/>
      <c r="AF1875" s="82"/>
      <c r="AG1875" s="82"/>
      <c r="AH1875" s="82"/>
      <c r="AI1875" s="82"/>
      <c r="AJ1875" s="166"/>
      <c r="AK1875" s="82"/>
      <c r="AL1875" s="162"/>
      <c r="AM1875" s="162"/>
      <c r="AN1875" s="162"/>
      <c r="AO1875" s="162"/>
      <c r="AP1875" s="162"/>
      <c r="AQ1875" s="162"/>
      <c r="AR1875" s="710"/>
      <c r="AV1875" s="82"/>
      <c r="AW1875" s="947"/>
      <c r="AX1875" s="947"/>
      <c r="AY1875" s="947"/>
    </row>
    <row r="1876" spans="31:51" x14ac:dyDescent="0.25">
      <c r="AE1876" s="75"/>
      <c r="AF1876" s="82"/>
      <c r="AG1876" s="82"/>
      <c r="AH1876" s="82"/>
      <c r="AI1876" s="82"/>
      <c r="AJ1876" s="166"/>
      <c r="AK1876" s="82"/>
      <c r="AL1876" s="162"/>
      <c r="AM1876" s="162"/>
      <c r="AN1876" s="162"/>
      <c r="AO1876" s="162"/>
      <c r="AP1876" s="162"/>
      <c r="AQ1876" s="162"/>
      <c r="AR1876" s="710"/>
      <c r="AV1876" s="82"/>
      <c r="AW1876" s="947"/>
      <c r="AX1876" s="947"/>
      <c r="AY1876" s="947"/>
    </row>
    <row r="1877" spans="31:51" x14ac:dyDescent="0.25">
      <c r="AE1877" s="75"/>
      <c r="AF1877" s="82"/>
      <c r="AG1877" s="82"/>
      <c r="AH1877" s="82"/>
      <c r="AI1877" s="82"/>
      <c r="AJ1877" s="166"/>
      <c r="AK1877" s="82"/>
      <c r="AL1877" s="162"/>
      <c r="AM1877" s="162"/>
      <c r="AN1877" s="162"/>
      <c r="AO1877" s="162"/>
      <c r="AP1877" s="162"/>
      <c r="AQ1877" s="162"/>
      <c r="AR1877" s="710"/>
      <c r="AV1877" s="82"/>
      <c r="AW1877" s="947"/>
      <c r="AX1877" s="947"/>
      <c r="AY1877" s="947"/>
    </row>
    <row r="1878" spans="31:51" x14ac:dyDescent="0.25">
      <c r="AE1878" s="75"/>
      <c r="AF1878" s="82"/>
      <c r="AG1878" s="82"/>
      <c r="AH1878" s="82"/>
      <c r="AI1878" s="82"/>
      <c r="AJ1878" s="166"/>
      <c r="AK1878" s="82"/>
      <c r="AL1878" s="162"/>
      <c r="AM1878" s="162"/>
      <c r="AN1878" s="162"/>
      <c r="AO1878" s="162"/>
      <c r="AP1878" s="162"/>
      <c r="AQ1878" s="162"/>
      <c r="AR1878" s="710"/>
      <c r="AV1878" s="82"/>
      <c r="AW1878" s="947"/>
      <c r="AX1878" s="947"/>
      <c r="AY1878" s="947"/>
    </row>
    <row r="1879" spans="31:51" x14ac:dyDescent="0.25">
      <c r="AE1879" s="75"/>
      <c r="AF1879" s="82"/>
      <c r="AG1879" s="82"/>
      <c r="AH1879" s="82"/>
      <c r="AI1879" s="82"/>
      <c r="AJ1879" s="166"/>
      <c r="AK1879" s="82"/>
      <c r="AL1879" s="162"/>
      <c r="AM1879" s="162"/>
      <c r="AN1879" s="162"/>
      <c r="AO1879" s="162"/>
      <c r="AP1879" s="162"/>
      <c r="AQ1879" s="162"/>
      <c r="AR1879" s="710"/>
      <c r="AV1879" s="82"/>
      <c r="AW1879" s="947"/>
      <c r="AX1879" s="947"/>
      <c r="AY1879" s="947"/>
    </row>
    <row r="1880" spans="31:51" x14ac:dyDescent="0.25">
      <c r="AE1880" s="75"/>
      <c r="AF1880" s="82"/>
      <c r="AG1880" s="82"/>
      <c r="AH1880" s="82"/>
      <c r="AI1880" s="82"/>
      <c r="AJ1880" s="166"/>
      <c r="AK1880" s="82"/>
      <c r="AL1880" s="162"/>
      <c r="AM1880" s="162"/>
      <c r="AN1880" s="162"/>
      <c r="AO1880" s="162"/>
      <c r="AP1880" s="162"/>
      <c r="AQ1880" s="162"/>
      <c r="AR1880" s="710"/>
      <c r="AV1880" s="82"/>
      <c r="AW1880" s="947"/>
      <c r="AX1880" s="947"/>
      <c r="AY1880" s="947"/>
    </row>
    <row r="1881" spans="31:51" x14ac:dyDescent="0.25">
      <c r="AE1881" s="75"/>
      <c r="AF1881" s="82"/>
      <c r="AG1881" s="82"/>
      <c r="AH1881" s="82"/>
      <c r="AI1881" s="82"/>
      <c r="AJ1881" s="166"/>
      <c r="AK1881" s="82"/>
      <c r="AL1881" s="162"/>
      <c r="AM1881" s="162"/>
      <c r="AN1881" s="162"/>
      <c r="AO1881" s="162"/>
      <c r="AP1881" s="162"/>
      <c r="AQ1881" s="162"/>
      <c r="AR1881" s="710"/>
      <c r="AV1881" s="82"/>
      <c r="AW1881" s="947"/>
      <c r="AX1881" s="947"/>
      <c r="AY1881" s="947"/>
    </row>
    <row r="1882" spans="31:51" x14ac:dyDescent="0.25">
      <c r="AE1882" s="75"/>
      <c r="AF1882" s="82"/>
      <c r="AG1882" s="82"/>
      <c r="AH1882" s="82"/>
      <c r="AI1882" s="82"/>
      <c r="AJ1882" s="166"/>
      <c r="AK1882" s="82"/>
      <c r="AL1882" s="162"/>
      <c r="AM1882" s="162"/>
      <c r="AN1882" s="162"/>
      <c r="AO1882" s="162"/>
      <c r="AP1882" s="162"/>
      <c r="AQ1882" s="162"/>
      <c r="AR1882" s="710"/>
      <c r="AV1882" s="82"/>
      <c r="AW1882" s="947"/>
      <c r="AX1882" s="947"/>
      <c r="AY1882" s="947"/>
    </row>
    <row r="1883" spans="31:51" x14ac:dyDescent="0.25">
      <c r="AE1883" s="75"/>
      <c r="AF1883" s="82"/>
      <c r="AG1883" s="82"/>
      <c r="AH1883" s="82"/>
      <c r="AI1883" s="82"/>
      <c r="AJ1883" s="166"/>
      <c r="AK1883" s="82"/>
      <c r="AL1883" s="162"/>
      <c r="AM1883" s="162"/>
      <c r="AN1883" s="162"/>
      <c r="AO1883" s="162"/>
      <c r="AP1883" s="162"/>
      <c r="AQ1883" s="162"/>
      <c r="AR1883" s="710"/>
      <c r="AV1883" s="82"/>
      <c r="AW1883" s="947"/>
      <c r="AX1883" s="947"/>
      <c r="AY1883" s="947"/>
    </row>
    <row r="1884" spans="31:51" x14ac:dyDescent="0.25">
      <c r="AE1884" s="75"/>
      <c r="AF1884" s="82"/>
      <c r="AG1884" s="82"/>
      <c r="AH1884" s="82"/>
      <c r="AI1884" s="82"/>
      <c r="AJ1884" s="166"/>
      <c r="AK1884" s="82"/>
      <c r="AL1884" s="162"/>
      <c r="AM1884" s="162"/>
      <c r="AN1884" s="162"/>
      <c r="AO1884" s="162"/>
      <c r="AP1884" s="162"/>
      <c r="AQ1884" s="162"/>
      <c r="AR1884" s="710"/>
      <c r="AV1884" s="82"/>
      <c r="AW1884" s="947"/>
      <c r="AX1884" s="947"/>
      <c r="AY1884" s="947"/>
    </row>
    <row r="1885" spans="31:51" x14ac:dyDescent="0.25">
      <c r="AE1885" s="75"/>
      <c r="AF1885" s="82"/>
      <c r="AG1885" s="82"/>
      <c r="AH1885" s="82"/>
      <c r="AI1885" s="82"/>
      <c r="AJ1885" s="166"/>
      <c r="AK1885" s="82"/>
      <c r="AL1885" s="162"/>
      <c r="AM1885" s="162"/>
      <c r="AN1885" s="162"/>
      <c r="AO1885" s="162"/>
      <c r="AP1885" s="162"/>
      <c r="AQ1885" s="162"/>
      <c r="AR1885" s="710"/>
      <c r="AV1885" s="82"/>
      <c r="AW1885" s="947"/>
      <c r="AX1885" s="947"/>
      <c r="AY1885" s="947"/>
    </row>
    <row r="1886" spans="31:51" x14ac:dyDescent="0.25">
      <c r="AE1886" s="75"/>
      <c r="AF1886" s="82"/>
      <c r="AG1886" s="82"/>
      <c r="AH1886" s="82"/>
      <c r="AI1886" s="82"/>
      <c r="AJ1886" s="166"/>
      <c r="AK1886" s="82"/>
      <c r="AL1886" s="162"/>
      <c r="AM1886" s="162"/>
      <c r="AN1886" s="162"/>
      <c r="AO1886" s="162"/>
      <c r="AP1886" s="162"/>
      <c r="AQ1886" s="162"/>
      <c r="AR1886" s="710"/>
      <c r="AV1886" s="82"/>
      <c r="AW1886" s="947"/>
      <c r="AX1886" s="947"/>
      <c r="AY1886" s="947"/>
    </row>
    <row r="1887" spans="31:51" x14ac:dyDescent="0.25">
      <c r="AE1887" s="75"/>
      <c r="AF1887" s="82"/>
      <c r="AG1887" s="82"/>
      <c r="AH1887" s="82"/>
      <c r="AI1887" s="82"/>
      <c r="AJ1887" s="166"/>
      <c r="AK1887" s="82"/>
      <c r="AL1887" s="162"/>
      <c r="AM1887" s="162"/>
      <c r="AN1887" s="162"/>
      <c r="AO1887" s="162"/>
      <c r="AP1887" s="162"/>
      <c r="AQ1887" s="162"/>
      <c r="AR1887" s="710"/>
      <c r="AV1887" s="82"/>
      <c r="AW1887" s="947"/>
      <c r="AX1887" s="947"/>
      <c r="AY1887" s="947"/>
    </row>
    <row r="1888" spans="31:51" x14ac:dyDescent="0.25">
      <c r="AE1888" s="75"/>
      <c r="AF1888" s="82"/>
      <c r="AG1888" s="82"/>
      <c r="AH1888" s="82"/>
      <c r="AI1888" s="82"/>
      <c r="AJ1888" s="166"/>
      <c r="AK1888" s="82"/>
      <c r="AL1888" s="162"/>
      <c r="AM1888" s="162"/>
      <c r="AN1888" s="162"/>
      <c r="AO1888" s="162"/>
      <c r="AP1888" s="162"/>
      <c r="AQ1888" s="162"/>
      <c r="AR1888" s="710"/>
      <c r="AV1888" s="82"/>
      <c r="AW1888" s="947"/>
      <c r="AX1888" s="947"/>
      <c r="AY1888" s="947"/>
    </row>
    <row r="1889" spans="31:51" x14ac:dyDescent="0.25">
      <c r="AE1889" s="75"/>
      <c r="AF1889" s="82"/>
      <c r="AG1889" s="82"/>
      <c r="AH1889" s="82"/>
      <c r="AI1889" s="82"/>
      <c r="AJ1889" s="166"/>
      <c r="AK1889" s="82"/>
      <c r="AL1889" s="162"/>
      <c r="AM1889" s="162"/>
      <c r="AN1889" s="162"/>
      <c r="AO1889" s="162"/>
      <c r="AP1889" s="162"/>
      <c r="AQ1889" s="162"/>
      <c r="AR1889" s="710"/>
      <c r="AV1889" s="82"/>
      <c r="AW1889" s="947"/>
      <c r="AX1889" s="947"/>
      <c r="AY1889" s="947"/>
    </row>
    <row r="1890" spans="31:51" x14ac:dyDescent="0.25">
      <c r="AE1890" s="75"/>
      <c r="AF1890" s="82"/>
      <c r="AG1890" s="82"/>
      <c r="AH1890" s="82"/>
      <c r="AI1890" s="82"/>
      <c r="AJ1890" s="166"/>
      <c r="AK1890" s="82"/>
      <c r="AL1890" s="162"/>
      <c r="AM1890" s="162"/>
      <c r="AN1890" s="162"/>
      <c r="AO1890" s="162"/>
      <c r="AP1890" s="162"/>
      <c r="AQ1890" s="162"/>
      <c r="AR1890" s="710"/>
      <c r="AV1890" s="82"/>
      <c r="AW1890" s="947"/>
      <c r="AX1890" s="947"/>
      <c r="AY1890" s="947"/>
    </row>
    <row r="1891" spans="31:51" x14ac:dyDescent="0.25">
      <c r="AE1891" s="75"/>
      <c r="AF1891" s="82"/>
      <c r="AG1891" s="82"/>
      <c r="AH1891" s="82"/>
      <c r="AI1891" s="82"/>
      <c r="AJ1891" s="166"/>
      <c r="AK1891" s="82"/>
      <c r="AL1891" s="162"/>
      <c r="AM1891" s="162"/>
      <c r="AN1891" s="162"/>
      <c r="AO1891" s="162"/>
      <c r="AP1891" s="162"/>
      <c r="AQ1891" s="162"/>
      <c r="AR1891" s="710"/>
      <c r="AV1891" s="82"/>
      <c r="AW1891" s="947"/>
      <c r="AX1891" s="947"/>
      <c r="AY1891" s="947"/>
    </row>
    <row r="1892" spans="31:51" x14ac:dyDescent="0.25">
      <c r="AE1892" s="75"/>
      <c r="AF1892" s="82"/>
      <c r="AG1892" s="82"/>
      <c r="AH1892" s="82"/>
      <c r="AI1892" s="82"/>
      <c r="AJ1892" s="166"/>
      <c r="AK1892" s="82"/>
      <c r="AL1892" s="162"/>
      <c r="AM1892" s="162"/>
      <c r="AN1892" s="162"/>
      <c r="AO1892" s="162"/>
      <c r="AP1892" s="162"/>
      <c r="AQ1892" s="162"/>
      <c r="AR1892" s="710"/>
      <c r="AV1892" s="82"/>
      <c r="AW1892" s="947"/>
      <c r="AX1892" s="947"/>
      <c r="AY1892" s="947"/>
    </row>
    <row r="1893" spans="31:51" x14ac:dyDescent="0.25">
      <c r="AE1893" s="75"/>
      <c r="AF1893" s="82"/>
      <c r="AG1893" s="82"/>
      <c r="AH1893" s="82"/>
      <c r="AI1893" s="82"/>
      <c r="AJ1893" s="166"/>
      <c r="AK1893" s="82"/>
      <c r="AL1893" s="162"/>
      <c r="AM1893" s="162"/>
      <c r="AN1893" s="162"/>
      <c r="AO1893" s="162"/>
      <c r="AP1893" s="162"/>
      <c r="AQ1893" s="162"/>
      <c r="AR1893" s="710"/>
      <c r="AV1893" s="82"/>
      <c r="AW1893" s="947"/>
      <c r="AX1893" s="947"/>
      <c r="AY1893" s="947"/>
    </row>
    <row r="1894" spans="31:51" x14ac:dyDescent="0.25">
      <c r="AE1894" s="75"/>
      <c r="AF1894" s="82"/>
      <c r="AG1894" s="82"/>
      <c r="AH1894" s="82"/>
      <c r="AI1894" s="82"/>
      <c r="AJ1894" s="166"/>
      <c r="AK1894" s="82"/>
      <c r="AL1894" s="162"/>
      <c r="AM1894" s="162"/>
      <c r="AN1894" s="162"/>
      <c r="AO1894" s="162"/>
      <c r="AP1894" s="162"/>
      <c r="AQ1894" s="162"/>
      <c r="AR1894" s="710"/>
      <c r="AV1894" s="82"/>
      <c r="AW1894" s="947"/>
      <c r="AX1894" s="947"/>
      <c r="AY1894" s="947"/>
    </row>
    <row r="1895" spans="31:51" x14ac:dyDescent="0.25">
      <c r="AE1895" s="75"/>
      <c r="AF1895" s="82"/>
      <c r="AG1895" s="82"/>
      <c r="AH1895" s="82"/>
      <c r="AI1895" s="82"/>
      <c r="AJ1895" s="166"/>
      <c r="AK1895" s="82"/>
      <c r="AL1895" s="162"/>
      <c r="AM1895" s="162"/>
      <c r="AN1895" s="162"/>
      <c r="AO1895" s="162"/>
      <c r="AP1895" s="162"/>
      <c r="AQ1895" s="162"/>
      <c r="AR1895" s="710"/>
      <c r="AV1895" s="82"/>
      <c r="AW1895" s="947"/>
      <c r="AX1895" s="947"/>
      <c r="AY1895" s="947"/>
    </row>
    <row r="1896" spans="31:51" x14ac:dyDescent="0.25">
      <c r="AE1896" s="75"/>
      <c r="AF1896" s="82"/>
      <c r="AG1896" s="82"/>
      <c r="AH1896" s="82"/>
      <c r="AI1896" s="82"/>
      <c r="AJ1896" s="166"/>
      <c r="AK1896" s="82"/>
      <c r="AL1896" s="162"/>
      <c r="AM1896" s="162"/>
      <c r="AN1896" s="162"/>
      <c r="AO1896" s="162"/>
      <c r="AP1896" s="162"/>
      <c r="AQ1896" s="162"/>
      <c r="AR1896" s="710"/>
      <c r="AV1896" s="82"/>
      <c r="AW1896" s="947"/>
      <c r="AX1896" s="947"/>
      <c r="AY1896" s="947"/>
    </row>
    <row r="1897" spans="31:51" x14ac:dyDescent="0.25">
      <c r="AE1897" s="75"/>
      <c r="AF1897" s="82"/>
      <c r="AG1897" s="82"/>
      <c r="AH1897" s="82"/>
      <c r="AI1897" s="82"/>
      <c r="AJ1897" s="166"/>
      <c r="AK1897" s="82"/>
      <c r="AL1897" s="162"/>
      <c r="AM1897" s="162"/>
      <c r="AN1897" s="162"/>
      <c r="AO1897" s="162"/>
      <c r="AP1897" s="162"/>
      <c r="AQ1897" s="162"/>
      <c r="AR1897" s="710"/>
      <c r="AV1897" s="82"/>
      <c r="AW1897" s="947"/>
      <c r="AX1897" s="947"/>
      <c r="AY1897" s="947"/>
    </row>
    <row r="1898" spans="31:51" x14ac:dyDescent="0.25">
      <c r="AE1898" s="75"/>
      <c r="AF1898" s="82"/>
      <c r="AG1898" s="82"/>
      <c r="AH1898" s="82"/>
      <c r="AI1898" s="82"/>
      <c r="AJ1898" s="166"/>
      <c r="AK1898" s="82"/>
      <c r="AL1898" s="162"/>
      <c r="AM1898" s="162"/>
      <c r="AN1898" s="162"/>
      <c r="AO1898" s="162"/>
      <c r="AP1898" s="162"/>
      <c r="AQ1898" s="162"/>
      <c r="AR1898" s="710"/>
      <c r="AV1898" s="82"/>
      <c r="AW1898" s="947"/>
      <c r="AX1898" s="947"/>
      <c r="AY1898" s="947"/>
    </row>
    <row r="1899" spans="31:51" x14ac:dyDescent="0.25">
      <c r="AE1899" s="75"/>
      <c r="AF1899" s="82"/>
      <c r="AG1899" s="82"/>
      <c r="AH1899" s="82"/>
      <c r="AI1899" s="82"/>
      <c r="AJ1899" s="166"/>
      <c r="AK1899" s="82"/>
      <c r="AL1899" s="162"/>
      <c r="AM1899" s="162"/>
      <c r="AN1899" s="162"/>
      <c r="AO1899" s="162"/>
      <c r="AP1899" s="162"/>
      <c r="AQ1899" s="162"/>
      <c r="AR1899" s="710"/>
      <c r="AV1899" s="82"/>
      <c r="AW1899" s="947"/>
      <c r="AX1899" s="947"/>
      <c r="AY1899" s="947"/>
    </row>
    <row r="1900" spans="31:51" x14ac:dyDescent="0.25">
      <c r="AE1900" s="75"/>
      <c r="AF1900" s="82"/>
      <c r="AG1900" s="82"/>
      <c r="AH1900" s="82"/>
      <c r="AI1900" s="82"/>
      <c r="AJ1900" s="166"/>
      <c r="AK1900" s="82"/>
      <c r="AL1900" s="162"/>
      <c r="AM1900" s="162"/>
      <c r="AN1900" s="162"/>
      <c r="AO1900" s="162"/>
      <c r="AP1900" s="162"/>
      <c r="AQ1900" s="162"/>
      <c r="AR1900" s="710"/>
      <c r="AV1900" s="82"/>
      <c r="AW1900" s="947"/>
      <c r="AX1900" s="947"/>
      <c r="AY1900" s="947"/>
    </row>
    <row r="1901" spans="31:51" x14ac:dyDescent="0.25">
      <c r="AE1901" s="75"/>
      <c r="AF1901" s="82"/>
      <c r="AG1901" s="82"/>
      <c r="AH1901" s="82"/>
      <c r="AI1901" s="82"/>
      <c r="AJ1901" s="166"/>
      <c r="AK1901" s="82"/>
      <c r="AL1901" s="162"/>
      <c r="AM1901" s="162"/>
      <c r="AN1901" s="162"/>
      <c r="AO1901" s="162"/>
      <c r="AP1901" s="162"/>
      <c r="AQ1901" s="162"/>
      <c r="AR1901" s="710"/>
      <c r="AV1901" s="82"/>
      <c r="AW1901" s="947"/>
      <c r="AX1901" s="947"/>
      <c r="AY1901" s="947"/>
    </row>
    <row r="1902" spans="31:51" x14ac:dyDescent="0.25">
      <c r="AE1902" s="75"/>
      <c r="AF1902" s="82"/>
      <c r="AG1902" s="82"/>
      <c r="AH1902" s="82"/>
      <c r="AI1902" s="82"/>
      <c r="AJ1902" s="166"/>
      <c r="AK1902" s="82"/>
      <c r="AL1902" s="162"/>
      <c r="AM1902" s="162"/>
      <c r="AN1902" s="162"/>
      <c r="AO1902" s="162"/>
      <c r="AP1902" s="162"/>
      <c r="AQ1902" s="162"/>
      <c r="AR1902" s="710"/>
      <c r="AV1902" s="82"/>
      <c r="AW1902" s="947"/>
      <c r="AX1902" s="947"/>
      <c r="AY1902" s="947"/>
    </row>
    <row r="1903" spans="31:51" x14ac:dyDescent="0.25">
      <c r="AE1903" s="75"/>
      <c r="AF1903" s="82"/>
      <c r="AG1903" s="82"/>
      <c r="AH1903" s="82"/>
      <c r="AI1903" s="82"/>
      <c r="AJ1903" s="166"/>
      <c r="AK1903" s="82"/>
      <c r="AL1903" s="162"/>
      <c r="AM1903" s="162"/>
      <c r="AN1903" s="162"/>
      <c r="AO1903" s="162"/>
      <c r="AP1903" s="162"/>
      <c r="AQ1903" s="162"/>
      <c r="AR1903" s="710"/>
      <c r="AV1903" s="82"/>
      <c r="AW1903" s="947"/>
      <c r="AX1903" s="947"/>
      <c r="AY1903" s="947"/>
    </row>
    <row r="1904" spans="31:51" x14ac:dyDescent="0.25">
      <c r="AE1904" s="75"/>
      <c r="AF1904" s="82"/>
      <c r="AG1904" s="82"/>
      <c r="AH1904" s="82"/>
      <c r="AI1904" s="82"/>
      <c r="AJ1904" s="166"/>
      <c r="AK1904" s="82"/>
      <c r="AL1904" s="162"/>
      <c r="AM1904" s="162"/>
      <c r="AN1904" s="162"/>
      <c r="AO1904" s="162"/>
      <c r="AP1904" s="162"/>
      <c r="AQ1904" s="162"/>
      <c r="AR1904" s="710"/>
      <c r="AV1904" s="82"/>
      <c r="AW1904" s="947"/>
      <c r="AX1904" s="947"/>
      <c r="AY1904" s="947"/>
    </row>
    <row r="1905" spans="31:51" x14ac:dyDescent="0.25">
      <c r="AE1905" s="75"/>
      <c r="AF1905" s="82"/>
      <c r="AG1905" s="82"/>
      <c r="AH1905" s="82"/>
      <c r="AI1905" s="82"/>
      <c r="AJ1905" s="166"/>
      <c r="AK1905" s="82"/>
      <c r="AL1905" s="162"/>
      <c r="AM1905" s="162"/>
      <c r="AN1905" s="162"/>
      <c r="AO1905" s="162"/>
      <c r="AP1905" s="162"/>
      <c r="AQ1905" s="162"/>
      <c r="AR1905" s="710"/>
      <c r="AV1905" s="82"/>
      <c r="AW1905" s="947"/>
      <c r="AX1905" s="947"/>
      <c r="AY1905" s="947"/>
    </row>
    <row r="1906" spans="31:51" x14ac:dyDescent="0.25">
      <c r="AE1906" s="75"/>
      <c r="AF1906" s="82"/>
      <c r="AG1906" s="82"/>
      <c r="AH1906" s="82"/>
      <c r="AI1906" s="82"/>
      <c r="AJ1906" s="166"/>
      <c r="AK1906" s="82"/>
      <c r="AL1906" s="162"/>
      <c r="AM1906" s="162"/>
      <c r="AN1906" s="162"/>
      <c r="AO1906" s="162"/>
      <c r="AP1906" s="162"/>
      <c r="AQ1906" s="162"/>
      <c r="AR1906" s="710"/>
      <c r="AV1906" s="82"/>
      <c r="AW1906" s="947"/>
      <c r="AX1906" s="947"/>
      <c r="AY1906" s="947"/>
    </row>
    <row r="1907" spans="31:51" x14ac:dyDescent="0.25">
      <c r="AE1907" s="75"/>
      <c r="AF1907" s="82"/>
      <c r="AG1907" s="82"/>
      <c r="AH1907" s="82"/>
      <c r="AI1907" s="82"/>
      <c r="AJ1907" s="166"/>
      <c r="AK1907" s="82"/>
      <c r="AL1907" s="162"/>
      <c r="AM1907" s="162"/>
      <c r="AN1907" s="162"/>
      <c r="AO1907" s="162"/>
      <c r="AP1907" s="162"/>
      <c r="AQ1907" s="162"/>
      <c r="AR1907" s="710"/>
      <c r="AV1907" s="82"/>
      <c r="AW1907" s="947"/>
      <c r="AX1907" s="947"/>
      <c r="AY1907" s="947"/>
    </row>
    <row r="1908" spans="31:51" x14ac:dyDescent="0.25">
      <c r="AE1908" s="75"/>
      <c r="AF1908" s="82"/>
      <c r="AG1908" s="82"/>
      <c r="AH1908" s="82"/>
      <c r="AI1908" s="82"/>
      <c r="AJ1908" s="166"/>
      <c r="AK1908" s="82"/>
      <c r="AL1908" s="162"/>
      <c r="AM1908" s="162"/>
      <c r="AN1908" s="162"/>
      <c r="AO1908" s="162"/>
      <c r="AP1908" s="162"/>
      <c r="AQ1908" s="162"/>
      <c r="AR1908" s="710"/>
      <c r="AV1908" s="82"/>
      <c r="AW1908" s="947"/>
      <c r="AX1908" s="947"/>
      <c r="AY1908" s="947"/>
    </row>
    <row r="1909" spans="31:51" x14ac:dyDescent="0.25">
      <c r="AE1909" s="75"/>
      <c r="AF1909" s="82"/>
      <c r="AG1909" s="82"/>
      <c r="AH1909" s="82"/>
      <c r="AI1909" s="82"/>
      <c r="AJ1909" s="166"/>
      <c r="AK1909" s="82"/>
      <c r="AL1909" s="162"/>
      <c r="AM1909" s="162"/>
      <c r="AN1909" s="162"/>
      <c r="AO1909" s="162"/>
      <c r="AP1909" s="162"/>
      <c r="AQ1909" s="162"/>
      <c r="AR1909" s="710"/>
      <c r="AV1909" s="82"/>
      <c r="AW1909" s="947"/>
      <c r="AX1909" s="947"/>
      <c r="AY1909" s="947"/>
    </row>
    <row r="1910" spans="31:51" x14ac:dyDescent="0.25">
      <c r="AE1910" s="75"/>
      <c r="AF1910" s="82"/>
      <c r="AG1910" s="82"/>
      <c r="AH1910" s="82"/>
      <c r="AI1910" s="82"/>
      <c r="AJ1910" s="166"/>
      <c r="AK1910" s="82"/>
      <c r="AL1910" s="162"/>
      <c r="AM1910" s="162"/>
      <c r="AN1910" s="162"/>
      <c r="AO1910" s="162"/>
      <c r="AP1910" s="162"/>
      <c r="AQ1910" s="162"/>
      <c r="AR1910" s="710"/>
      <c r="AV1910" s="82"/>
      <c r="AW1910" s="947"/>
      <c r="AX1910" s="947"/>
      <c r="AY1910" s="947"/>
    </row>
    <row r="1911" spans="31:51" x14ac:dyDescent="0.25">
      <c r="AE1911" s="75"/>
      <c r="AF1911" s="82"/>
      <c r="AG1911" s="82"/>
      <c r="AH1911" s="82"/>
      <c r="AI1911" s="82"/>
      <c r="AJ1911" s="166"/>
      <c r="AK1911" s="82"/>
      <c r="AL1911" s="162"/>
      <c r="AM1911" s="162"/>
      <c r="AN1911" s="162"/>
      <c r="AO1911" s="162"/>
      <c r="AP1911" s="162"/>
      <c r="AQ1911" s="162"/>
      <c r="AR1911" s="710"/>
      <c r="AV1911" s="82"/>
      <c r="AW1911" s="947"/>
      <c r="AX1911" s="947"/>
      <c r="AY1911" s="947"/>
    </row>
    <row r="1912" spans="31:51" x14ac:dyDescent="0.25">
      <c r="AE1912" s="75"/>
      <c r="AF1912" s="82"/>
      <c r="AG1912" s="82"/>
      <c r="AH1912" s="82"/>
      <c r="AI1912" s="82"/>
      <c r="AJ1912" s="166"/>
      <c r="AK1912" s="82"/>
      <c r="AL1912" s="162"/>
      <c r="AM1912" s="162"/>
      <c r="AN1912" s="162"/>
      <c r="AO1912" s="162"/>
      <c r="AP1912" s="162"/>
      <c r="AQ1912" s="162"/>
      <c r="AR1912" s="710"/>
      <c r="AV1912" s="82"/>
      <c r="AW1912" s="947"/>
      <c r="AX1912" s="947"/>
      <c r="AY1912" s="947"/>
    </row>
    <row r="1913" spans="31:51" x14ac:dyDescent="0.25">
      <c r="AE1913" s="75"/>
      <c r="AF1913" s="82"/>
      <c r="AG1913" s="82"/>
      <c r="AH1913" s="82"/>
      <c r="AI1913" s="82"/>
      <c r="AJ1913" s="166"/>
      <c r="AK1913" s="82"/>
      <c r="AL1913" s="162"/>
      <c r="AM1913" s="162"/>
      <c r="AN1913" s="162"/>
      <c r="AO1913" s="162"/>
      <c r="AP1913" s="162"/>
      <c r="AQ1913" s="162"/>
      <c r="AR1913" s="710"/>
      <c r="AV1913" s="82"/>
      <c r="AW1913" s="947"/>
      <c r="AX1913" s="947"/>
      <c r="AY1913" s="947"/>
    </row>
    <row r="1914" spans="31:51" x14ac:dyDescent="0.25">
      <c r="AE1914" s="75"/>
      <c r="AF1914" s="82"/>
      <c r="AG1914" s="82"/>
      <c r="AH1914" s="82"/>
      <c r="AI1914" s="82"/>
      <c r="AJ1914" s="166"/>
      <c r="AK1914" s="82"/>
      <c r="AL1914" s="162"/>
      <c r="AM1914" s="162"/>
      <c r="AN1914" s="162"/>
      <c r="AO1914" s="162"/>
      <c r="AP1914" s="162"/>
      <c r="AQ1914" s="162"/>
      <c r="AR1914" s="710"/>
      <c r="AV1914" s="82"/>
      <c r="AW1914" s="947"/>
      <c r="AX1914" s="947"/>
      <c r="AY1914" s="947"/>
    </row>
    <row r="1915" spans="31:51" x14ac:dyDescent="0.25">
      <c r="AE1915" s="75"/>
      <c r="AF1915" s="82"/>
      <c r="AG1915" s="82"/>
      <c r="AH1915" s="82"/>
      <c r="AI1915" s="82"/>
      <c r="AJ1915" s="166"/>
      <c r="AK1915" s="82"/>
      <c r="AL1915" s="162"/>
      <c r="AM1915" s="162"/>
      <c r="AN1915" s="162"/>
      <c r="AO1915" s="162"/>
      <c r="AP1915" s="162"/>
      <c r="AQ1915" s="162"/>
      <c r="AR1915" s="710"/>
      <c r="AV1915" s="82"/>
      <c r="AW1915" s="947"/>
      <c r="AX1915" s="947"/>
      <c r="AY1915" s="947"/>
    </row>
    <row r="1916" spans="31:51" x14ac:dyDescent="0.25">
      <c r="AE1916" s="75"/>
      <c r="AF1916" s="82"/>
      <c r="AG1916" s="82"/>
      <c r="AH1916" s="82"/>
      <c r="AI1916" s="82"/>
      <c r="AJ1916" s="166"/>
      <c r="AK1916" s="82"/>
      <c r="AL1916" s="162"/>
      <c r="AM1916" s="162"/>
      <c r="AN1916" s="162"/>
      <c r="AO1916" s="162"/>
      <c r="AP1916" s="162"/>
      <c r="AQ1916" s="162"/>
      <c r="AR1916" s="710"/>
      <c r="AV1916" s="82"/>
      <c r="AW1916" s="947"/>
      <c r="AX1916" s="947"/>
      <c r="AY1916" s="947"/>
    </row>
    <row r="1917" spans="31:51" x14ac:dyDescent="0.25">
      <c r="AE1917" s="75"/>
      <c r="AF1917" s="82"/>
      <c r="AG1917" s="82"/>
      <c r="AH1917" s="82"/>
      <c r="AI1917" s="82"/>
      <c r="AJ1917" s="166"/>
      <c r="AK1917" s="82"/>
      <c r="AL1917" s="162"/>
      <c r="AM1917" s="162"/>
      <c r="AN1917" s="162"/>
      <c r="AO1917" s="162"/>
      <c r="AP1917" s="162"/>
      <c r="AQ1917" s="162"/>
      <c r="AR1917" s="710"/>
      <c r="AV1917" s="82"/>
      <c r="AW1917" s="947"/>
      <c r="AX1917" s="947"/>
      <c r="AY1917" s="947"/>
    </row>
    <row r="1918" spans="31:51" x14ac:dyDescent="0.25">
      <c r="AE1918" s="75"/>
      <c r="AF1918" s="82"/>
      <c r="AG1918" s="82"/>
      <c r="AH1918" s="82"/>
      <c r="AI1918" s="82"/>
      <c r="AJ1918" s="166"/>
      <c r="AK1918" s="82"/>
      <c r="AL1918" s="162"/>
      <c r="AM1918" s="162"/>
      <c r="AN1918" s="162"/>
      <c r="AO1918" s="162"/>
      <c r="AP1918" s="162"/>
      <c r="AQ1918" s="162"/>
      <c r="AR1918" s="710"/>
      <c r="AV1918" s="82"/>
      <c r="AW1918" s="947"/>
      <c r="AX1918" s="947"/>
      <c r="AY1918" s="947"/>
    </row>
    <row r="1919" spans="31:51" x14ac:dyDescent="0.25">
      <c r="AE1919" s="75"/>
      <c r="AF1919" s="82"/>
      <c r="AG1919" s="82"/>
      <c r="AH1919" s="82"/>
      <c r="AI1919" s="82"/>
      <c r="AJ1919" s="166"/>
      <c r="AK1919" s="82"/>
      <c r="AL1919" s="162"/>
      <c r="AM1919" s="162"/>
      <c r="AN1919" s="162"/>
      <c r="AO1919" s="162"/>
      <c r="AP1919" s="162"/>
      <c r="AQ1919" s="162"/>
      <c r="AR1919" s="710"/>
      <c r="AV1919" s="82"/>
      <c r="AW1919" s="947"/>
      <c r="AX1919" s="947"/>
      <c r="AY1919" s="947"/>
    </row>
    <row r="1920" spans="31:51" x14ac:dyDescent="0.25">
      <c r="AE1920" s="75"/>
      <c r="AF1920" s="82"/>
      <c r="AG1920" s="82"/>
      <c r="AH1920" s="82"/>
      <c r="AI1920" s="82"/>
      <c r="AJ1920" s="166"/>
      <c r="AK1920" s="82"/>
      <c r="AL1920" s="162"/>
      <c r="AM1920" s="162"/>
      <c r="AN1920" s="162"/>
      <c r="AO1920" s="162"/>
      <c r="AP1920" s="162"/>
      <c r="AQ1920" s="162"/>
      <c r="AR1920" s="710"/>
      <c r="AV1920" s="82"/>
      <c r="AW1920" s="947"/>
      <c r="AX1920" s="947"/>
      <c r="AY1920" s="947"/>
    </row>
    <row r="1921" spans="31:51" x14ac:dyDescent="0.25">
      <c r="AE1921" s="75"/>
      <c r="AF1921" s="82"/>
      <c r="AG1921" s="82"/>
      <c r="AH1921" s="82"/>
      <c r="AI1921" s="82"/>
      <c r="AJ1921" s="166"/>
      <c r="AK1921" s="82"/>
      <c r="AL1921" s="162"/>
      <c r="AM1921" s="162"/>
      <c r="AN1921" s="162"/>
      <c r="AO1921" s="162"/>
      <c r="AP1921" s="162"/>
      <c r="AQ1921" s="162"/>
      <c r="AR1921" s="710"/>
      <c r="AV1921" s="82"/>
      <c r="AW1921" s="947"/>
      <c r="AX1921" s="947"/>
      <c r="AY1921" s="947"/>
    </row>
    <row r="1922" spans="31:51" x14ac:dyDescent="0.25">
      <c r="AE1922" s="75"/>
      <c r="AF1922" s="82"/>
      <c r="AG1922" s="82"/>
      <c r="AH1922" s="82"/>
      <c r="AI1922" s="82"/>
      <c r="AJ1922" s="166"/>
      <c r="AK1922" s="82"/>
      <c r="AL1922" s="162"/>
      <c r="AM1922" s="162"/>
      <c r="AN1922" s="162"/>
      <c r="AO1922" s="162"/>
      <c r="AP1922" s="162"/>
      <c r="AQ1922" s="162"/>
      <c r="AR1922" s="710"/>
      <c r="AV1922" s="82"/>
      <c r="AW1922" s="947"/>
      <c r="AX1922" s="947"/>
      <c r="AY1922" s="947"/>
    </row>
    <row r="1923" spans="31:51" x14ac:dyDescent="0.25">
      <c r="AE1923" s="75"/>
      <c r="AF1923" s="82"/>
      <c r="AG1923" s="82"/>
      <c r="AH1923" s="82"/>
      <c r="AI1923" s="82"/>
      <c r="AJ1923" s="166"/>
      <c r="AK1923" s="82"/>
      <c r="AL1923" s="162"/>
      <c r="AM1923" s="162"/>
      <c r="AN1923" s="162"/>
      <c r="AO1923" s="162"/>
      <c r="AP1923" s="162"/>
      <c r="AQ1923" s="162"/>
      <c r="AR1923" s="710"/>
      <c r="AV1923" s="82"/>
      <c r="AW1923" s="947"/>
      <c r="AX1923" s="947"/>
      <c r="AY1923" s="947"/>
    </row>
    <row r="1924" spans="31:51" x14ac:dyDescent="0.25">
      <c r="AE1924" s="75"/>
      <c r="AF1924" s="82"/>
      <c r="AG1924" s="82"/>
      <c r="AH1924" s="82"/>
      <c r="AI1924" s="82"/>
      <c r="AJ1924" s="166"/>
      <c r="AK1924" s="82"/>
      <c r="AL1924" s="162"/>
      <c r="AM1924" s="162"/>
      <c r="AN1924" s="162"/>
      <c r="AO1924" s="162"/>
      <c r="AP1924" s="162"/>
      <c r="AQ1924" s="162"/>
      <c r="AR1924" s="710"/>
      <c r="AV1924" s="82"/>
      <c r="AW1924" s="947"/>
      <c r="AX1924" s="947"/>
      <c r="AY1924" s="947"/>
    </row>
    <row r="1925" spans="31:51" x14ac:dyDescent="0.25">
      <c r="AE1925" s="75"/>
      <c r="AF1925" s="82"/>
      <c r="AG1925" s="82"/>
      <c r="AH1925" s="82"/>
      <c r="AI1925" s="82"/>
      <c r="AJ1925" s="166"/>
      <c r="AK1925" s="82"/>
      <c r="AL1925" s="162"/>
      <c r="AM1925" s="162"/>
      <c r="AN1925" s="162"/>
      <c r="AO1925" s="162"/>
      <c r="AP1925" s="162"/>
      <c r="AQ1925" s="162"/>
      <c r="AR1925" s="710"/>
      <c r="AV1925" s="82"/>
      <c r="AW1925" s="947"/>
      <c r="AX1925" s="947"/>
      <c r="AY1925" s="947"/>
    </row>
    <row r="1926" spans="31:51" x14ac:dyDescent="0.25">
      <c r="AE1926" s="75"/>
      <c r="AF1926" s="82"/>
      <c r="AG1926" s="82"/>
      <c r="AH1926" s="82"/>
      <c r="AI1926" s="82"/>
      <c r="AJ1926" s="166"/>
      <c r="AK1926" s="82"/>
      <c r="AL1926" s="162"/>
      <c r="AM1926" s="162"/>
      <c r="AN1926" s="162"/>
      <c r="AO1926" s="162"/>
      <c r="AP1926" s="162"/>
      <c r="AQ1926" s="162"/>
      <c r="AR1926" s="710"/>
      <c r="AV1926" s="82"/>
      <c r="AW1926" s="947"/>
      <c r="AX1926" s="947"/>
      <c r="AY1926" s="947"/>
    </row>
    <row r="1927" spans="31:51" x14ac:dyDescent="0.25">
      <c r="AE1927" s="75"/>
      <c r="AF1927" s="82"/>
      <c r="AG1927" s="82"/>
      <c r="AH1927" s="82"/>
      <c r="AI1927" s="82"/>
      <c r="AJ1927" s="166"/>
      <c r="AK1927" s="82"/>
      <c r="AL1927" s="162"/>
      <c r="AM1927" s="162"/>
      <c r="AN1927" s="162"/>
      <c r="AO1927" s="162"/>
      <c r="AP1927" s="162"/>
      <c r="AQ1927" s="162"/>
      <c r="AR1927" s="710"/>
      <c r="AV1927" s="82"/>
      <c r="AW1927" s="947"/>
      <c r="AX1927" s="947"/>
      <c r="AY1927" s="947"/>
    </row>
    <row r="1928" spans="31:51" x14ac:dyDescent="0.25">
      <c r="AE1928" s="75"/>
      <c r="AF1928" s="82"/>
      <c r="AG1928" s="82"/>
      <c r="AH1928" s="82"/>
      <c r="AI1928" s="82"/>
      <c r="AJ1928" s="166"/>
      <c r="AK1928" s="82"/>
      <c r="AL1928" s="162"/>
      <c r="AM1928" s="162"/>
      <c r="AN1928" s="162"/>
      <c r="AO1928" s="162"/>
      <c r="AP1928" s="162"/>
      <c r="AQ1928" s="162"/>
      <c r="AR1928" s="710"/>
      <c r="AV1928" s="82"/>
      <c r="AW1928" s="947"/>
      <c r="AX1928" s="947"/>
      <c r="AY1928" s="947"/>
    </row>
    <row r="1929" spans="31:51" x14ac:dyDescent="0.25">
      <c r="AE1929" s="75"/>
      <c r="AF1929" s="82"/>
      <c r="AG1929" s="82"/>
      <c r="AH1929" s="82"/>
      <c r="AI1929" s="82"/>
      <c r="AJ1929" s="166"/>
      <c r="AK1929" s="82"/>
      <c r="AL1929" s="162"/>
      <c r="AM1929" s="162"/>
      <c r="AN1929" s="162"/>
      <c r="AO1929" s="162"/>
      <c r="AP1929" s="162"/>
      <c r="AQ1929" s="162"/>
      <c r="AR1929" s="710"/>
      <c r="AV1929" s="82"/>
      <c r="AW1929" s="947"/>
      <c r="AX1929" s="947"/>
      <c r="AY1929" s="947"/>
    </row>
    <row r="1930" spans="31:51" x14ac:dyDescent="0.25">
      <c r="AE1930" s="75"/>
      <c r="AF1930" s="82"/>
      <c r="AG1930" s="82"/>
      <c r="AH1930" s="82"/>
      <c r="AI1930" s="82"/>
      <c r="AJ1930" s="166"/>
      <c r="AK1930" s="82"/>
      <c r="AL1930" s="162"/>
      <c r="AM1930" s="162"/>
      <c r="AN1930" s="162"/>
      <c r="AO1930" s="162"/>
      <c r="AP1930" s="162"/>
      <c r="AQ1930" s="162"/>
      <c r="AR1930" s="710"/>
      <c r="AV1930" s="82"/>
      <c r="AW1930" s="947"/>
      <c r="AX1930" s="947"/>
      <c r="AY1930" s="947"/>
    </row>
    <row r="1931" spans="31:51" x14ac:dyDescent="0.25">
      <c r="AE1931" s="75"/>
      <c r="AF1931" s="82"/>
      <c r="AG1931" s="82"/>
      <c r="AH1931" s="82"/>
      <c r="AI1931" s="82"/>
      <c r="AJ1931" s="166"/>
      <c r="AK1931" s="82"/>
      <c r="AL1931" s="162"/>
      <c r="AM1931" s="162"/>
      <c r="AN1931" s="162"/>
      <c r="AO1931" s="162"/>
      <c r="AP1931" s="162"/>
      <c r="AQ1931" s="162"/>
      <c r="AR1931" s="710"/>
      <c r="AV1931" s="82"/>
      <c r="AW1931" s="947"/>
      <c r="AX1931" s="947"/>
      <c r="AY1931" s="947"/>
    </row>
    <row r="1932" spans="31:51" x14ac:dyDescent="0.25">
      <c r="AE1932" s="75"/>
      <c r="AF1932" s="82"/>
      <c r="AG1932" s="82"/>
      <c r="AH1932" s="82"/>
      <c r="AI1932" s="82"/>
      <c r="AJ1932" s="166"/>
      <c r="AK1932" s="82"/>
      <c r="AL1932" s="162"/>
      <c r="AM1932" s="162"/>
      <c r="AN1932" s="162"/>
      <c r="AO1932" s="162"/>
      <c r="AP1932" s="162"/>
      <c r="AQ1932" s="162"/>
      <c r="AR1932" s="710"/>
      <c r="AV1932" s="82"/>
      <c r="AW1932" s="947"/>
      <c r="AX1932" s="947"/>
      <c r="AY1932" s="947"/>
    </row>
    <row r="1933" spans="31:51" x14ac:dyDescent="0.25">
      <c r="AE1933" s="75"/>
      <c r="AF1933" s="82"/>
      <c r="AG1933" s="82"/>
      <c r="AH1933" s="82"/>
      <c r="AI1933" s="82"/>
      <c r="AJ1933" s="166"/>
      <c r="AK1933" s="82"/>
      <c r="AL1933" s="162"/>
      <c r="AM1933" s="162"/>
      <c r="AN1933" s="162"/>
      <c r="AO1933" s="162"/>
      <c r="AP1933" s="162"/>
      <c r="AQ1933" s="162"/>
      <c r="AR1933" s="710"/>
      <c r="AV1933" s="82"/>
      <c r="AW1933" s="947"/>
      <c r="AX1933" s="947"/>
      <c r="AY1933" s="947"/>
    </row>
    <row r="1934" spans="31:51" x14ac:dyDescent="0.25">
      <c r="AE1934" s="75"/>
      <c r="AF1934" s="82"/>
      <c r="AG1934" s="82"/>
      <c r="AH1934" s="82"/>
      <c r="AI1934" s="82"/>
      <c r="AJ1934" s="166"/>
      <c r="AK1934" s="82"/>
      <c r="AL1934" s="162"/>
      <c r="AM1934" s="162"/>
      <c r="AN1934" s="162"/>
      <c r="AO1934" s="162"/>
      <c r="AP1934" s="162"/>
      <c r="AQ1934" s="162"/>
      <c r="AR1934" s="710"/>
      <c r="AV1934" s="82"/>
      <c r="AW1934" s="947"/>
      <c r="AX1934" s="947"/>
      <c r="AY1934" s="947"/>
    </row>
    <row r="1935" spans="31:51" x14ac:dyDescent="0.25">
      <c r="AE1935" s="75"/>
      <c r="AF1935" s="82"/>
      <c r="AG1935" s="82"/>
      <c r="AH1935" s="82"/>
      <c r="AI1935" s="82"/>
      <c r="AJ1935" s="166"/>
      <c r="AK1935" s="82"/>
      <c r="AL1935" s="162"/>
      <c r="AM1935" s="162"/>
      <c r="AN1935" s="162"/>
      <c r="AO1935" s="162"/>
      <c r="AP1935" s="162"/>
      <c r="AQ1935" s="162"/>
      <c r="AR1935" s="710"/>
      <c r="AV1935" s="82"/>
      <c r="AW1935" s="947"/>
      <c r="AX1935" s="947"/>
      <c r="AY1935" s="947"/>
    </row>
    <row r="1936" spans="31:51" x14ac:dyDescent="0.25">
      <c r="AE1936" s="75"/>
      <c r="AF1936" s="82"/>
      <c r="AG1936" s="82"/>
      <c r="AH1936" s="82"/>
      <c r="AI1936" s="82"/>
      <c r="AJ1936" s="166"/>
      <c r="AK1936" s="82"/>
      <c r="AL1936" s="162"/>
      <c r="AM1936" s="162"/>
      <c r="AN1936" s="162"/>
      <c r="AO1936" s="162"/>
      <c r="AP1936" s="162"/>
      <c r="AQ1936" s="162"/>
      <c r="AR1936" s="710"/>
      <c r="AV1936" s="82"/>
      <c r="AW1936" s="947"/>
      <c r="AX1936" s="947"/>
      <c r="AY1936" s="947"/>
    </row>
    <row r="1937" spans="31:51" x14ac:dyDescent="0.25">
      <c r="AE1937" s="75"/>
      <c r="AF1937" s="82"/>
      <c r="AG1937" s="82"/>
      <c r="AH1937" s="82"/>
      <c r="AI1937" s="82"/>
      <c r="AJ1937" s="166"/>
      <c r="AK1937" s="82"/>
      <c r="AL1937" s="162"/>
      <c r="AM1937" s="162"/>
      <c r="AN1937" s="162"/>
      <c r="AO1937" s="162"/>
      <c r="AP1937" s="162"/>
      <c r="AQ1937" s="162"/>
      <c r="AR1937" s="710"/>
      <c r="AV1937" s="82"/>
      <c r="AW1937" s="947"/>
      <c r="AX1937" s="947"/>
      <c r="AY1937" s="947"/>
    </row>
    <row r="1938" spans="31:51" x14ac:dyDescent="0.25">
      <c r="AE1938" s="75"/>
      <c r="AF1938" s="82"/>
      <c r="AG1938" s="82"/>
      <c r="AH1938" s="82"/>
      <c r="AI1938" s="82"/>
      <c r="AJ1938" s="166"/>
      <c r="AK1938" s="82"/>
      <c r="AL1938" s="162"/>
      <c r="AM1938" s="162"/>
      <c r="AN1938" s="162"/>
      <c r="AO1938" s="162"/>
      <c r="AP1938" s="162"/>
      <c r="AQ1938" s="162"/>
      <c r="AR1938" s="710"/>
      <c r="AV1938" s="82"/>
      <c r="AW1938" s="947"/>
      <c r="AX1938" s="947"/>
      <c r="AY1938" s="947"/>
    </row>
    <row r="1939" spans="31:51" x14ac:dyDescent="0.25">
      <c r="AE1939" s="75"/>
      <c r="AF1939" s="82"/>
      <c r="AG1939" s="82"/>
      <c r="AH1939" s="82"/>
      <c r="AI1939" s="82"/>
      <c r="AJ1939" s="166"/>
      <c r="AK1939" s="82"/>
      <c r="AL1939" s="162"/>
      <c r="AM1939" s="162"/>
      <c r="AN1939" s="162"/>
      <c r="AO1939" s="162"/>
      <c r="AP1939" s="162"/>
      <c r="AQ1939" s="162"/>
      <c r="AR1939" s="710"/>
      <c r="AV1939" s="82"/>
      <c r="AW1939" s="947"/>
      <c r="AX1939" s="947"/>
      <c r="AY1939" s="947"/>
    </row>
    <row r="1940" spans="31:51" x14ac:dyDescent="0.25">
      <c r="AE1940" s="75"/>
      <c r="AF1940" s="82"/>
      <c r="AG1940" s="82"/>
      <c r="AH1940" s="82"/>
      <c r="AI1940" s="82"/>
      <c r="AJ1940" s="166"/>
      <c r="AK1940" s="82"/>
      <c r="AL1940" s="162"/>
      <c r="AM1940" s="162"/>
      <c r="AN1940" s="162"/>
      <c r="AO1940" s="162"/>
      <c r="AP1940" s="162"/>
      <c r="AQ1940" s="162"/>
      <c r="AR1940" s="710"/>
      <c r="AV1940" s="82"/>
      <c r="AW1940" s="947"/>
      <c r="AX1940" s="947"/>
      <c r="AY1940" s="947"/>
    </row>
    <row r="1941" spans="31:51" x14ac:dyDescent="0.25">
      <c r="AE1941" s="75"/>
      <c r="AF1941" s="82"/>
      <c r="AG1941" s="82"/>
      <c r="AH1941" s="82"/>
      <c r="AI1941" s="82"/>
      <c r="AJ1941" s="166"/>
      <c r="AK1941" s="82"/>
      <c r="AL1941" s="162"/>
      <c r="AM1941" s="162"/>
      <c r="AN1941" s="162"/>
      <c r="AO1941" s="162"/>
      <c r="AP1941" s="162"/>
      <c r="AQ1941" s="162"/>
      <c r="AR1941" s="710"/>
      <c r="AV1941" s="82"/>
      <c r="AW1941" s="947"/>
      <c r="AX1941" s="947"/>
      <c r="AY1941" s="947"/>
    </row>
    <row r="1942" spans="31:51" x14ac:dyDescent="0.25">
      <c r="AE1942" s="75"/>
      <c r="AF1942" s="82"/>
      <c r="AG1942" s="82"/>
      <c r="AH1942" s="82"/>
      <c r="AI1942" s="82"/>
      <c r="AJ1942" s="166"/>
      <c r="AK1942" s="82"/>
      <c r="AL1942" s="162"/>
      <c r="AM1942" s="162"/>
      <c r="AN1942" s="162"/>
      <c r="AO1942" s="162"/>
      <c r="AP1942" s="162"/>
      <c r="AQ1942" s="162"/>
      <c r="AR1942" s="710"/>
      <c r="AV1942" s="82"/>
      <c r="AW1942" s="947"/>
      <c r="AX1942" s="947"/>
      <c r="AY1942" s="947"/>
    </row>
    <row r="1943" spans="31:51" x14ac:dyDescent="0.25">
      <c r="AE1943" s="75"/>
      <c r="AF1943" s="82"/>
      <c r="AG1943" s="82"/>
      <c r="AH1943" s="82"/>
      <c r="AI1943" s="82"/>
      <c r="AJ1943" s="166"/>
      <c r="AK1943" s="82"/>
      <c r="AL1943" s="162"/>
      <c r="AM1943" s="162"/>
      <c r="AN1943" s="162"/>
      <c r="AO1943" s="162"/>
      <c r="AP1943" s="162"/>
      <c r="AQ1943" s="162"/>
      <c r="AR1943" s="710"/>
      <c r="AV1943" s="82"/>
      <c r="AW1943" s="947"/>
      <c r="AX1943" s="947"/>
      <c r="AY1943" s="947"/>
    </row>
    <row r="1944" spans="31:51" x14ac:dyDescent="0.25">
      <c r="AE1944" s="75"/>
      <c r="AF1944" s="82"/>
      <c r="AG1944" s="82"/>
      <c r="AH1944" s="82"/>
      <c r="AI1944" s="82"/>
      <c r="AJ1944" s="166"/>
      <c r="AK1944" s="82"/>
      <c r="AL1944" s="162"/>
      <c r="AM1944" s="162"/>
      <c r="AN1944" s="162"/>
      <c r="AO1944" s="162"/>
      <c r="AP1944" s="162"/>
      <c r="AQ1944" s="162"/>
      <c r="AR1944" s="710"/>
      <c r="AV1944" s="82"/>
      <c r="AW1944" s="947"/>
      <c r="AX1944" s="947"/>
      <c r="AY1944" s="947"/>
    </row>
    <row r="1945" spans="31:51" x14ac:dyDescent="0.25">
      <c r="AE1945" s="75"/>
      <c r="AF1945" s="82"/>
      <c r="AG1945" s="82"/>
      <c r="AH1945" s="82"/>
      <c r="AI1945" s="82"/>
      <c r="AJ1945" s="166"/>
      <c r="AK1945" s="82"/>
      <c r="AL1945" s="162"/>
      <c r="AM1945" s="162"/>
      <c r="AN1945" s="162"/>
      <c r="AO1945" s="162"/>
      <c r="AP1945" s="162"/>
      <c r="AQ1945" s="162"/>
      <c r="AR1945" s="710"/>
      <c r="AV1945" s="82"/>
      <c r="AW1945" s="947"/>
      <c r="AX1945" s="947"/>
      <c r="AY1945" s="947"/>
    </row>
    <row r="1946" spans="31:51" x14ac:dyDescent="0.25">
      <c r="AE1946" s="75"/>
      <c r="AF1946" s="82"/>
      <c r="AG1946" s="82"/>
      <c r="AH1946" s="82"/>
      <c r="AI1946" s="82"/>
      <c r="AJ1946" s="166"/>
      <c r="AK1946" s="82"/>
      <c r="AL1946" s="162"/>
      <c r="AM1946" s="162"/>
      <c r="AN1946" s="162"/>
      <c r="AO1946" s="162"/>
      <c r="AP1946" s="162"/>
      <c r="AQ1946" s="162"/>
      <c r="AR1946" s="710"/>
      <c r="AV1946" s="82"/>
      <c r="AW1946" s="947"/>
      <c r="AX1946" s="947"/>
      <c r="AY1946" s="947"/>
    </row>
    <row r="1947" spans="31:51" x14ac:dyDescent="0.25">
      <c r="AE1947" s="75"/>
      <c r="AF1947" s="82"/>
      <c r="AG1947" s="82"/>
      <c r="AH1947" s="82"/>
      <c r="AI1947" s="82"/>
      <c r="AJ1947" s="166"/>
      <c r="AK1947" s="82"/>
      <c r="AL1947" s="162"/>
      <c r="AM1947" s="162"/>
      <c r="AN1947" s="162"/>
      <c r="AO1947" s="162"/>
      <c r="AP1947" s="162"/>
      <c r="AQ1947" s="162"/>
      <c r="AR1947" s="710"/>
      <c r="AV1947" s="82"/>
      <c r="AW1947" s="947"/>
      <c r="AX1947" s="947"/>
      <c r="AY1947" s="947"/>
    </row>
    <row r="1948" spans="31:51" x14ac:dyDescent="0.25">
      <c r="AE1948" s="75"/>
      <c r="AF1948" s="82"/>
      <c r="AG1948" s="82"/>
      <c r="AH1948" s="82"/>
      <c r="AI1948" s="82"/>
      <c r="AJ1948" s="166"/>
      <c r="AK1948" s="82"/>
      <c r="AL1948" s="162"/>
      <c r="AM1948" s="162"/>
      <c r="AN1948" s="162"/>
      <c r="AO1948" s="162"/>
      <c r="AP1948" s="162"/>
      <c r="AQ1948" s="162"/>
      <c r="AR1948" s="710"/>
      <c r="AV1948" s="82"/>
      <c r="AW1948" s="947"/>
      <c r="AX1948" s="947"/>
      <c r="AY1948" s="947"/>
    </row>
    <row r="1949" spans="31:51" x14ac:dyDescent="0.25">
      <c r="AE1949" s="75"/>
      <c r="AF1949" s="82"/>
      <c r="AG1949" s="82"/>
      <c r="AH1949" s="82"/>
      <c r="AI1949" s="82"/>
      <c r="AJ1949" s="166"/>
      <c r="AK1949" s="82"/>
      <c r="AL1949" s="162"/>
      <c r="AM1949" s="162"/>
      <c r="AN1949" s="162"/>
      <c r="AO1949" s="162"/>
      <c r="AP1949" s="162"/>
      <c r="AQ1949" s="162"/>
      <c r="AR1949" s="710"/>
      <c r="AV1949" s="82"/>
      <c r="AW1949" s="947"/>
      <c r="AX1949" s="947"/>
      <c r="AY1949" s="947"/>
    </row>
    <row r="1950" spans="31:51" x14ac:dyDescent="0.25">
      <c r="AE1950" s="75"/>
      <c r="AF1950" s="82"/>
      <c r="AG1950" s="82"/>
      <c r="AH1950" s="82"/>
      <c r="AI1950" s="82"/>
      <c r="AJ1950" s="166"/>
      <c r="AK1950" s="82"/>
      <c r="AL1950" s="162"/>
      <c r="AM1950" s="162"/>
      <c r="AN1950" s="162"/>
      <c r="AO1950" s="162"/>
      <c r="AP1950" s="162"/>
      <c r="AQ1950" s="162"/>
      <c r="AR1950" s="710"/>
      <c r="AV1950" s="82"/>
      <c r="AW1950" s="947"/>
      <c r="AX1950" s="947"/>
      <c r="AY1950" s="947"/>
    </row>
    <row r="1951" spans="31:51" x14ac:dyDescent="0.25">
      <c r="AE1951" s="75"/>
      <c r="AF1951" s="82"/>
      <c r="AG1951" s="82"/>
      <c r="AH1951" s="82"/>
      <c r="AI1951" s="82"/>
      <c r="AJ1951" s="166"/>
      <c r="AK1951" s="82"/>
      <c r="AL1951" s="162"/>
      <c r="AM1951" s="162"/>
      <c r="AN1951" s="162"/>
      <c r="AO1951" s="162"/>
      <c r="AP1951" s="162"/>
      <c r="AQ1951" s="162"/>
      <c r="AR1951" s="710"/>
      <c r="AV1951" s="82"/>
      <c r="AW1951" s="947"/>
      <c r="AX1951" s="947"/>
      <c r="AY1951" s="947"/>
    </row>
    <row r="1952" spans="31:51" x14ac:dyDescent="0.25">
      <c r="AE1952" s="75"/>
      <c r="AF1952" s="82"/>
      <c r="AG1952" s="82"/>
      <c r="AH1952" s="82"/>
      <c r="AI1952" s="82"/>
      <c r="AJ1952" s="166"/>
      <c r="AK1952" s="82"/>
      <c r="AL1952" s="162"/>
      <c r="AM1952" s="162"/>
      <c r="AN1952" s="162"/>
      <c r="AO1952" s="162"/>
      <c r="AP1952" s="162"/>
      <c r="AQ1952" s="162"/>
      <c r="AR1952" s="710"/>
      <c r="AV1952" s="82"/>
      <c r="AW1952" s="947"/>
      <c r="AX1952" s="947"/>
      <c r="AY1952" s="947"/>
    </row>
    <row r="1953" spans="31:51" x14ac:dyDescent="0.25">
      <c r="AE1953" s="75"/>
      <c r="AF1953" s="82"/>
      <c r="AG1953" s="82"/>
      <c r="AH1953" s="82"/>
      <c r="AI1953" s="82"/>
      <c r="AJ1953" s="166"/>
      <c r="AK1953" s="82"/>
      <c r="AL1953" s="162"/>
      <c r="AM1953" s="162"/>
      <c r="AN1953" s="162"/>
      <c r="AO1953" s="162"/>
      <c r="AP1953" s="162"/>
      <c r="AQ1953" s="162"/>
      <c r="AR1953" s="710"/>
      <c r="AV1953" s="82"/>
      <c r="AW1953" s="947"/>
      <c r="AX1953" s="947"/>
      <c r="AY1953" s="947"/>
    </row>
    <row r="1954" spans="31:51" x14ac:dyDescent="0.25">
      <c r="AE1954" s="75"/>
      <c r="AF1954" s="82"/>
      <c r="AG1954" s="82"/>
      <c r="AH1954" s="82"/>
      <c r="AI1954" s="82"/>
      <c r="AJ1954" s="166"/>
      <c r="AK1954" s="82"/>
      <c r="AL1954" s="162"/>
      <c r="AM1954" s="162"/>
      <c r="AN1954" s="162"/>
      <c r="AO1954" s="162"/>
      <c r="AP1954" s="162"/>
      <c r="AQ1954" s="162"/>
      <c r="AR1954" s="710"/>
      <c r="AV1954" s="82"/>
      <c r="AW1954" s="947"/>
      <c r="AX1954" s="947"/>
      <c r="AY1954" s="947"/>
    </row>
    <row r="1955" spans="31:51" x14ac:dyDescent="0.25">
      <c r="AE1955" s="75"/>
      <c r="AF1955" s="82"/>
      <c r="AG1955" s="82"/>
      <c r="AH1955" s="82"/>
      <c r="AI1955" s="82"/>
      <c r="AJ1955" s="166"/>
      <c r="AK1955" s="82"/>
      <c r="AL1955" s="162"/>
      <c r="AM1955" s="162"/>
      <c r="AN1955" s="162"/>
      <c r="AO1955" s="162"/>
      <c r="AP1955" s="162"/>
      <c r="AQ1955" s="162"/>
      <c r="AR1955" s="710"/>
      <c r="AV1955" s="82"/>
      <c r="AW1955" s="947"/>
      <c r="AX1955" s="947"/>
      <c r="AY1955" s="947"/>
    </row>
    <row r="1956" spans="31:51" x14ac:dyDescent="0.25">
      <c r="AE1956" s="75"/>
      <c r="AF1956" s="82"/>
      <c r="AG1956" s="82"/>
      <c r="AH1956" s="82"/>
      <c r="AI1956" s="82"/>
      <c r="AJ1956" s="166"/>
      <c r="AK1956" s="82"/>
      <c r="AL1956" s="162"/>
      <c r="AM1956" s="162"/>
      <c r="AN1956" s="162"/>
      <c r="AO1956" s="162"/>
      <c r="AP1956" s="162"/>
      <c r="AQ1956" s="162"/>
      <c r="AR1956" s="710"/>
      <c r="AV1956" s="82"/>
      <c r="AW1956" s="947"/>
      <c r="AX1956" s="947"/>
      <c r="AY1956" s="947"/>
    </row>
    <row r="1957" spans="31:51" x14ac:dyDescent="0.25">
      <c r="AE1957" s="75"/>
      <c r="AF1957" s="82"/>
      <c r="AG1957" s="82"/>
      <c r="AH1957" s="82"/>
      <c r="AI1957" s="82"/>
      <c r="AJ1957" s="166"/>
      <c r="AK1957" s="82"/>
      <c r="AL1957" s="162"/>
      <c r="AM1957" s="162"/>
      <c r="AN1957" s="162"/>
      <c r="AO1957" s="162"/>
      <c r="AP1957" s="162"/>
      <c r="AQ1957" s="162"/>
      <c r="AR1957" s="710"/>
      <c r="AV1957" s="82"/>
      <c r="AW1957" s="947"/>
      <c r="AX1957" s="947"/>
      <c r="AY1957" s="947"/>
    </row>
    <row r="1958" spans="31:51" x14ac:dyDescent="0.25">
      <c r="AE1958" s="75"/>
      <c r="AF1958" s="82"/>
      <c r="AG1958" s="82"/>
      <c r="AH1958" s="82"/>
      <c r="AI1958" s="82"/>
      <c r="AJ1958" s="166"/>
      <c r="AK1958" s="82"/>
      <c r="AL1958" s="162"/>
      <c r="AM1958" s="162"/>
      <c r="AN1958" s="162"/>
      <c r="AO1958" s="162"/>
      <c r="AP1958" s="162"/>
      <c r="AQ1958" s="162"/>
      <c r="AR1958" s="710"/>
      <c r="AV1958" s="82"/>
      <c r="AW1958" s="947"/>
      <c r="AX1958" s="947"/>
      <c r="AY1958" s="947"/>
    </row>
    <row r="1959" spans="31:51" x14ac:dyDescent="0.25">
      <c r="AE1959" s="75"/>
      <c r="AF1959" s="82"/>
      <c r="AG1959" s="82"/>
      <c r="AH1959" s="82"/>
      <c r="AI1959" s="82"/>
      <c r="AJ1959" s="166"/>
      <c r="AK1959" s="82"/>
      <c r="AL1959" s="162"/>
      <c r="AM1959" s="162"/>
      <c r="AN1959" s="162"/>
      <c r="AO1959" s="162"/>
      <c r="AP1959" s="162"/>
      <c r="AQ1959" s="162"/>
      <c r="AR1959" s="710"/>
      <c r="AV1959" s="82"/>
      <c r="AW1959" s="947"/>
      <c r="AX1959" s="947"/>
      <c r="AY1959" s="947"/>
    </row>
    <row r="1960" spans="31:51" x14ac:dyDescent="0.25">
      <c r="AE1960" s="75"/>
      <c r="AF1960" s="82"/>
      <c r="AG1960" s="82"/>
      <c r="AH1960" s="82"/>
      <c r="AI1960" s="82"/>
      <c r="AJ1960" s="166"/>
      <c r="AK1960" s="82"/>
      <c r="AL1960" s="162"/>
      <c r="AM1960" s="162"/>
      <c r="AN1960" s="162"/>
      <c r="AO1960" s="162"/>
      <c r="AP1960" s="162"/>
      <c r="AQ1960" s="162"/>
      <c r="AR1960" s="710"/>
      <c r="AV1960" s="82"/>
      <c r="AW1960" s="947"/>
      <c r="AX1960" s="947"/>
      <c r="AY1960" s="947"/>
    </row>
    <row r="1961" spans="31:51" x14ac:dyDescent="0.25">
      <c r="AE1961" s="75"/>
      <c r="AF1961" s="82"/>
      <c r="AG1961" s="82"/>
      <c r="AH1961" s="82"/>
      <c r="AI1961" s="82"/>
      <c r="AJ1961" s="166"/>
      <c r="AK1961" s="82"/>
      <c r="AL1961" s="162"/>
      <c r="AM1961" s="162"/>
      <c r="AN1961" s="162"/>
      <c r="AO1961" s="162"/>
      <c r="AP1961" s="162"/>
      <c r="AQ1961" s="162"/>
      <c r="AR1961" s="710"/>
      <c r="AV1961" s="82"/>
      <c r="AW1961" s="947"/>
      <c r="AX1961" s="947"/>
      <c r="AY1961" s="947"/>
    </row>
    <row r="1962" spans="31:51" x14ac:dyDescent="0.25">
      <c r="AE1962" s="75"/>
      <c r="AF1962" s="82"/>
      <c r="AG1962" s="82"/>
      <c r="AH1962" s="82"/>
      <c r="AI1962" s="82"/>
      <c r="AJ1962" s="166"/>
      <c r="AK1962" s="82"/>
      <c r="AL1962" s="162"/>
      <c r="AM1962" s="162"/>
      <c r="AN1962" s="162"/>
      <c r="AO1962" s="162"/>
      <c r="AP1962" s="162"/>
      <c r="AQ1962" s="162"/>
      <c r="AR1962" s="710"/>
      <c r="AV1962" s="82"/>
      <c r="AW1962" s="947"/>
      <c r="AX1962" s="947"/>
      <c r="AY1962" s="947"/>
    </row>
    <row r="1963" spans="31:51" x14ac:dyDescent="0.25">
      <c r="AE1963" s="75"/>
      <c r="AF1963" s="82"/>
      <c r="AG1963" s="82"/>
      <c r="AH1963" s="82"/>
      <c r="AI1963" s="82"/>
      <c r="AJ1963" s="166"/>
      <c r="AK1963" s="82"/>
      <c r="AL1963" s="162"/>
      <c r="AM1963" s="162"/>
      <c r="AN1963" s="162"/>
      <c r="AO1963" s="162"/>
      <c r="AP1963" s="162"/>
      <c r="AQ1963" s="162"/>
      <c r="AR1963" s="710"/>
      <c r="AV1963" s="82"/>
      <c r="AW1963" s="947"/>
      <c r="AX1963" s="947"/>
      <c r="AY1963" s="947"/>
    </row>
    <row r="1964" spans="31:51" x14ac:dyDescent="0.25">
      <c r="AE1964" s="75"/>
      <c r="AF1964" s="82"/>
      <c r="AG1964" s="82"/>
      <c r="AH1964" s="82"/>
      <c r="AI1964" s="82"/>
      <c r="AJ1964" s="166"/>
      <c r="AK1964" s="82"/>
      <c r="AL1964" s="162"/>
      <c r="AM1964" s="162"/>
      <c r="AN1964" s="162"/>
      <c r="AO1964" s="162"/>
      <c r="AP1964" s="162"/>
      <c r="AQ1964" s="162"/>
      <c r="AR1964" s="710"/>
      <c r="AV1964" s="82"/>
      <c r="AW1964" s="947"/>
      <c r="AX1964" s="947"/>
      <c r="AY1964" s="947"/>
    </row>
    <row r="1965" spans="31:51" x14ac:dyDescent="0.25">
      <c r="AE1965" s="75"/>
      <c r="AF1965" s="82"/>
      <c r="AG1965" s="82"/>
      <c r="AH1965" s="82"/>
      <c r="AI1965" s="82"/>
      <c r="AJ1965" s="166"/>
      <c r="AK1965" s="82"/>
      <c r="AL1965" s="162"/>
      <c r="AM1965" s="162"/>
      <c r="AN1965" s="162"/>
      <c r="AO1965" s="162"/>
      <c r="AP1965" s="162"/>
      <c r="AQ1965" s="162"/>
      <c r="AR1965" s="710"/>
      <c r="AV1965" s="82"/>
      <c r="AW1965" s="947"/>
      <c r="AX1965" s="947"/>
      <c r="AY1965" s="947"/>
    </row>
    <row r="1966" spans="31:51" x14ac:dyDescent="0.25">
      <c r="AE1966" s="75"/>
      <c r="AF1966" s="82"/>
      <c r="AG1966" s="82"/>
      <c r="AH1966" s="82"/>
      <c r="AI1966" s="82"/>
      <c r="AJ1966" s="166"/>
      <c r="AK1966" s="82"/>
      <c r="AL1966" s="162"/>
      <c r="AM1966" s="162"/>
      <c r="AN1966" s="162"/>
      <c r="AO1966" s="162"/>
      <c r="AP1966" s="162"/>
      <c r="AQ1966" s="162"/>
      <c r="AR1966" s="710"/>
      <c r="AV1966" s="82"/>
      <c r="AW1966" s="947"/>
      <c r="AX1966" s="947"/>
      <c r="AY1966" s="947"/>
    </row>
    <row r="1967" spans="31:51" x14ac:dyDescent="0.25">
      <c r="AE1967" s="75"/>
      <c r="AF1967" s="82"/>
      <c r="AG1967" s="82"/>
      <c r="AH1967" s="82"/>
      <c r="AI1967" s="82"/>
      <c r="AJ1967" s="166"/>
      <c r="AK1967" s="82"/>
      <c r="AL1967" s="162"/>
      <c r="AM1967" s="162"/>
      <c r="AN1967" s="162"/>
      <c r="AO1967" s="162"/>
      <c r="AP1967" s="162"/>
      <c r="AQ1967" s="162"/>
      <c r="AR1967" s="710"/>
      <c r="AV1967" s="82"/>
      <c r="AW1967" s="947"/>
      <c r="AX1967" s="947"/>
      <c r="AY1967" s="947"/>
    </row>
    <row r="1968" spans="31:51" x14ac:dyDescent="0.25">
      <c r="AE1968" s="75"/>
      <c r="AF1968" s="82"/>
      <c r="AG1968" s="82"/>
      <c r="AH1968" s="82"/>
      <c r="AI1968" s="82"/>
      <c r="AJ1968" s="166"/>
      <c r="AK1968" s="82"/>
      <c r="AL1968" s="162"/>
      <c r="AM1968" s="162"/>
      <c r="AN1968" s="162"/>
      <c r="AO1968" s="162"/>
      <c r="AP1968" s="162"/>
      <c r="AQ1968" s="162"/>
      <c r="AR1968" s="710"/>
      <c r="AV1968" s="82"/>
      <c r="AW1968" s="947"/>
      <c r="AX1968" s="947"/>
      <c r="AY1968" s="947"/>
    </row>
    <row r="1969" spans="31:51" x14ac:dyDescent="0.25">
      <c r="AE1969" s="75"/>
      <c r="AF1969" s="82"/>
      <c r="AG1969" s="82"/>
      <c r="AH1969" s="82"/>
      <c r="AI1969" s="82"/>
      <c r="AJ1969" s="166"/>
      <c r="AK1969" s="82"/>
      <c r="AL1969" s="162"/>
      <c r="AM1969" s="162"/>
      <c r="AN1969" s="162"/>
      <c r="AO1969" s="162"/>
      <c r="AP1969" s="162"/>
      <c r="AQ1969" s="162"/>
      <c r="AR1969" s="710"/>
      <c r="AV1969" s="82"/>
      <c r="AW1969" s="947"/>
      <c r="AX1969" s="947"/>
      <c r="AY1969" s="947"/>
    </row>
    <row r="1970" spans="31:51" x14ac:dyDescent="0.25">
      <c r="AE1970" s="75"/>
      <c r="AF1970" s="82"/>
      <c r="AG1970" s="82"/>
      <c r="AH1970" s="82"/>
      <c r="AI1970" s="82"/>
      <c r="AJ1970" s="166"/>
      <c r="AK1970" s="82"/>
      <c r="AL1970" s="162"/>
      <c r="AM1970" s="162"/>
      <c r="AN1970" s="162"/>
      <c r="AO1970" s="162"/>
      <c r="AP1970" s="162"/>
      <c r="AQ1970" s="162"/>
      <c r="AR1970" s="710"/>
      <c r="AV1970" s="82"/>
      <c r="AW1970" s="947"/>
      <c r="AX1970" s="947"/>
      <c r="AY1970" s="947"/>
    </row>
    <row r="1971" spans="31:51" x14ac:dyDescent="0.25">
      <c r="AE1971" s="75"/>
      <c r="AF1971" s="82"/>
      <c r="AG1971" s="82"/>
      <c r="AH1971" s="82"/>
      <c r="AI1971" s="82"/>
      <c r="AJ1971" s="166"/>
      <c r="AK1971" s="82"/>
      <c r="AL1971" s="162"/>
      <c r="AM1971" s="162"/>
      <c r="AN1971" s="162"/>
      <c r="AO1971" s="162"/>
      <c r="AP1971" s="162"/>
      <c r="AQ1971" s="162"/>
      <c r="AR1971" s="710"/>
      <c r="AV1971" s="82"/>
      <c r="AW1971" s="947"/>
      <c r="AX1971" s="947"/>
      <c r="AY1971" s="947"/>
    </row>
    <row r="1972" spans="31:51" x14ac:dyDescent="0.25">
      <c r="AE1972" s="75"/>
      <c r="AF1972" s="82"/>
      <c r="AG1972" s="82"/>
      <c r="AH1972" s="82"/>
      <c r="AI1972" s="82"/>
      <c r="AJ1972" s="166"/>
      <c r="AK1972" s="82"/>
      <c r="AL1972" s="162"/>
      <c r="AM1972" s="162"/>
      <c r="AN1972" s="162"/>
      <c r="AO1972" s="162"/>
      <c r="AP1972" s="162"/>
      <c r="AQ1972" s="162"/>
      <c r="AR1972" s="710"/>
      <c r="AV1972" s="82"/>
      <c r="AW1972" s="947"/>
      <c r="AX1972" s="947"/>
      <c r="AY1972" s="947"/>
    </row>
    <row r="1973" spans="31:51" x14ac:dyDescent="0.25">
      <c r="AE1973" s="75"/>
      <c r="AF1973" s="82"/>
      <c r="AG1973" s="82"/>
      <c r="AH1973" s="82"/>
      <c r="AI1973" s="82"/>
      <c r="AJ1973" s="166"/>
      <c r="AK1973" s="82"/>
      <c r="AL1973" s="162"/>
      <c r="AM1973" s="162"/>
      <c r="AN1973" s="162"/>
      <c r="AO1973" s="162"/>
      <c r="AP1973" s="162"/>
      <c r="AQ1973" s="162"/>
      <c r="AR1973" s="710"/>
      <c r="AV1973" s="82"/>
      <c r="AW1973" s="947"/>
      <c r="AX1973" s="947"/>
      <c r="AY1973" s="947"/>
    </row>
    <row r="1974" spans="31:51" x14ac:dyDescent="0.25">
      <c r="AE1974" s="75"/>
      <c r="AF1974" s="82"/>
      <c r="AG1974" s="82"/>
      <c r="AH1974" s="82"/>
      <c r="AI1974" s="82"/>
      <c r="AJ1974" s="166"/>
      <c r="AK1974" s="82"/>
      <c r="AL1974" s="162"/>
      <c r="AM1974" s="162"/>
      <c r="AN1974" s="162"/>
      <c r="AO1974" s="162"/>
      <c r="AP1974" s="162"/>
      <c r="AQ1974" s="162"/>
      <c r="AR1974" s="710"/>
      <c r="AV1974" s="82"/>
      <c r="AW1974" s="947"/>
      <c r="AX1974" s="947"/>
      <c r="AY1974" s="947"/>
    </row>
    <row r="1975" spans="31:51" x14ac:dyDescent="0.25">
      <c r="AE1975" s="75"/>
      <c r="AF1975" s="82"/>
      <c r="AG1975" s="82"/>
      <c r="AH1975" s="82"/>
      <c r="AI1975" s="82"/>
      <c r="AJ1975" s="166"/>
      <c r="AK1975" s="82"/>
      <c r="AL1975" s="162"/>
      <c r="AM1975" s="162"/>
      <c r="AN1975" s="162"/>
      <c r="AO1975" s="162"/>
      <c r="AP1975" s="162"/>
      <c r="AQ1975" s="162"/>
      <c r="AR1975" s="710"/>
      <c r="AV1975" s="82"/>
      <c r="AW1975" s="947"/>
      <c r="AX1975" s="947"/>
      <c r="AY1975" s="947"/>
    </row>
    <row r="1976" spans="31:51" x14ac:dyDescent="0.25">
      <c r="AE1976" s="75"/>
      <c r="AF1976" s="82"/>
      <c r="AG1976" s="82"/>
      <c r="AH1976" s="82"/>
      <c r="AI1976" s="82"/>
      <c r="AJ1976" s="166"/>
      <c r="AK1976" s="82"/>
      <c r="AL1976" s="162"/>
      <c r="AM1976" s="162"/>
      <c r="AN1976" s="162"/>
      <c r="AO1976" s="162"/>
      <c r="AP1976" s="162"/>
      <c r="AQ1976" s="162"/>
      <c r="AR1976" s="710"/>
      <c r="AV1976" s="82"/>
      <c r="AW1976" s="947"/>
      <c r="AX1976" s="947"/>
      <c r="AY1976" s="947"/>
    </row>
    <row r="1977" spans="31:51" x14ac:dyDescent="0.25">
      <c r="AE1977" s="75"/>
      <c r="AF1977" s="82"/>
      <c r="AG1977" s="82"/>
      <c r="AH1977" s="82"/>
      <c r="AI1977" s="82"/>
      <c r="AJ1977" s="166"/>
      <c r="AK1977" s="82"/>
      <c r="AL1977" s="162"/>
      <c r="AM1977" s="162"/>
      <c r="AN1977" s="162"/>
      <c r="AO1977" s="162"/>
      <c r="AP1977" s="162"/>
      <c r="AQ1977" s="162"/>
      <c r="AR1977" s="710"/>
      <c r="AV1977" s="82"/>
      <c r="AW1977" s="947"/>
      <c r="AX1977" s="947"/>
      <c r="AY1977" s="947"/>
    </row>
    <row r="1978" spans="31:51" x14ac:dyDescent="0.25">
      <c r="AE1978" s="75"/>
      <c r="AF1978" s="82"/>
      <c r="AG1978" s="82"/>
      <c r="AH1978" s="82"/>
      <c r="AI1978" s="82"/>
      <c r="AJ1978" s="166"/>
      <c r="AK1978" s="82"/>
      <c r="AL1978" s="162"/>
      <c r="AM1978" s="162"/>
      <c r="AN1978" s="162"/>
      <c r="AO1978" s="162"/>
      <c r="AP1978" s="162"/>
      <c r="AQ1978" s="162"/>
      <c r="AR1978" s="710"/>
      <c r="AV1978" s="82"/>
      <c r="AW1978" s="947"/>
      <c r="AX1978" s="947"/>
      <c r="AY1978" s="947"/>
    </row>
    <row r="1979" spans="31:51" x14ac:dyDescent="0.25">
      <c r="AE1979" s="75"/>
      <c r="AF1979" s="82"/>
      <c r="AG1979" s="82"/>
      <c r="AH1979" s="82"/>
      <c r="AI1979" s="82"/>
      <c r="AJ1979" s="166"/>
      <c r="AK1979" s="82"/>
      <c r="AL1979" s="162"/>
      <c r="AM1979" s="162"/>
      <c r="AN1979" s="162"/>
      <c r="AO1979" s="162"/>
      <c r="AP1979" s="162"/>
      <c r="AQ1979" s="162"/>
      <c r="AR1979" s="710"/>
      <c r="AV1979" s="82"/>
      <c r="AW1979" s="947"/>
      <c r="AX1979" s="947"/>
      <c r="AY1979" s="947"/>
    </row>
    <row r="1980" spans="31:51" x14ac:dyDescent="0.25">
      <c r="AE1980" s="75"/>
      <c r="AF1980" s="82"/>
      <c r="AG1980" s="82"/>
      <c r="AH1980" s="82"/>
      <c r="AI1980" s="82"/>
      <c r="AJ1980" s="166"/>
      <c r="AK1980" s="82"/>
      <c r="AL1980" s="162"/>
      <c r="AM1980" s="162"/>
      <c r="AN1980" s="162"/>
      <c r="AO1980" s="162"/>
      <c r="AP1980" s="162"/>
      <c r="AQ1980" s="162"/>
      <c r="AR1980" s="710"/>
      <c r="AV1980" s="82"/>
      <c r="AW1980" s="947"/>
      <c r="AX1980" s="947"/>
      <c r="AY1980" s="947"/>
    </row>
    <row r="1981" spans="31:51" x14ac:dyDescent="0.25">
      <c r="AE1981" s="75"/>
      <c r="AF1981" s="82"/>
      <c r="AG1981" s="82"/>
      <c r="AH1981" s="82"/>
      <c r="AI1981" s="82"/>
      <c r="AJ1981" s="166"/>
      <c r="AK1981" s="82"/>
      <c r="AL1981" s="162"/>
      <c r="AM1981" s="162"/>
      <c r="AN1981" s="162"/>
      <c r="AO1981" s="162"/>
      <c r="AP1981" s="162"/>
      <c r="AQ1981" s="162"/>
      <c r="AR1981" s="710"/>
      <c r="AV1981" s="82"/>
      <c r="AW1981" s="947"/>
      <c r="AX1981" s="947"/>
      <c r="AY1981" s="947"/>
    </row>
    <row r="1982" spans="31:51" x14ac:dyDescent="0.25">
      <c r="AE1982" s="75"/>
      <c r="AF1982" s="82"/>
      <c r="AG1982" s="82"/>
      <c r="AH1982" s="82"/>
      <c r="AI1982" s="82"/>
      <c r="AJ1982" s="166"/>
      <c r="AK1982" s="82"/>
      <c r="AL1982" s="162"/>
      <c r="AM1982" s="162"/>
      <c r="AN1982" s="162"/>
      <c r="AO1982" s="162"/>
      <c r="AP1982" s="162"/>
      <c r="AQ1982" s="162"/>
      <c r="AR1982" s="710"/>
      <c r="AV1982" s="82"/>
      <c r="AW1982" s="947"/>
      <c r="AX1982" s="947"/>
      <c r="AY1982" s="947"/>
    </row>
    <row r="1983" spans="31:51" x14ac:dyDescent="0.25">
      <c r="AE1983" s="75"/>
      <c r="AF1983" s="82"/>
      <c r="AG1983" s="82"/>
      <c r="AH1983" s="82"/>
      <c r="AI1983" s="82"/>
      <c r="AJ1983" s="166"/>
      <c r="AK1983" s="82"/>
      <c r="AL1983" s="162"/>
      <c r="AM1983" s="162"/>
      <c r="AN1983" s="162"/>
      <c r="AO1983" s="162"/>
      <c r="AP1983" s="162"/>
      <c r="AQ1983" s="162"/>
      <c r="AR1983" s="710"/>
      <c r="AV1983" s="82"/>
      <c r="AW1983" s="947"/>
      <c r="AX1983" s="947"/>
      <c r="AY1983" s="947"/>
    </row>
    <row r="1984" spans="31:51" x14ac:dyDescent="0.25">
      <c r="AE1984" s="75"/>
      <c r="AF1984" s="82"/>
      <c r="AG1984" s="82"/>
      <c r="AH1984" s="82"/>
      <c r="AI1984" s="82"/>
      <c r="AJ1984" s="166"/>
      <c r="AK1984" s="82"/>
      <c r="AL1984" s="162"/>
      <c r="AM1984" s="162"/>
      <c r="AN1984" s="162"/>
      <c r="AO1984" s="162"/>
      <c r="AP1984" s="162"/>
      <c r="AQ1984" s="162"/>
      <c r="AR1984" s="710"/>
      <c r="AV1984" s="82"/>
      <c r="AW1984" s="947"/>
      <c r="AX1984" s="947"/>
      <c r="AY1984" s="947"/>
    </row>
    <row r="1985" spans="31:51" x14ac:dyDescent="0.25">
      <c r="AE1985" s="75"/>
      <c r="AF1985" s="82"/>
      <c r="AG1985" s="82"/>
      <c r="AH1985" s="82"/>
      <c r="AI1985" s="82"/>
      <c r="AJ1985" s="166"/>
      <c r="AK1985" s="82"/>
      <c r="AL1985" s="162"/>
      <c r="AM1985" s="162"/>
      <c r="AN1985" s="162"/>
      <c r="AO1985" s="162"/>
      <c r="AP1985" s="162"/>
      <c r="AQ1985" s="162"/>
      <c r="AR1985" s="710"/>
      <c r="AV1985" s="82"/>
      <c r="AW1985" s="947"/>
      <c r="AX1985" s="947"/>
      <c r="AY1985" s="947"/>
    </row>
    <row r="1986" spans="31:51" x14ac:dyDescent="0.25">
      <c r="AE1986" s="75"/>
      <c r="AF1986" s="82"/>
      <c r="AG1986" s="82"/>
      <c r="AH1986" s="82"/>
      <c r="AI1986" s="82"/>
      <c r="AJ1986" s="166"/>
      <c r="AK1986" s="82"/>
      <c r="AL1986" s="162"/>
      <c r="AM1986" s="162"/>
      <c r="AN1986" s="162"/>
      <c r="AO1986" s="162"/>
      <c r="AP1986" s="162"/>
      <c r="AQ1986" s="162"/>
      <c r="AR1986" s="710"/>
      <c r="AV1986" s="82"/>
      <c r="AW1986" s="947"/>
      <c r="AX1986" s="947"/>
      <c r="AY1986" s="947"/>
    </row>
    <row r="1987" spans="31:51" x14ac:dyDescent="0.25">
      <c r="AE1987" s="75"/>
      <c r="AF1987" s="82"/>
      <c r="AG1987" s="82"/>
      <c r="AH1987" s="82"/>
      <c r="AI1987" s="82"/>
      <c r="AJ1987" s="166"/>
      <c r="AK1987" s="82"/>
      <c r="AL1987" s="162"/>
      <c r="AM1987" s="162"/>
      <c r="AN1987" s="162"/>
      <c r="AO1987" s="162"/>
      <c r="AP1987" s="162"/>
      <c r="AQ1987" s="162"/>
      <c r="AR1987" s="710"/>
      <c r="AV1987" s="82"/>
      <c r="AW1987" s="947"/>
      <c r="AX1987" s="947"/>
      <c r="AY1987" s="947"/>
    </row>
    <row r="1988" spans="31:51" x14ac:dyDescent="0.25">
      <c r="AE1988" s="75"/>
      <c r="AF1988" s="82"/>
      <c r="AG1988" s="82"/>
      <c r="AH1988" s="82"/>
      <c r="AI1988" s="82"/>
      <c r="AJ1988" s="166"/>
      <c r="AK1988" s="82"/>
      <c r="AL1988" s="162"/>
      <c r="AM1988" s="162"/>
      <c r="AN1988" s="162"/>
      <c r="AO1988" s="162"/>
      <c r="AP1988" s="162"/>
      <c r="AQ1988" s="162"/>
      <c r="AR1988" s="710"/>
      <c r="AV1988" s="82"/>
      <c r="AW1988" s="947"/>
      <c r="AX1988" s="947"/>
      <c r="AY1988" s="947"/>
    </row>
    <row r="1989" spans="31:51" x14ac:dyDescent="0.25">
      <c r="AE1989" s="75"/>
      <c r="AF1989" s="82"/>
      <c r="AG1989" s="82"/>
      <c r="AH1989" s="82"/>
      <c r="AI1989" s="82"/>
      <c r="AJ1989" s="166"/>
      <c r="AK1989" s="82"/>
      <c r="AL1989" s="162"/>
      <c r="AM1989" s="162"/>
      <c r="AN1989" s="162"/>
      <c r="AO1989" s="162"/>
      <c r="AP1989" s="162"/>
      <c r="AQ1989" s="162"/>
      <c r="AR1989" s="710"/>
      <c r="AV1989" s="82"/>
      <c r="AW1989" s="947"/>
      <c r="AX1989" s="947"/>
      <c r="AY1989" s="947"/>
    </row>
    <row r="1990" spans="31:51" x14ac:dyDescent="0.25">
      <c r="AE1990" s="75"/>
      <c r="AF1990" s="82"/>
      <c r="AG1990" s="82"/>
      <c r="AH1990" s="82"/>
      <c r="AI1990" s="82"/>
      <c r="AJ1990" s="166"/>
      <c r="AK1990" s="82"/>
      <c r="AL1990" s="162"/>
      <c r="AM1990" s="162"/>
      <c r="AN1990" s="162"/>
      <c r="AO1990" s="162"/>
      <c r="AP1990" s="162"/>
      <c r="AQ1990" s="162"/>
      <c r="AR1990" s="710"/>
      <c r="AV1990" s="82"/>
      <c r="AW1990" s="947"/>
      <c r="AX1990" s="947"/>
      <c r="AY1990" s="947"/>
    </row>
    <row r="1991" spans="31:51" x14ac:dyDescent="0.25">
      <c r="AE1991" s="75"/>
      <c r="AF1991" s="82"/>
      <c r="AG1991" s="82"/>
      <c r="AH1991" s="82"/>
      <c r="AI1991" s="82"/>
      <c r="AJ1991" s="166"/>
      <c r="AK1991" s="82"/>
      <c r="AL1991" s="162"/>
      <c r="AM1991" s="162"/>
      <c r="AN1991" s="162"/>
      <c r="AO1991" s="162"/>
      <c r="AP1991" s="162"/>
      <c r="AQ1991" s="162"/>
      <c r="AR1991" s="710"/>
      <c r="AV1991" s="82"/>
      <c r="AW1991" s="947"/>
      <c r="AX1991" s="947"/>
      <c r="AY1991" s="947"/>
    </row>
    <row r="1992" spans="31:51" x14ac:dyDescent="0.25">
      <c r="AE1992" s="75"/>
      <c r="AF1992" s="82"/>
      <c r="AG1992" s="82"/>
      <c r="AH1992" s="82"/>
      <c r="AI1992" s="82"/>
      <c r="AJ1992" s="166"/>
      <c r="AK1992" s="82"/>
      <c r="AL1992" s="162"/>
      <c r="AM1992" s="162"/>
      <c r="AN1992" s="162"/>
      <c r="AO1992" s="162"/>
      <c r="AP1992" s="162"/>
      <c r="AQ1992" s="162"/>
      <c r="AR1992" s="710"/>
      <c r="AV1992" s="82"/>
      <c r="AW1992" s="947"/>
      <c r="AX1992" s="947"/>
      <c r="AY1992" s="947"/>
    </row>
    <row r="1993" spans="31:51" x14ac:dyDescent="0.25">
      <c r="AE1993" s="75"/>
      <c r="AF1993" s="82"/>
      <c r="AG1993" s="82"/>
      <c r="AH1993" s="82"/>
      <c r="AI1993" s="82"/>
      <c r="AJ1993" s="166"/>
      <c r="AK1993" s="82"/>
      <c r="AL1993" s="162"/>
      <c r="AM1993" s="162"/>
      <c r="AN1993" s="162"/>
      <c r="AO1993" s="162"/>
      <c r="AP1993" s="162"/>
      <c r="AQ1993" s="162"/>
      <c r="AR1993" s="710"/>
      <c r="AV1993" s="82"/>
      <c r="AW1993" s="947"/>
      <c r="AX1993" s="947"/>
      <c r="AY1993" s="947"/>
    </row>
    <row r="1994" spans="31:51" x14ac:dyDescent="0.25">
      <c r="AE1994" s="75"/>
      <c r="AF1994" s="82"/>
      <c r="AG1994" s="82"/>
      <c r="AH1994" s="82"/>
      <c r="AI1994" s="82"/>
      <c r="AJ1994" s="166"/>
      <c r="AK1994" s="82"/>
      <c r="AL1994" s="162"/>
      <c r="AM1994" s="162"/>
      <c r="AN1994" s="162"/>
      <c r="AO1994" s="162"/>
      <c r="AP1994" s="162"/>
      <c r="AQ1994" s="162"/>
      <c r="AR1994" s="710"/>
      <c r="AV1994" s="82"/>
      <c r="AW1994" s="947"/>
      <c r="AX1994" s="947"/>
      <c r="AY1994" s="947"/>
    </row>
    <row r="1995" spans="31:51" x14ac:dyDescent="0.25">
      <c r="AE1995" s="75"/>
      <c r="AF1995" s="82"/>
      <c r="AG1995" s="82"/>
      <c r="AH1995" s="82"/>
      <c r="AI1995" s="82"/>
      <c r="AJ1995" s="166"/>
      <c r="AK1995" s="82"/>
      <c r="AL1995" s="162"/>
      <c r="AM1995" s="162"/>
      <c r="AN1995" s="162"/>
      <c r="AO1995" s="162"/>
      <c r="AP1995" s="162"/>
      <c r="AQ1995" s="162"/>
      <c r="AR1995" s="710"/>
      <c r="AV1995" s="82"/>
      <c r="AW1995" s="947"/>
      <c r="AX1995" s="947"/>
      <c r="AY1995" s="947"/>
    </row>
    <row r="1996" spans="31:51" x14ac:dyDescent="0.25">
      <c r="AE1996" s="75"/>
      <c r="AF1996" s="82"/>
      <c r="AG1996" s="82"/>
      <c r="AH1996" s="82"/>
      <c r="AI1996" s="82"/>
      <c r="AJ1996" s="166"/>
      <c r="AK1996" s="82"/>
      <c r="AL1996" s="162"/>
      <c r="AM1996" s="162"/>
      <c r="AN1996" s="162"/>
      <c r="AO1996" s="162"/>
      <c r="AP1996" s="162"/>
      <c r="AQ1996" s="162"/>
      <c r="AR1996" s="710"/>
      <c r="AV1996" s="82"/>
      <c r="AW1996" s="947"/>
      <c r="AX1996" s="947"/>
      <c r="AY1996" s="947"/>
    </row>
    <row r="1997" spans="31:51" x14ac:dyDescent="0.25">
      <c r="AE1997" s="75"/>
      <c r="AF1997" s="82"/>
      <c r="AG1997" s="82"/>
      <c r="AH1997" s="82"/>
      <c r="AI1997" s="82"/>
      <c r="AJ1997" s="166"/>
      <c r="AK1997" s="82"/>
      <c r="AL1997" s="162"/>
      <c r="AM1997" s="162"/>
      <c r="AN1997" s="162"/>
      <c r="AO1997" s="162"/>
      <c r="AP1997" s="162"/>
      <c r="AQ1997" s="162"/>
      <c r="AR1997" s="710"/>
      <c r="AV1997" s="82"/>
      <c r="AW1997" s="947"/>
      <c r="AX1997" s="947"/>
      <c r="AY1997" s="947"/>
    </row>
    <row r="1998" spans="31:51" x14ac:dyDescent="0.25">
      <c r="AE1998" s="75"/>
      <c r="AF1998" s="82"/>
      <c r="AG1998" s="82"/>
      <c r="AH1998" s="82"/>
      <c r="AI1998" s="82"/>
      <c r="AJ1998" s="166"/>
      <c r="AK1998" s="82"/>
      <c r="AL1998" s="162"/>
      <c r="AM1998" s="162"/>
      <c r="AN1998" s="162"/>
      <c r="AO1998" s="162"/>
      <c r="AP1998" s="162"/>
      <c r="AQ1998" s="162"/>
      <c r="AR1998" s="710"/>
      <c r="AV1998" s="82"/>
      <c r="AW1998" s="947"/>
      <c r="AX1998" s="947"/>
      <c r="AY1998" s="947"/>
    </row>
    <row r="1999" spans="31:51" x14ac:dyDescent="0.25">
      <c r="AE1999" s="75"/>
      <c r="AF1999" s="82"/>
      <c r="AG1999" s="82"/>
      <c r="AH1999" s="82"/>
      <c r="AI1999" s="82"/>
      <c r="AJ1999" s="166"/>
      <c r="AK1999" s="82"/>
      <c r="AL1999" s="162"/>
      <c r="AM1999" s="162"/>
      <c r="AN1999" s="162"/>
      <c r="AO1999" s="162"/>
      <c r="AP1999" s="162"/>
      <c r="AQ1999" s="162"/>
      <c r="AR1999" s="710"/>
      <c r="AV1999" s="82"/>
      <c r="AW1999" s="947"/>
      <c r="AX1999" s="947"/>
      <c r="AY1999" s="947"/>
    </row>
    <row r="2000" spans="31:51" x14ac:dyDescent="0.25">
      <c r="AE2000" s="75"/>
      <c r="AF2000" s="82"/>
      <c r="AG2000" s="82"/>
      <c r="AH2000" s="82"/>
      <c r="AI2000" s="82"/>
      <c r="AJ2000" s="166"/>
      <c r="AK2000" s="82"/>
      <c r="AL2000" s="162"/>
      <c r="AM2000" s="162"/>
      <c r="AN2000" s="162"/>
      <c r="AO2000" s="162"/>
      <c r="AP2000" s="162"/>
      <c r="AQ2000" s="162"/>
      <c r="AR2000" s="710"/>
      <c r="AV2000" s="82"/>
      <c r="AW2000" s="947"/>
      <c r="AX2000" s="947"/>
      <c r="AY2000" s="947"/>
    </row>
    <row r="2001" spans="31:31" x14ac:dyDescent="0.25">
      <c r="AE2001" s="75"/>
    </row>
    <row r="2002" spans="31:31" x14ac:dyDescent="0.25">
      <c r="AE2002" s="75"/>
    </row>
    <row r="2003" spans="31:31" x14ac:dyDescent="0.25">
      <c r="AE2003" s="75"/>
    </row>
    <row r="2004" spans="31:31" x14ac:dyDescent="0.25">
      <c r="AE2004" s="75"/>
    </row>
    <row r="2005" spans="31:31" x14ac:dyDescent="0.25">
      <c r="AE2005" s="75"/>
    </row>
    <row r="2006" spans="31:31" x14ac:dyDescent="0.25">
      <c r="AE2006" s="75"/>
    </row>
    <row r="2007" spans="31:31" x14ac:dyDescent="0.25">
      <c r="AE2007" s="75"/>
    </row>
    <row r="2008" spans="31:31" x14ac:dyDescent="0.25">
      <c r="AE2008" s="75"/>
    </row>
    <row r="2009" spans="31:31" x14ac:dyDescent="0.25">
      <c r="AE2009" s="75"/>
    </row>
    <row r="2010" spans="31:31" x14ac:dyDescent="0.25">
      <c r="AE2010" s="75"/>
    </row>
    <row r="2011" spans="31:31" x14ac:dyDescent="0.25">
      <c r="AE2011" s="75"/>
    </row>
    <row r="2012" spans="31:31" x14ac:dyDescent="0.25">
      <c r="AE2012" s="75"/>
    </row>
    <row r="2013" spans="31:31" x14ac:dyDescent="0.25">
      <c r="AE2013" s="75"/>
    </row>
    <row r="2014" spans="31:31" x14ac:dyDescent="0.25">
      <c r="AE2014" s="75"/>
    </row>
    <row r="2015" spans="31:31" x14ac:dyDescent="0.25">
      <c r="AE2015" s="75"/>
    </row>
    <row r="2016" spans="31:31" x14ac:dyDescent="0.25">
      <c r="AE2016" s="75"/>
    </row>
    <row r="2017" spans="31:31" x14ac:dyDescent="0.25">
      <c r="AE2017" s="75"/>
    </row>
    <row r="2018" spans="31:31" x14ac:dyDescent="0.25">
      <c r="AE2018" s="75"/>
    </row>
    <row r="2019" spans="31:31" x14ac:dyDescent="0.25">
      <c r="AE2019" s="75"/>
    </row>
    <row r="2020" spans="31:31" x14ac:dyDescent="0.25">
      <c r="AE2020" s="75"/>
    </row>
    <row r="2021" spans="31:31" x14ac:dyDescent="0.25">
      <c r="AE2021" s="75"/>
    </row>
    <row r="2022" spans="31:31" x14ac:dyDescent="0.25">
      <c r="AE2022" s="75"/>
    </row>
    <row r="2023" spans="31:31" x14ac:dyDescent="0.25">
      <c r="AE2023" s="75"/>
    </row>
    <row r="2024" spans="31:31" x14ac:dyDescent="0.25">
      <c r="AE2024" s="75"/>
    </row>
    <row r="2025" spans="31:31" x14ac:dyDescent="0.25">
      <c r="AE2025" s="75"/>
    </row>
    <row r="2026" spans="31:31" x14ac:dyDescent="0.25">
      <c r="AE2026" s="75"/>
    </row>
    <row r="2027" spans="31:31" x14ac:dyDescent="0.25">
      <c r="AE2027" s="75"/>
    </row>
    <row r="2028" spans="31:31" x14ac:dyDescent="0.25">
      <c r="AE2028" s="75"/>
    </row>
    <row r="2029" spans="31:31" x14ac:dyDescent="0.25">
      <c r="AE2029" s="75"/>
    </row>
    <row r="2030" spans="31:31" x14ac:dyDescent="0.25">
      <c r="AE2030" s="75"/>
    </row>
    <row r="2031" spans="31:31" x14ac:dyDescent="0.25">
      <c r="AE2031" s="75"/>
    </row>
    <row r="2032" spans="31:31" x14ac:dyDescent="0.25">
      <c r="AE2032" s="75"/>
    </row>
    <row r="2033" spans="31:31" x14ac:dyDescent="0.25">
      <c r="AE2033" s="75"/>
    </row>
    <row r="2034" spans="31:31" x14ac:dyDescent="0.25">
      <c r="AE2034" s="75"/>
    </row>
    <row r="2035" spans="31:31" x14ac:dyDescent="0.25">
      <c r="AE2035" s="75"/>
    </row>
    <row r="2036" spans="31:31" x14ac:dyDescent="0.25">
      <c r="AE2036" s="75"/>
    </row>
    <row r="2037" spans="31:31" x14ac:dyDescent="0.25">
      <c r="AE2037" s="75"/>
    </row>
    <row r="2038" spans="31:31" x14ac:dyDescent="0.25">
      <c r="AE2038" s="75"/>
    </row>
    <row r="2039" spans="31:31" x14ac:dyDescent="0.25">
      <c r="AE2039" s="75"/>
    </row>
    <row r="2040" spans="31:31" x14ac:dyDescent="0.25">
      <c r="AE2040" s="75"/>
    </row>
    <row r="2041" spans="31:31" x14ac:dyDescent="0.25">
      <c r="AE2041" s="75"/>
    </row>
    <row r="2042" spans="31:31" x14ac:dyDescent="0.25">
      <c r="AE2042" s="75"/>
    </row>
    <row r="2043" spans="31:31" x14ac:dyDescent="0.25">
      <c r="AE2043" s="75"/>
    </row>
    <row r="2044" spans="31:31" x14ac:dyDescent="0.25">
      <c r="AE2044" s="75"/>
    </row>
    <row r="2045" spans="31:31" x14ac:dyDescent="0.25">
      <c r="AE2045" s="75"/>
    </row>
    <row r="2046" spans="31:31" x14ac:dyDescent="0.25">
      <c r="AE2046" s="75"/>
    </row>
    <row r="2047" spans="31:31" x14ac:dyDescent="0.25">
      <c r="AE2047" s="75"/>
    </row>
    <row r="2048" spans="31:31" x14ac:dyDescent="0.25">
      <c r="AE2048" s="75"/>
    </row>
    <row r="2049" spans="31:31" x14ac:dyDescent="0.25">
      <c r="AE2049" s="75"/>
    </row>
    <row r="2050" spans="31:31" x14ac:dyDescent="0.25">
      <c r="AE2050" s="75"/>
    </row>
    <row r="2051" spans="31:31" x14ac:dyDescent="0.25">
      <c r="AE2051" s="75"/>
    </row>
    <row r="2052" spans="31:31" x14ac:dyDescent="0.25">
      <c r="AE2052" s="75"/>
    </row>
    <row r="2053" spans="31:31" x14ac:dyDescent="0.25">
      <c r="AE2053" s="75"/>
    </row>
    <row r="2054" spans="31:31" x14ac:dyDescent="0.25">
      <c r="AE2054" s="75"/>
    </row>
    <row r="2055" spans="31:31" x14ac:dyDescent="0.25">
      <c r="AE2055" s="75"/>
    </row>
    <row r="2056" spans="31:31" x14ac:dyDescent="0.25">
      <c r="AE2056" s="75"/>
    </row>
    <row r="2057" spans="31:31" x14ac:dyDescent="0.25">
      <c r="AE2057" s="75"/>
    </row>
    <row r="2058" spans="31:31" x14ac:dyDescent="0.25">
      <c r="AE2058" s="75"/>
    </row>
    <row r="2059" spans="31:31" x14ac:dyDescent="0.25">
      <c r="AE2059" s="75"/>
    </row>
    <row r="2060" spans="31:31" x14ac:dyDescent="0.25">
      <c r="AE2060" s="75"/>
    </row>
    <row r="2061" spans="31:31" x14ac:dyDescent="0.25">
      <c r="AE2061" s="75"/>
    </row>
    <row r="2062" spans="31:31" x14ac:dyDescent="0.25">
      <c r="AE2062" s="75"/>
    </row>
    <row r="2063" spans="31:31" x14ac:dyDescent="0.25">
      <c r="AE2063" s="75"/>
    </row>
    <row r="2064" spans="31:31" x14ac:dyDescent="0.25">
      <c r="AE2064" s="75"/>
    </row>
    <row r="2065" spans="31:31" x14ac:dyDescent="0.25">
      <c r="AE2065" s="75"/>
    </row>
    <row r="2066" spans="31:31" x14ac:dyDescent="0.25">
      <c r="AE2066" s="75"/>
    </row>
    <row r="2067" spans="31:31" x14ac:dyDescent="0.25">
      <c r="AE2067" s="75"/>
    </row>
    <row r="2068" spans="31:31" x14ac:dyDescent="0.25">
      <c r="AE2068" s="75"/>
    </row>
    <row r="2069" spans="31:31" x14ac:dyDescent="0.25">
      <c r="AE2069" s="75"/>
    </row>
    <row r="2070" spans="31:31" x14ac:dyDescent="0.25">
      <c r="AE2070" s="75"/>
    </row>
    <row r="2071" spans="31:31" x14ac:dyDescent="0.25">
      <c r="AE2071" s="75"/>
    </row>
    <row r="2072" spans="31:31" x14ac:dyDescent="0.25">
      <c r="AE2072" s="75"/>
    </row>
    <row r="2073" spans="31:31" x14ac:dyDescent="0.25">
      <c r="AE2073" s="75"/>
    </row>
    <row r="2074" spans="31:31" x14ac:dyDescent="0.25">
      <c r="AE2074" s="75"/>
    </row>
    <row r="2075" spans="31:31" x14ac:dyDescent="0.25">
      <c r="AE2075" s="75"/>
    </row>
    <row r="2076" spans="31:31" x14ac:dyDescent="0.25">
      <c r="AE2076" s="75"/>
    </row>
    <row r="2077" spans="31:31" x14ac:dyDescent="0.25">
      <c r="AE2077" s="75"/>
    </row>
    <row r="2078" spans="31:31" x14ac:dyDescent="0.25">
      <c r="AE2078" s="75"/>
    </row>
    <row r="2079" spans="31:31" x14ac:dyDescent="0.25">
      <c r="AE2079" s="75"/>
    </row>
    <row r="2080" spans="31:31" x14ac:dyDescent="0.25">
      <c r="AE2080" s="75"/>
    </row>
    <row r="2081" spans="31:31" x14ac:dyDescent="0.25">
      <c r="AE2081" s="75"/>
    </row>
    <row r="2082" spans="31:31" x14ac:dyDescent="0.25">
      <c r="AE2082" s="75"/>
    </row>
    <row r="2083" spans="31:31" x14ac:dyDescent="0.25">
      <c r="AE2083" s="75"/>
    </row>
    <row r="2084" spans="31:31" x14ac:dyDescent="0.25">
      <c r="AE2084" s="75"/>
    </row>
    <row r="2085" spans="31:31" x14ac:dyDescent="0.25">
      <c r="AE2085" s="75"/>
    </row>
    <row r="2086" spans="31:31" x14ac:dyDescent="0.25">
      <c r="AE2086" s="75"/>
    </row>
    <row r="2087" spans="31:31" x14ac:dyDescent="0.25">
      <c r="AE2087" s="75"/>
    </row>
    <row r="2088" spans="31:31" x14ac:dyDescent="0.25">
      <c r="AE2088" s="75"/>
    </row>
    <row r="2089" spans="31:31" x14ac:dyDescent="0.25">
      <c r="AE2089" s="75"/>
    </row>
    <row r="2090" spans="31:31" x14ac:dyDescent="0.25">
      <c r="AE2090" s="75"/>
    </row>
    <row r="2091" spans="31:31" x14ac:dyDescent="0.25">
      <c r="AE2091" s="75"/>
    </row>
    <row r="2092" spans="31:31" x14ac:dyDescent="0.25">
      <c r="AE2092" s="75"/>
    </row>
    <row r="2093" spans="31:31" x14ac:dyDescent="0.25">
      <c r="AE2093" s="75"/>
    </row>
    <row r="2094" spans="31:31" x14ac:dyDescent="0.25">
      <c r="AE2094" s="75"/>
    </row>
    <row r="2095" spans="31:31" x14ac:dyDescent="0.25">
      <c r="AE2095" s="75"/>
    </row>
    <row r="2096" spans="31:31" x14ac:dyDescent="0.25">
      <c r="AE2096" s="75"/>
    </row>
    <row r="2097" spans="31:31" x14ac:dyDescent="0.25">
      <c r="AE2097" s="75"/>
    </row>
    <row r="2098" spans="31:31" x14ac:dyDescent="0.25">
      <c r="AE2098" s="75"/>
    </row>
    <row r="2099" spans="31:31" x14ac:dyDescent="0.25">
      <c r="AE2099" s="75"/>
    </row>
    <row r="2100" spans="31:31" x14ac:dyDescent="0.25">
      <c r="AE2100" s="75"/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4"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GY5:GZ5"/>
    <mergeCell ref="GS4:GZ4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</mergeCells>
  <conditionalFormatting sqref="HI9:HI40 HL9:HL40 AV9:AV40 AV54:AV150 HL54:HL150 HI54:HI150 M9:M150">
    <cfRule type="cellIs" dxfId="50" priority="175" stopIfTrue="1" operator="between">
      <formula>9</formula>
      <formula>9.99</formula>
    </cfRule>
    <cfRule type="cellIs" dxfId="49" priority="176" stopIfTrue="1" operator="between">
      <formula>8</formula>
      <formula>8.99</formula>
    </cfRule>
    <cfRule type="cellIs" dxfId="48" priority="177" stopIfTrue="1" operator="between">
      <formula>7</formula>
      <formula>7.99</formula>
    </cfRule>
    <cfRule type="cellIs" dxfId="47" priority="178" stopIfTrue="1" operator="between">
      <formula>6</formula>
      <formula>6.99</formula>
    </cfRule>
    <cfRule type="cellIs" dxfId="46" priority="179" stopIfTrue="1" operator="between">
      <formula>5</formula>
      <formula>5.99</formula>
    </cfRule>
    <cfRule type="cellIs" dxfId="45" priority="180" stopIfTrue="1" operator="between">
      <formula>4</formula>
      <formula>4.99</formula>
    </cfRule>
    <cfRule type="cellIs" dxfId="44" priority="181" stopIfTrue="1" operator="between">
      <formula>3</formula>
      <formula>3.99</formula>
    </cfRule>
    <cfRule type="cellIs" dxfId="43" priority="182" stopIfTrue="1" operator="between">
      <formula>2</formula>
      <formula>2.99</formula>
    </cfRule>
    <cfRule type="cellIs" dxfId="42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61" stopIfTrue="1" operator="between">
      <formula>9</formula>
      <formula>9.99</formula>
    </cfRule>
    <cfRule type="cellIs" dxfId="40" priority="62" stopIfTrue="1" operator="between">
      <formula>8</formula>
      <formula>8.99</formula>
    </cfRule>
    <cfRule type="cellIs" dxfId="39" priority="63" stopIfTrue="1" operator="between">
      <formula>7</formula>
      <formula>7.99</formula>
    </cfRule>
    <cfRule type="cellIs" dxfId="38" priority="64" stopIfTrue="1" operator="between">
      <formula>6</formula>
      <formula>6.99</formula>
    </cfRule>
    <cfRule type="cellIs" dxfId="37" priority="65" stopIfTrue="1" operator="between">
      <formula>5</formula>
      <formula>5.99</formula>
    </cfRule>
    <cfRule type="cellIs" dxfId="36" priority="66" stopIfTrue="1" operator="between">
      <formula>4</formula>
      <formula>4.99</formula>
    </cfRule>
    <cfRule type="cellIs" dxfId="35" priority="67" stopIfTrue="1" operator="between">
      <formula>3</formula>
      <formula>3.99</formula>
    </cfRule>
    <cfRule type="cellIs" dxfId="34" priority="68" stopIfTrue="1" operator="between">
      <formula>2</formula>
      <formula>2.99</formula>
    </cfRule>
    <cfRule type="cellIs" dxfId="33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32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8" r:id="rId6" name="CommandButton1">
          <controlPr defaultSize="0" autoLine="0" r:id="rId7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6" name="CommandButton1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sheetPr codeName="Sheet3"/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69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69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69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69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69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69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69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69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69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69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69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69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69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69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69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69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69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69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69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69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69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69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69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69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69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69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69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69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69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69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69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69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69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69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69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69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69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69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69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69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69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69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69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69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69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69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69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69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69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69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69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69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69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69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69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69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69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69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69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69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69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69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69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69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69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69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69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69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69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69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69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69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69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69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69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69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69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69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69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69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81" t="str">
        <f>CONCATENATE(Settings!$C$19," ",Settings!$B$28)</f>
        <v>10.625 2746r00</v>
      </c>
      <c r="D1" s="1181"/>
      <c r="E1" s="1181"/>
      <c r="F1" s="1181"/>
      <c r="G1" s="1181"/>
      <c r="H1" s="1181"/>
      <c r="I1" s="1181"/>
      <c r="J1" s="1181"/>
      <c r="K1" s="1181"/>
      <c r="M1" s="103" t="s">
        <v>310</v>
      </c>
      <c r="N1" s="1378" t="s">
        <v>312</v>
      </c>
      <c r="O1" s="1378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87" t="str">
        <f>Settings!B28</f>
        <v>2746r00</v>
      </c>
      <c r="C2" s="1388"/>
      <c r="D2" s="1388"/>
      <c r="E2" s="1388"/>
      <c r="F2" s="1388"/>
      <c r="G2" s="1388"/>
      <c r="H2" s="1388"/>
      <c r="I2" s="1388"/>
      <c r="J2" s="1388"/>
      <c r="K2" s="1389"/>
      <c r="L2" s="1047" t="str" cm="1">
        <f t="array" ref="L2">IF(OR($K$9:$K$150="Undefined"),"Undefined Element","")</f>
        <v/>
      </c>
      <c r="M2" s="1384" t="s">
        <v>0</v>
      </c>
      <c r="N2" s="1159" t="s">
        <v>1</v>
      </c>
      <c r="O2" s="1160"/>
      <c r="P2" s="1160"/>
      <c r="Q2" s="1160"/>
      <c r="R2" s="1160"/>
      <c r="S2" s="1160"/>
      <c r="T2" s="1160"/>
      <c r="U2" s="1160"/>
      <c r="V2" s="1160"/>
      <c r="W2" s="1160"/>
      <c r="X2" s="1160"/>
      <c r="Y2" s="1234"/>
      <c r="Z2" s="1159" t="s">
        <v>2</v>
      </c>
      <c r="AA2" s="1160"/>
      <c r="AB2" s="1160"/>
      <c r="AC2" s="1160"/>
      <c r="AD2" s="1160"/>
      <c r="AE2" s="1160"/>
      <c r="AF2" s="1160"/>
      <c r="AG2" s="1160"/>
      <c r="AH2" s="1160"/>
      <c r="AI2" s="1160"/>
      <c r="AJ2" s="1160"/>
      <c r="AK2" s="1160"/>
      <c r="AL2" s="1160"/>
      <c r="AM2" s="1160"/>
      <c r="AN2" s="1160"/>
      <c r="AO2" s="1160"/>
      <c r="AP2" s="1160"/>
      <c r="AQ2" s="1161"/>
      <c r="AS2" s="1240" t="s">
        <v>44</v>
      </c>
      <c r="AT2" s="1241"/>
      <c r="AV2" s="1400" t="str">
        <f>M2</f>
        <v>CS-Name</v>
      </c>
      <c r="AW2" s="1414"/>
      <c r="AX2" s="1414"/>
      <c r="AY2" s="1414"/>
      <c r="AZ2" s="1414"/>
      <c r="BA2" s="1414"/>
      <c r="BB2" s="1414"/>
      <c r="BC2" s="1415"/>
      <c r="BF2" s="1407" t="s">
        <v>313</v>
      </c>
      <c r="BG2" s="1408"/>
      <c r="BH2" s="1408"/>
      <c r="BI2" s="1408"/>
      <c r="BJ2" s="1408"/>
      <c r="BK2" s="1409"/>
      <c r="BM2" s="1424" t="s">
        <v>270</v>
      </c>
      <c r="BN2" s="1279"/>
      <c r="BO2" s="1279"/>
      <c r="BP2" s="1280"/>
      <c r="BR2" s="1424" t="s">
        <v>270</v>
      </c>
      <c r="BS2" s="1279"/>
      <c r="BT2" s="1279"/>
      <c r="BU2" s="1280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83"/>
      <c r="C3" s="1184"/>
      <c r="D3" s="1184"/>
      <c r="E3" s="1184"/>
      <c r="F3" s="1184"/>
      <c r="G3" s="1184"/>
      <c r="H3" s="1184"/>
      <c r="I3" s="1184"/>
      <c r="J3" s="1184"/>
      <c r="K3" s="1185"/>
      <c r="L3" s="1047"/>
      <c r="M3" s="1385"/>
      <c r="N3" s="1235"/>
      <c r="O3" s="1236"/>
      <c r="P3" s="1236"/>
      <c r="Q3" s="1236"/>
      <c r="R3" s="1236"/>
      <c r="S3" s="1236"/>
      <c r="T3" s="1236"/>
      <c r="U3" s="1236"/>
      <c r="V3" s="1236"/>
      <c r="W3" s="1236"/>
      <c r="X3" s="1236"/>
      <c r="Y3" s="1237"/>
      <c r="Z3" s="1023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162"/>
      <c r="AS3" s="415">
        <v>100</v>
      </c>
      <c r="AT3" s="412" t="s">
        <v>45</v>
      </c>
      <c r="AV3" s="1401"/>
      <c r="AW3" s="1416"/>
      <c r="AX3" s="1416"/>
      <c r="AY3" s="1416"/>
      <c r="AZ3" s="1416"/>
      <c r="BA3" s="1416"/>
      <c r="BB3" s="1416"/>
      <c r="BC3" s="1417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01" t="s">
        <v>307</v>
      </c>
      <c r="C4" s="1158"/>
      <c r="D4" s="1158"/>
      <c r="E4" s="1158"/>
      <c r="F4" s="1158"/>
      <c r="G4" s="1158"/>
      <c r="H4" s="1158"/>
      <c r="I4" s="1158"/>
      <c r="J4" s="1158"/>
      <c r="K4" s="1390"/>
      <c r="L4" s="1047"/>
      <c r="M4" s="1385"/>
      <c r="N4" s="1202" t="s">
        <v>3</v>
      </c>
      <c r="O4" s="1199"/>
      <c r="P4" s="1199"/>
      <c r="Q4" s="1198" t="s">
        <v>4</v>
      </c>
      <c r="R4" s="1199"/>
      <c r="S4" s="1217"/>
      <c r="T4" s="1211" t="str">
        <f>N4</f>
        <v>Cartesian Coordinates</v>
      </c>
      <c r="U4" s="1166"/>
      <c r="V4" s="1212"/>
      <c r="W4" s="1166" t="str">
        <f>Q4</f>
        <v>Polar XY; Cartesian Z</v>
      </c>
      <c r="X4" s="1166"/>
      <c r="Y4" s="1182"/>
      <c r="Z4" s="1380" t="s">
        <v>3</v>
      </c>
      <c r="AA4" s="1381"/>
      <c r="AB4" s="1381"/>
      <c r="AC4" s="1381"/>
      <c r="AD4" s="1381"/>
      <c r="AE4" s="1381"/>
      <c r="AF4" s="1381"/>
      <c r="AG4" s="1420" t="s">
        <v>31</v>
      </c>
      <c r="AH4" s="1381"/>
      <c r="AI4" s="1381"/>
      <c r="AJ4" s="1421"/>
      <c r="AK4" s="1427" t="s">
        <v>32</v>
      </c>
      <c r="AL4" s="1428"/>
      <c r="AM4" s="1428"/>
      <c r="AN4" s="1428"/>
      <c r="AO4" s="1428"/>
      <c r="AP4" s="1428"/>
      <c r="AQ4" s="1429"/>
      <c r="AS4" s="416">
        <v>0</v>
      </c>
      <c r="AT4" s="413" t="s">
        <v>46</v>
      </c>
      <c r="AV4" s="1401"/>
      <c r="AW4" s="1418"/>
      <c r="AX4" s="1418"/>
      <c r="AY4" s="1418"/>
      <c r="AZ4" s="1419"/>
      <c r="BA4" s="1418" t="str">
        <f>Z2</f>
        <v>PDC Orientation</v>
      </c>
      <c r="BB4" s="1418"/>
      <c r="BC4" s="1419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69" t="s">
        <v>372</v>
      </c>
      <c r="IF4" s="1069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83" t="str">
        <f>CONCATENATE(B7," ; ",E7," ; ",H8)</f>
        <v>Absolute-Point ; Incremental-Vector Point ; Radius</v>
      </c>
      <c r="C5" s="1184"/>
      <c r="D5" s="1184"/>
      <c r="E5" s="1184"/>
      <c r="F5" s="1184"/>
      <c r="G5" s="1184"/>
      <c r="H5" s="1184"/>
      <c r="I5" s="1184"/>
      <c r="J5" s="1184"/>
      <c r="K5" s="1185"/>
      <c r="L5" s="813" t="str" cm="1">
        <f t="array" ref="L5">IF(OR(IF(LEFT($K$9:$K$150,4)="&lt;&gt;CS",TRUE,FALSE)),"Wrong CS","")</f>
        <v/>
      </c>
      <c r="M5" s="1385"/>
      <c r="N5" s="1222" t="s">
        <v>5</v>
      </c>
      <c r="O5" s="1223"/>
      <c r="P5" s="1223"/>
      <c r="Q5" s="1275" t="s">
        <v>6</v>
      </c>
      <c r="R5" s="1223"/>
      <c r="S5" s="1261"/>
      <c r="T5" s="1228" t="str">
        <f>CONCATENATE("Relative to ",M8,"'s θ &amp; Z; Z Axis")</f>
        <v>Relative to 's θ &amp; Z; Z Axis</v>
      </c>
      <c r="U5" s="1173"/>
      <c r="V5" s="1252"/>
      <c r="W5" s="1173" t="str">
        <f>CONCATENATE("Relative to ",M8,"'s θ &amp; Z; Z Axis")</f>
        <v>Relative to 's θ &amp; Z; Z Axis</v>
      </c>
      <c r="X5" s="1173"/>
      <c r="Y5" s="1213"/>
      <c r="Z5" s="1203" t="str">
        <f>N5</f>
        <v>Relative to World_CS</v>
      </c>
      <c r="AA5" s="1173"/>
      <c r="AB5" s="1173"/>
      <c r="AC5" s="1173"/>
      <c r="AD5" s="1173"/>
      <c r="AE5" s="1173"/>
      <c r="AF5" s="1173"/>
      <c r="AG5" s="1228" t="str">
        <f>N5</f>
        <v>Relative to World_CS</v>
      </c>
      <c r="AH5" s="1173"/>
      <c r="AI5" s="1173"/>
      <c r="AJ5" s="1174"/>
      <c r="AK5" s="1260" t="s">
        <v>7</v>
      </c>
      <c r="AL5" s="1223"/>
      <c r="AM5" s="1223"/>
      <c r="AN5" s="1223"/>
      <c r="AO5" s="1223"/>
      <c r="AP5" s="1223"/>
      <c r="AQ5" s="1261"/>
      <c r="AS5" s="167">
        <f>(((AS4*12)/60)/AS3)</f>
        <v>0</v>
      </c>
      <c r="AT5" s="413" t="s">
        <v>47</v>
      </c>
      <c r="AV5" s="1401"/>
      <c r="AW5" s="1211" t="str">
        <f>W4</f>
        <v>Polar XY; Cartesian Z</v>
      </c>
      <c r="AX5" s="1166"/>
      <c r="AY5" s="1166"/>
      <c r="AZ5" s="1050" t="s">
        <v>104</v>
      </c>
      <c r="BA5" s="1166" t="str">
        <f>AK4</f>
        <v>Polar Z Projection → XZ Plane</v>
      </c>
      <c r="BB5" s="1166"/>
      <c r="BC5" s="1167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86"/>
      <c r="C6" s="1187"/>
      <c r="D6" s="1187"/>
      <c r="E6" s="1187"/>
      <c r="F6" s="1187"/>
      <c r="G6" s="1187"/>
      <c r="H6" s="1187"/>
      <c r="I6" s="1187"/>
      <c r="J6" s="1187"/>
      <c r="K6" s="1188"/>
      <c r="L6" s="1047" t="str" cm="1">
        <f t="array" ref="L6">IF(OR($K$9:$K$150="Inactive"),"Inactive Element","")</f>
        <v/>
      </c>
      <c r="M6" s="1385"/>
      <c r="N6" s="1218" t="s">
        <v>8</v>
      </c>
      <c r="O6" s="1220" t="s">
        <v>9</v>
      </c>
      <c r="P6" s="1273" t="s">
        <v>10</v>
      </c>
      <c r="Q6" s="1224" t="s">
        <v>11</v>
      </c>
      <c r="R6" s="1225"/>
      <c r="S6" s="1214" t="s">
        <v>10</v>
      </c>
      <c r="T6" s="1248" t="str">
        <f>N6</f>
        <v>X</v>
      </c>
      <c r="U6" s="1250" t="str">
        <f>O6</f>
        <v>Y</v>
      </c>
      <c r="V6" s="1209" t="str">
        <f>P6</f>
        <v>Z</v>
      </c>
      <c r="W6" s="1168" t="str">
        <f>Q6</f>
        <v>Projected XY</v>
      </c>
      <c r="X6" s="1169"/>
      <c r="Y6" s="1246" t="str">
        <f>S6</f>
        <v>Z</v>
      </c>
      <c r="Z6" s="1230" t="s">
        <v>12</v>
      </c>
      <c r="AA6" s="1193"/>
      <c r="AB6" s="1193"/>
      <c r="AC6" s="1231"/>
      <c r="AD6" s="1198" t="s">
        <v>13</v>
      </c>
      <c r="AE6" s="1199"/>
      <c r="AF6" s="1199"/>
      <c r="AG6" s="1229" t="s">
        <v>7</v>
      </c>
      <c r="AH6" s="1199"/>
      <c r="AI6" s="1198" t="s">
        <v>14</v>
      </c>
      <c r="AJ6" s="1217"/>
      <c r="AK6" s="1211" t="str">
        <f>AD6</f>
        <v>Unit Vector</v>
      </c>
      <c r="AL6" s="1166"/>
      <c r="AM6" s="1167"/>
      <c r="AN6" s="34" t="s">
        <v>15</v>
      </c>
      <c r="AO6" s="35" t="s">
        <v>16</v>
      </c>
      <c r="AP6" s="680" t="s">
        <v>17</v>
      </c>
      <c r="AQ6" s="1382" t="s">
        <v>108</v>
      </c>
      <c r="AS6" s="168">
        <f>(AS5/360)</f>
        <v>0</v>
      </c>
      <c r="AT6" s="414" t="s">
        <v>48</v>
      </c>
      <c r="AV6" s="1401"/>
      <c r="AW6" s="1228" t="str">
        <f>W5</f>
        <v>Relative to 's θ &amp; Z; Z Axis</v>
      </c>
      <c r="AX6" s="1173"/>
      <c r="AY6" s="1173"/>
      <c r="AZ6" s="1397"/>
      <c r="BA6" s="1173" t="str">
        <f>AK5</f>
        <v>Vector Along X Axis</v>
      </c>
      <c r="BB6" s="1173"/>
      <c r="BC6" s="1174"/>
      <c r="BD6" s="417"/>
      <c r="BF6" s="410">
        <f>SUM(AZ9:AZ150)</f>
        <v>0</v>
      </c>
      <c r="BG6" s="1379" t="s">
        <v>309</v>
      </c>
      <c r="BH6" s="1379"/>
      <c r="BI6" s="1379"/>
      <c r="BJ6" s="1379"/>
      <c r="BK6" s="1379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04" t="s">
        <v>40</v>
      </c>
      <c r="C7" s="1205"/>
      <c r="D7" s="1206"/>
      <c r="E7" s="1207" t="s">
        <v>41</v>
      </c>
      <c r="F7" s="1205"/>
      <c r="G7" s="1208"/>
      <c r="H7" s="981" t="s">
        <v>305</v>
      </c>
      <c r="I7" s="982"/>
      <c r="J7" s="983"/>
      <c r="K7" s="488"/>
      <c r="L7" s="1047"/>
      <c r="M7" s="1386"/>
      <c r="N7" s="1219"/>
      <c r="O7" s="1221"/>
      <c r="P7" s="1274"/>
      <c r="Q7" s="36" t="s">
        <v>18</v>
      </c>
      <c r="R7" s="2" t="s">
        <v>19</v>
      </c>
      <c r="S7" s="1215"/>
      <c r="T7" s="1249"/>
      <c r="U7" s="1251"/>
      <c r="V7" s="1210"/>
      <c r="W7" s="37" t="str">
        <f>Q7</f>
        <v>&lt; θ°</v>
      </c>
      <c r="X7" s="27" t="str">
        <f>R7</f>
        <v>r</v>
      </c>
      <c r="Y7" s="124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83"/>
      <c r="AS7" s="1422" t="s">
        <v>54</v>
      </c>
      <c r="AT7" s="1425" t="s">
        <v>53</v>
      </c>
      <c r="AV7" s="1401"/>
      <c r="AW7" s="1396" t="str">
        <f>$W$6</f>
        <v>Projected XY</v>
      </c>
      <c r="AX7" s="1169"/>
      <c r="AY7" s="1398" t="str">
        <f>$Y$6</f>
        <v>Z</v>
      </c>
      <c r="AZ7" s="1397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79"/>
      <c r="BH7" s="1379"/>
      <c r="BI7" s="1379"/>
      <c r="BJ7" s="1379"/>
      <c r="BK7" s="1379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67" t="s">
        <v>33</v>
      </c>
      <c r="IH7" s="1065" t="s">
        <v>376</v>
      </c>
      <c r="II7" s="1048" t="s">
        <v>324</v>
      </c>
      <c r="IJ7" s="1049"/>
      <c r="IK7" s="1049"/>
      <c r="IL7" s="982"/>
      <c r="IM7" s="982"/>
      <c r="IN7" s="982"/>
      <c r="IO7" s="983"/>
      <c r="IP7" s="981" t="s">
        <v>320</v>
      </c>
      <c r="IQ7" s="982"/>
      <c r="IR7" s="982"/>
      <c r="IS7" s="982"/>
      <c r="IT7" s="982"/>
      <c r="IU7" s="981" t="s">
        <v>319</v>
      </c>
      <c r="IV7" s="982"/>
      <c r="IW7" s="982"/>
      <c r="IX7" s="982"/>
      <c r="IY7" s="983"/>
      <c r="JA7" s="725"/>
      <c r="JB7" s="1430" t="s">
        <v>355</v>
      </c>
      <c r="JC7" s="1276"/>
      <c r="JD7" s="1276"/>
      <c r="JE7" s="1277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47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23"/>
      <c r="AT8" s="1426"/>
      <c r="AV8" s="1402"/>
      <c r="AW8" s="46" t="str">
        <f>$W$7</f>
        <v>&lt; θ°</v>
      </c>
      <c r="AX8" s="27" t="str">
        <f>$X$7</f>
        <v>r</v>
      </c>
      <c r="AY8" s="1399"/>
      <c r="AZ8" s="1051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068"/>
      <c r="IH8" s="1066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278" t="s">
        <v>356</v>
      </c>
      <c r="JC19" s="1279"/>
      <c r="JD19" s="1279"/>
      <c r="JE19" s="1279"/>
      <c r="JF19" s="1279"/>
      <c r="JG19" s="1279"/>
      <c r="JH19" s="1279"/>
      <c r="JI19" s="1280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281" t="s">
        <v>360</v>
      </c>
      <c r="JC20" s="1282"/>
      <c r="JD20" s="1282"/>
      <c r="JE20" s="1282"/>
      <c r="JF20" s="1042" t="s">
        <v>361</v>
      </c>
      <c r="JG20" s="1043"/>
      <c r="JH20" s="1043"/>
      <c r="JI20" s="1044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126"/>
      <c r="JC21" s="1127"/>
      <c r="JD21" s="1127"/>
      <c r="JE21" s="1127"/>
      <c r="JF21" s="1045" t="s">
        <v>349</v>
      </c>
      <c r="JG21" s="1046"/>
      <c r="JH21" s="1283" t="s">
        <v>362</v>
      </c>
      <c r="JI21" s="1284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94" t="str">
        <f>$W$6</f>
        <v>Projected XY</v>
      </c>
      <c r="AX152" s="1395"/>
      <c r="AY152" s="1412" t="str">
        <f>$Y$6</f>
        <v>Z</v>
      </c>
      <c r="AZ152" s="1410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13"/>
      <c r="AZ153" s="1411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89" t="s">
        <v>42</v>
      </c>
      <c r="C157" s="1190"/>
      <c r="D157" s="1190"/>
      <c r="E157" s="1190"/>
      <c r="F157" s="1190"/>
      <c r="G157" s="1190"/>
      <c r="H157" s="1190"/>
      <c r="I157" s="1190"/>
      <c r="J157" s="1190"/>
      <c r="K157" s="1191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92"/>
      <c r="C158" s="1193"/>
      <c r="D158" s="1193"/>
      <c r="E158" s="1193"/>
      <c r="F158" s="1193"/>
      <c r="G158" s="1193"/>
      <c r="H158" s="1193"/>
      <c r="I158" s="1193"/>
      <c r="J158" s="1193"/>
      <c r="K158" s="1194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95"/>
      <c r="C159" s="1196"/>
      <c r="D159" s="1196"/>
      <c r="E159" s="1196"/>
      <c r="F159" s="1196"/>
      <c r="G159" s="1196"/>
      <c r="H159" s="1196"/>
      <c r="I159" s="1196"/>
      <c r="J159" s="1196"/>
      <c r="K159" s="1197"/>
      <c r="AQ159" s="162"/>
      <c r="BD159" s="417"/>
    </row>
    <row r="160" spans="1:259" ht="15" customHeight="1" x14ac:dyDescent="0.25">
      <c r="B160" s="1183" t="str">
        <f>CONCATENATE(B162," ; ",E162," ; ",H163)</f>
        <v>Absolute-Point ; Incremental-Vector Point ; Radius</v>
      </c>
      <c r="C160" s="1184"/>
      <c r="D160" s="1184"/>
      <c r="E160" s="1184"/>
      <c r="F160" s="1184"/>
      <c r="G160" s="1184"/>
      <c r="H160" s="1184"/>
      <c r="I160" s="1184"/>
      <c r="J160" s="1184"/>
      <c r="K160" s="1185"/>
      <c r="AQ160" s="162"/>
      <c r="BD160" s="417"/>
    </row>
    <row r="161" spans="2:56" ht="15" customHeight="1" x14ac:dyDescent="0.25">
      <c r="B161" s="1186"/>
      <c r="C161" s="1187"/>
      <c r="D161" s="1187"/>
      <c r="E161" s="1187"/>
      <c r="F161" s="1187"/>
      <c r="G161" s="1187"/>
      <c r="H161" s="1187"/>
      <c r="I161" s="1187"/>
      <c r="J161" s="1187"/>
      <c r="K161" s="1188"/>
      <c r="AQ161" s="162"/>
      <c r="BD161" s="417"/>
    </row>
    <row r="162" spans="2:56" ht="15" customHeight="1" x14ac:dyDescent="0.25">
      <c r="B162" s="1204" t="s">
        <v>40</v>
      </c>
      <c r="C162" s="1205"/>
      <c r="D162" s="1206"/>
      <c r="E162" s="1207" t="s">
        <v>41</v>
      </c>
      <c r="F162" s="1205"/>
      <c r="G162" s="1208"/>
      <c r="H162" s="981" t="s">
        <v>305</v>
      </c>
      <c r="I162" s="982"/>
      <c r="J162" s="983"/>
      <c r="K162" s="488"/>
      <c r="M162" s="1005" t="s">
        <v>304</v>
      </c>
      <c r="N162" s="1391"/>
      <c r="O162" s="1403" t="s">
        <v>283</v>
      </c>
      <c r="P162" s="1404"/>
      <c r="Q162" s="1405"/>
      <c r="R162" s="1406" t="s">
        <v>41</v>
      </c>
      <c r="S162" s="1404"/>
      <c r="T162" s="1405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92"/>
      <c r="N163" s="1393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1.147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1.2170000000000001</v>
      </c>
      <c r="N174" s="810" t="str">
        <f>Assy.Model!K19</f>
        <v>CPS-32193r1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1.2230000000000001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1.2290000000000001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1.2350000000000001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1.2410000000000001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1.2470000000000001</v>
      </c>
      <c r="N179" s="810" t="str">
        <f>Assy.Model!K24</f>
        <v>CPS-32193r1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1.2529999999999999</v>
      </c>
      <c r="N180" s="810">
        <f>Assy.Model!K25</f>
        <v>1313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2.11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2.1160000000000001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2.1219999999999999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2.1280000000000001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2.1339999999999999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2.14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2.1459999999999999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2.2160000000000002</v>
      </c>
      <c r="N188" s="810" t="str">
        <f>Assy.Model!K33</f>
        <v>CPS-32193r1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2.222</v>
      </c>
      <c r="N189" s="810" t="str">
        <f>Assy.Model!K34</f>
        <v>CPS-32193r1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2.2280000000000002</v>
      </c>
      <c r="N190" s="810" t="str">
        <f>Assy.Model!K35</f>
        <v>CPS-32193r1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2.234</v>
      </c>
      <c r="N191" s="810" t="str">
        <f>Assy.Model!K36</f>
        <v>CPS-32193r1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2.2400000000000002</v>
      </c>
      <c r="N192" s="810" t="str">
        <f>Assy.Model!K37</f>
        <v>CPS-32193r1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2.246</v>
      </c>
      <c r="N193" s="810" t="str">
        <f>Assy.Model!K38</f>
        <v>CPS-32193r1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2.2519999999999998</v>
      </c>
      <c r="N194" s="810">
        <f>Assy.Model!K39</f>
        <v>1313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3.1030000000000002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3.1059999999999999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3.109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3.1150000000000002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3.121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3.1269999999999998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3.133</v>
      </c>
      <c r="N201" s="810">
        <f>Assy.Model!K46</f>
        <v>1613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3.1389999999999998</v>
      </c>
      <c r="N202" s="810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3.145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3.2149999999999999</v>
      </c>
      <c r="N204" s="810" t="str">
        <f>Assy.Model!K49</f>
        <v>CPS-32193r1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3.2210000000000001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3.2269999999999999</v>
      </c>
      <c r="N206" s="810">
        <f>Assy.Model!K51</f>
        <v>1313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3.2330000000000001</v>
      </c>
      <c r="N207" s="810">
        <f>Assy.Model!K52</f>
        <v>1313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3.2389999999999999</v>
      </c>
      <c r="N208" s="810" t="str">
        <f>Assy.Model!K53</f>
        <v>CPS-32193r1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3.2450000000000001</v>
      </c>
      <c r="N209" s="810" t="str">
        <f>Assy.Model!K54</f>
        <v>CPS-32193r1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3.2509999999999999</v>
      </c>
      <c r="N210" s="810">
        <f>Assy.Model!K55</f>
        <v>1313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4.1139999999999999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4.12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4.1260000000000003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4.1319999999999997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4.1379999999999999</v>
      </c>
      <c r="N215" s="810">
        <f>Assy.Model!K60</f>
        <v>1613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4.1440000000000001</v>
      </c>
      <c r="N216" s="810">
        <f>Assy.Model!K61</f>
        <v>1613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4.22</v>
      </c>
      <c r="N217" s="810" t="str">
        <f>Assy.Model!K62</f>
        <v>CPS-32193r1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4.226</v>
      </c>
      <c r="N218" s="810" t="str">
        <f>Assy.Model!K63</f>
        <v>CPS-32193r1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4.2320000000000002</v>
      </c>
      <c r="N219" s="810" t="str">
        <f>Assy.Model!K64</f>
        <v>CPS-32193r1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4.2380000000000004</v>
      </c>
      <c r="N220" s="810" t="str">
        <f>Assy.Model!K65</f>
        <v>CPS-32193r1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4.2439999999999998</v>
      </c>
      <c r="N221" s="810" t="str">
        <f>Assy.Model!K66</f>
        <v>CPS-32193r1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4.25</v>
      </c>
      <c r="N222" s="810">
        <f>Assy.Model!K67</f>
        <v>1313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5.1020000000000003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5.1050000000000004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5.1079999999999997</v>
      </c>
      <c r="N225" s="810">
        <f>Assy.Model!K70</f>
        <v>1613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5.1130000000000004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5.1189999999999998</v>
      </c>
      <c r="N227" s="810">
        <f>Assy.Model!K72</f>
        <v>1613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5.125</v>
      </c>
      <c r="N228" s="810">
        <f>Assy.Model!K73</f>
        <v>1613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5.1310000000000002</v>
      </c>
      <c r="N229" s="810">
        <f>Assy.Model!K74</f>
        <v>1613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5.1369999999999996</v>
      </c>
      <c r="N230" s="810">
        <f>Assy.Model!K75</f>
        <v>1613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5.1429999999999998</v>
      </c>
      <c r="N231" s="810">
        <f>Assy.Model!K76</f>
        <v>1613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5.149</v>
      </c>
      <c r="N232" s="810">
        <f>Assy.Model!K77</f>
        <v>1613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5.2190000000000003</v>
      </c>
      <c r="N233" s="810" t="str">
        <f>Assy.Model!K78</f>
        <v>CPS-32193r1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5.2249999999999996</v>
      </c>
      <c r="N234" s="810">
        <f>Assy.Model!K79</f>
        <v>1313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5.2309999999999999</v>
      </c>
      <c r="N235" s="810">
        <f>Assy.Model!K80</f>
        <v>1313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5.2370000000000001</v>
      </c>
      <c r="N236" s="810">
        <f>Assy.Model!K81</f>
        <v>1313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5.2430000000000003</v>
      </c>
      <c r="N237" s="810" t="str">
        <f>Assy.Model!K82</f>
        <v>CPS-32193r1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5.2489999999999997</v>
      </c>
      <c r="N238" s="810" t="str">
        <f>Assy.Model!K83</f>
        <v>CPS-32193r1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5.2549999999999999</v>
      </c>
      <c r="N239" s="810">
        <f>Assy.Model!K84</f>
        <v>1313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6.1120000000000001</v>
      </c>
      <c r="N240" s="810">
        <f>Assy.Model!K85</f>
        <v>1613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6.1180000000000003</v>
      </c>
      <c r="N241" s="810">
        <f>Assy.Model!K86</f>
        <v>1613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6.1239999999999997</v>
      </c>
      <c r="N242" s="810">
        <f>Assy.Model!K87</f>
        <v>1613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6.13</v>
      </c>
      <c r="N243" s="810">
        <f>Assy.Model!K88</f>
        <v>1613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6.1360000000000001</v>
      </c>
      <c r="N244" s="810">
        <f>Assy.Model!K89</f>
        <v>1613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6.1420000000000003</v>
      </c>
      <c r="N245" s="810">
        <f>Assy.Model!K90</f>
        <v>1613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6.1479999999999997</v>
      </c>
      <c r="N246" s="810">
        <f>Assy.Model!K91</f>
        <v>1613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6.218</v>
      </c>
      <c r="N247" s="810" t="str">
        <f>Assy.Model!K92</f>
        <v>CPS-32193r1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6.2240000000000002</v>
      </c>
      <c r="N248" s="810" t="str">
        <f>Assy.Model!K93</f>
        <v>CPS-32193r1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6.23</v>
      </c>
      <c r="N249" s="810" t="str">
        <f>Assy.Model!K94</f>
        <v>CPS-32193r1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6.2359999999999998</v>
      </c>
      <c r="N250" s="810" t="str">
        <f>Assy.Model!K95</f>
        <v>CPS-32193r1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6.242</v>
      </c>
      <c r="N251" s="810" t="str">
        <f>Assy.Model!K96</f>
        <v>CPS-32193r1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6.2480000000000002</v>
      </c>
      <c r="N252" s="810" t="str">
        <f>Assy.Model!K97</f>
        <v>CPS-32193r1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6.2539999999999996</v>
      </c>
      <c r="N253" s="810">
        <f>Assy.Model!K98</f>
        <v>1313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A3" sqref="A3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33" t="s">
        <v>33</v>
      </c>
      <c r="C7" s="1431" t="s">
        <v>105</v>
      </c>
      <c r="D7" s="1432"/>
      <c r="E7" s="1435" t="s">
        <v>110</v>
      </c>
    </row>
    <row r="8" spans="1:5" ht="15.75" thickBot="1" x14ac:dyDescent="0.3">
      <c r="A8" s="31" t="s">
        <v>419</v>
      </c>
      <c r="B8" s="1434"/>
      <c r="C8" s="955" t="s">
        <v>8</v>
      </c>
      <c r="D8" s="956" t="s">
        <v>9</v>
      </c>
      <c r="E8" s="1436"/>
    </row>
    <row r="9" spans="1:5" ht="15.75" thickTop="1" x14ac:dyDescent="0.25">
      <c r="A9" s="31">
        <f t="shared" ref="A9:A53" si="0">MOD(B9*10,1)*100</f>
        <v>0</v>
      </c>
      <c r="B9" s="952"/>
      <c r="C9" s="957"/>
      <c r="D9" s="958"/>
      <c r="E9" s="959"/>
    </row>
    <row r="10" spans="1:5" x14ac:dyDescent="0.25">
      <c r="A10" s="31">
        <f t="shared" si="0"/>
        <v>0</v>
      </c>
      <c r="B10" s="953"/>
      <c r="C10" s="960"/>
      <c r="D10" s="961"/>
      <c r="E10" s="962"/>
    </row>
    <row r="11" spans="1:5" x14ac:dyDescent="0.25">
      <c r="A11" s="31">
        <f t="shared" si="0"/>
        <v>0</v>
      </c>
      <c r="B11" s="953"/>
      <c r="C11" s="960"/>
      <c r="D11" s="961"/>
      <c r="E11" s="962"/>
    </row>
    <row r="12" spans="1:5" x14ac:dyDescent="0.25">
      <c r="A12" s="31">
        <f t="shared" si="0"/>
        <v>0</v>
      </c>
      <c r="B12" s="953"/>
      <c r="C12" s="960"/>
      <c r="D12" s="961"/>
      <c r="E12" s="962"/>
    </row>
    <row r="13" spans="1:5" x14ac:dyDescent="0.25">
      <c r="A13" s="31">
        <f t="shared" si="0"/>
        <v>0</v>
      </c>
      <c r="B13" s="952"/>
      <c r="C13" s="957"/>
      <c r="D13" s="958"/>
      <c r="E13" s="959"/>
    </row>
    <row r="14" spans="1:5" x14ac:dyDescent="0.25">
      <c r="A14" s="31">
        <f t="shared" si="0"/>
        <v>0</v>
      </c>
      <c r="B14" s="953"/>
      <c r="C14" s="960"/>
      <c r="D14" s="961"/>
      <c r="E14" s="962"/>
    </row>
    <row r="15" spans="1:5" x14ac:dyDescent="0.25">
      <c r="A15" s="31">
        <f t="shared" si="0"/>
        <v>0</v>
      </c>
      <c r="B15" s="953"/>
      <c r="C15" s="960"/>
      <c r="D15" s="961"/>
      <c r="E15" s="962"/>
    </row>
    <row r="16" spans="1:5" x14ac:dyDescent="0.25">
      <c r="A16" s="31">
        <f t="shared" si="0"/>
        <v>0</v>
      </c>
      <c r="B16" s="953"/>
      <c r="C16" s="960"/>
      <c r="D16" s="961"/>
      <c r="E16" s="962"/>
    </row>
    <row r="17" spans="1:5" x14ac:dyDescent="0.25">
      <c r="A17" s="31">
        <f t="shared" si="0"/>
        <v>0</v>
      </c>
      <c r="B17" s="953"/>
      <c r="C17" s="960"/>
      <c r="D17" s="961"/>
      <c r="E17" s="962"/>
    </row>
    <row r="18" spans="1:5" x14ac:dyDescent="0.25">
      <c r="A18" s="31">
        <f t="shared" si="0"/>
        <v>0</v>
      </c>
      <c r="B18" s="953"/>
      <c r="C18" s="960"/>
      <c r="D18" s="961"/>
      <c r="E18" s="962"/>
    </row>
    <row r="19" spans="1:5" x14ac:dyDescent="0.25">
      <c r="A19" s="31">
        <f t="shared" si="0"/>
        <v>0</v>
      </c>
      <c r="B19" s="953"/>
      <c r="C19" s="960"/>
      <c r="D19" s="961"/>
      <c r="E19" s="962"/>
    </row>
    <row r="20" spans="1:5" x14ac:dyDescent="0.25">
      <c r="A20" s="31">
        <f t="shared" si="0"/>
        <v>0</v>
      </c>
      <c r="B20" s="953"/>
      <c r="C20" s="960"/>
      <c r="D20" s="961"/>
      <c r="E20" s="962"/>
    </row>
    <row r="21" spans="1:5" x14ac:dyDescent="0.25">
      <c r="A21" s="31">
        <f t="shared" si="0"/>
        <v>0</v>
      </c>
      <c r="B21" s="953"/>
      <c r="C21" s="960"/>
      <c r="D21" s="961"/>
      <c r="E21" s="962"/>
    </row>
    <row r="22" spans="1:5" x14ac:dyDescent="0.25">
      <c r="A22" s="31">
        <f t="shared" si="0"/>
        <v>0</v>
      </c>
      <c r="B22" s="953"/>
      <c r="C22" s="960"/>
      <c r="D22" s="961"/>
      <c r="E22" s="962"/>
    </row>
    <row r="23" spans="1:5" x14ac:dyDescent="0.25">
      <c r="A23" s="31">
        <f t="shared" si="0"/>
        <v>0</v>
      </c>
      <c r="B23" s="953"/>
      <c r="C23" s="960"/>
      <c r="D23" s="961"/>
      <c r="E23" s="962"/>
    </row>
    <row r="24" spans="1:5" x14ac:dyDescent="0.25">
      <c r="A24" s="31">
        <f t="shared" si="0"/>
        <v>0</v>
      </c>
      <c r="B24" s="953"/>
      <c r="C24" s="960"/>
      <c r="D24" s="961"/>
      <c r="E24" s="962"/>
    </row>
    <row r="25" spans="1:5" x14ac:dyDescent="0.25">
      <c r="A25" s="31">
        <f t="shared" si="0"/>
        <v>0</v>
      </c>
      <c r="B25" s="953"/>
      <c r="C25" s="960"/>
      <c r="D25" s="961"/>
      <c r="E25" s="962"/>
    </row>
    <row r="26" spans="1:5" x14ac:dyDescent="0.25">
      <c r="A26" s="31">
        <f t="shared" si="0"/>
        <v>0</v>
      </c>
      <c r="B26" s="953"/>
      <c r="C26" s="960"/>
      <c r="D26" s="961"/>
      <c r="E26" s="962"/>
    </row>
    <row r="27" spans="1:5" x14ac:dyDescent="0.25">
      <c r="A27" s="31">
        <f t="shared" si="0"/>
        <v>0</v>
      </c>
      <c r="B27" s="953"/>
      <c r="C27" s="960"/>
      <c r="D27" s="961"/>
      <c r="E27" s="962"/>
    </row>
    <row r="28" spans="1:5" x14ac:dyDescent="0.25">
      <c r="A28" s="31">
        <f t="shared" si="0"/>
        <v>0</v>
      </c>
      <c r="B28" s="953"/>
      <c r="C28" s="960"/>
      <c r="D28" s="961"/>
      <c r="E28" s="962"/>
    </row>
    <row r="29" spans="1:5" x14ac:dyDescent="0.25">
      <c r="A29" s="31">
        <f t="shared" si="0"/>
        <v>0</v>
      </c>
      <c r="B29" s="953"/>
      <c r="C29" s="960"/>
      <c r="D29" s="961"/>
      <c r="E29" s="962"/>
    </row>
    <row r="30" spans="1:5" x14ac:dyDescent="0.25">
      <c r="A30" s="31">
        <f t="shared" si="0"/>
        <v>0</v>
      </c>
      <c r="B30" s="953"/>
      <c r="C30" s="960"/>
      <c r="D30" s="961"/>
      <c r="E30" s="962"/>
    </row>
    <row r="31" spans="1:5" x14ac:dyDescent="0.25">
      <c r="A31" s="31">
        <f t="shared" si="0"/>
        <v>0</v>
      </c>
      <c r="B31" s="953"/>
      <c r="C31" s="960"/>
      <c r="D31" s="961"/>
      <c r="E31" s="962"/>
    </row>
    <row r="32" spans="1:5" x14ac:dyDescent="0.25">
      <c r="A32" s="31">
        <f t="shared" si="0"/>
        <v>0</v>
      </c>
      <c r="B32" s="953"/>
      <c r="C32" s="960"/>
      <c r="D32" s="961"/>
      <c r="E32" s="962"/>
    </row>
    <row r="33" spans="1:5" x14ac:dyDescent="0.25">
      <c r="A33" s="31">
        <f t="shared" si="0"/>
        <v>0</v>
      </c>
      <c r="B33" s="953"/>
      <c r="C33" s="960"/>
      <c r="D33" s="961"/>
      <c r="E33" s="962"/>
    </row>
    <row r="34" spans="1:5" x14ac:dyDescent="0.25">
      <c r="A34" s="31">
        <f t="shared" si="0"/>
        <v>0</v>
      </c>
      <c r="B34" s="953"/>
      <c r="C34" s="960"/>
      <c r="D34" s="961"/>
      <c r="E34" s="962"/>
    </row>
    <row r="35" spans="1:5" x14ac:dyDescent="0.25">
      <c r="A35" s="31">
        <f t="shared" si="0"/>
        <v>0</v>
      </c>
      <c r="B35" s="953"/>
      <c r="C35" s="960"/>
      <c r="D35" s="961"/>
      <c r="E35" s="962"/>
    </row>
    <row r="36" spans="1:5" x14ac:dyDescent="0.25">
      <c r="A36" s="31">
        <f t="shared" si="0"/>
        <v>0</v>
      </c>
      <c r="B36" s="953"/>
      <c r="C36" s="960"/>
      <c r="D36" s="961"/>
      <c r="E36" s="962"/>
    </row>
    <row r="37" spans="1:5" x14ac:dyDescent="0.25">
      <c r="A37" s="31">
        <f t="shared" si="0"/>
        <v>0</v>
      </c>
      <c r="B37" s="953"/>
      <c r="C37" s="960"/>
      <c r="D37" s="961"/>
      <c r="E37" s="962"/>
    </row>
    <row r="38" spans="1:5" x14ac:dyDescent="0.25">
      <c r="A38" s="31">
        <f t="shared" si="0"/>
        <v>0</v>
      </c>
      <c r="B38" s="953"/>
      <c r="C38" s="960"/>
      <c r="D38" s="961"/>
      <c r="E38" s="962"/>
    </row>
    <row r="39" spans="1:5" x14ac:dyDescent="0.25">
      <c r="A39" s="31">
        <f t="shared" si="0"/>
        <v>0</v>
      </c>
      <c r="B39" s="953"/>
      <c r="C39" s="960"/>
      <c r="D39" s="961"/>
      <c r="E39" s="962"/>
    </row>
    <row r="40" spans="1:5" x14ac:dyDescent="0.25">
      <c r="A40" s="31">
        <f t="shared" si="0"/>
        <v>0</v>
      </c>
      <c r="B40" s="953"/>
      <c r="C40" s="960"/>
      <c r="D40" s="961"/>
      <c r="E40" s="962"/>
    </row>
    <row r="41" spans="1:5" x14ac:dyDescent="0.25">
      <c r="A41" s="31">
        <f t="shared" si="0"/>
        <v>0</v>
      </c>
      <c r="B41" s="953"/>
      <c r="C41" s="960"/>
      <c r="D41" s="961"/>
      <c r="E41" s="962"/>
    </row>
    <row r="42" spans="1:5" x14ac:dyDescent="0.25">
      <c r="A42" s="31">
        <f t="shared" si="0"/>
        <v>0</v>
      </c>
      <c r="B42" s="953"/>
      <c r="C42" s="960"/>
      <c r="D42" s="961"/>
      <c r="E42" s="962"/>
    </row>
    <row r="43" spans="1:5" x14ac:dyDescent="0.25">
      <c r="A43" s="31">
        <f t="shared" si="0"/>
        <v>0</v>
      </c>
      <c r="B43" s="953"/>
      <c r="C43" s="960"/>
      <c r="D43" s="961"/>
      <c r="E43" s="962"/>
    </row>
    <row r="44" spans="1:5" x14ac:dyDescent="0.25">
      <c r="A44" s="31">
        <f t="shared" si="0"/>
        <v>0</v>
      </c>
      <c r="B44" s="953"/>
      <c r="C44" s="960"/>
      <c r="D44" s="961"/>
      <c r="E44" s="962"/>
    </row>
    <row r="45" spans="1:5" x14ac:dyDescent="0.25">
      <c r="A45" s="31">
        <f t="shared" si="0"/>
        <v>0</v>
      </c>
      <c r="B45" s="953"/>
      <c r="C45" s="960"/>
      <c r="D45" s="961"/>
      <c r="E45" s="962"/>
    </row>
    <row r="46" spans="1:5" x14ac:dyDescent="0.25">
      <c r="A46" s="31">
        <f t="shared" si="0"/>
        <v>0</v>
      </c>
      <c r="B46" s="953"/>
      <c r="C46" s="960"/>
      <c r="D46" s="961"/>
      <c r="E46" s="962"/>
    </row>
    <row r="47" spans="1:5" x14ac:dyDescent="0.25">
      <c r="A47" s="31">
        <f t="shared" si="0"/>
        <v>0</v>
      </c>
      <c r="B47" s="953"/>
      <c r="C47" s="960"/>
      <c r="D47" s="961"/>
      <c r="E47" s="962"/>
    </row>
    <row r="48" spans="1:5" x14ac:dyDescent="0.25">
      <c r="A48" s="31">
        <f t="shared" si="0"/>
        <v>0</v>
      </c>
      <c r="B48" s="953"/>
      <c r="C48" s="960"/>
      <c r="D48" s="961"/>
      <c r="E48" s="962"/>
    </row>
    <row r="49" spans="1:5" x14ac:dyDescent="0.25">
      <c r="A49" s="31">
        <f t="shared" si="0"/>
        <v>0</v>
      </c>
      <c r="B49" s="953"/>
      <c r="C49" s="960"/>
      <c r="D49" s="961"/>
      <c r="E49" s="962"/>
    </row>
    <row r="50" spans="1:5" x14ac:dyDescent="0.25">
      <c r="A50" s="31">
        <f t="shared" si="0"/>
        <v>0</v>
      </c>
      <c r="B50" s="953"/>
      <c r="C50" s="960"/>
      <c r="D50" s="961"/>
      <c r="E50" s="962"/>
    </row>
    <row r="51" spans="1:5" x14ac:dyDescent="0.25">
      <c r="A51" s="31">
        <f t="shared" si="0"/>
        <v>0</v>
      </c>
      <c r="B51" s="953"/>
      <c r="C51" s="960"/>
      <c r="D51" s="961"/>
      <c r="E51" s="962"/>
    </row>
    <row r="52" spans="1:5" x14ac:dyDescent="0.25">
      <c r="A52" s="31">
        <f t="shared" si="0"/>
        <v>0</v>
      </c>
      <c r="B52" s="953"/>
      <c r="C52" s="960"/>
      <c r="D52" s="961"/>
      <c r="E52" s="962"/>
    </row>
    <row r="53" spans="1:5" x14ac:dyDescent="0.25">
      <c r="A53" s="31">
        <f t="shared" si="0"/>
        <v>0</v>
      </c>
      <c r="B53" s="953"/>
      <c r="C53" s="960"/>
      <c r="D53" s="961"/>
      <c r="E53" s="962"/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2026-03-19T20:30:15Z</dcterms:modified>
</cp:coreProperties>
</file>