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7"/>
  <workbookPr codeName="ThisWorkbook"/>
  <mc:AlternateContent xmlns:mc="http://schemas.openxmlformats.org/markup-compatibility/2006">
    <mc:Choice Requires="x15">
      <x15ac:absPath xmlns:x15ac="http://schemas.microsoft.com/office/spreadsheetml/2010/11/ac" url="G:\信工学院\专业+学科\软件工程专业\评价-课程目标评价\课程目标达成评价-20201006-20-0\课程目标达成评价-2019-2020-1\"/>
    </mc:Choice>
  </mc:AlternateContent>
  <xr:revisionPtr revIDLastSave="0" documentId="13_ncr:1_{37F0ECFE-2893-4858-83A8-A045B985DA13}" xr6:coauthVersionLast="36" xr6:coauthVersionMax="36" xr10:uidLastSave="{00000000-0000-0000-0000-000000000000}"/>
  <bookViews>
    <workbookView xWindow="0" yWindow="0" windowWidth="28130" windowHeight="14340" tabRatio="880" activeTab="9" xr2:uid="{00000000-000D-0000-FFFF-FFFF00000000}"/>
  </bookViews>
  <sheets>
    <sheet name="课程基本信息" sheetId="1" r:id="rId1"/>
    <sheet name="考试基本信息" sheetId="2" r:id="rId2"/>
    <sheet name="成绩" sheetId="4" r:id="rId3"/>
    <sheet name="成绩分布" sheetId="5" r:id="rId4"/>
    <sheet name="课程目标得分" sheetId="10" r:id="rId5"/>
    <sheet name="个体课程目标达成度" sheetId="6" r:id="rId6"/>
    <sheet name="总体课程目标达成度" sheetId="8" r:id="rId7"/>
    <sheet name="课程目标达成度分布" sheetId="11" r:id="rId8"/>
    <sheet name="课程目标达成分析" sheetId="13" r:id="rId9"/>
    <sheet name="毕业要求达成度" sheetId="3" r:id="rId10"/>
    <sheet name="表说明" sheetId="12" r:id="rId11"/>
  </sheets>
  <externalReferences>
    <externalReference r:id="rId12"/>
  </externalReferences>
  <definedNames>
    <definedName name="CO_FESP" comment="所有课程目标中，期末考试各大题的占比，一行一个课程目标。" localSheetId="8">[1]考试基本信息!$B$11:$I$17</definedName>
    <definedName name="CO_FESP" comment="所有课程目标中，期末考试各大题的占比，一行一个课程目标。">考试基本信息!$B$11:$I$17</definedName>
    <definedName name="CO_OSP" comment="所有课程目标中,其它考核形式成绩占比。一行一个课程目标。" localSheetId="8">[1]考试基本信息!$K$11:$M$17</definedName>
    <definedName name="CO_OSP" comment="所有课程目标中,其它考核形式成绩占比。一行一个课程目标。">考试基本信息!$K$11:$M$17</definedName>
    <definedName name="CO_TScore" comment="所有课程目标的总分数" localSheetId="8">[1]考试基本信息!$N$11:$N$17</definedName>
    <definedName name="CO_TScore" comment="所有课程目标的总分数">考试基本信息!$N$11:$N$17</definedName>
    <definedName name="EF_SP" comment="所有考核形式（Examination form）成绩比例（Score Proportion）" localSheetId="8">[1]考试基本信息!$B$4:$E$4</definedName>
    <definedName name="EF_SP" comment="所有考核形式（Examination form）成绩比例（Score Proportion）">考试基本信息!$B$4:$E$4</definedName>
    <definedName name="FE_TScore" comment="期末卷面各大题总分">考试基本信息!$B$20:$I$20</definedName>
    <definedName name="NumOfCO" comment="课程目标数量" localSheetId="8">[1]考试基本信息!$B$8</definedName>
    <definedName name="NumOfCO" comment="课程目标数量">考试基本信息!$B$8</definedName>
    <definedName name="NumOfStudent" localSheetId="8">[1]课程基本信息!$B$10</definedName>
    <definedName name="NumOfStudent">课程基本信息!$B$10</definedName>
  </definedNames>
  <calcPr calcId="179021"/>
</workbook>
</file>

<file path=xl/calcChain.xml><?xml version="1.0" encoding="utf-8"?>
<calcChain xmlns="http://schemas.openxmlformats.org/spreadsheetml/2006/main">
  <c r="A6" i="3" l="1"/>
  <c r="O48" i="4"/>
  <c r="O49" i="4"/>
  <c r="O50" i="4"/>
  <c r="O51" i="4"/>
  <c r="A9" i="8" l="1"/>
  <c r="A8" i="8"/>
  <c r="G8" i="8" s="1"/>
  <c r="A7" i="8"/>
  <c r="A6" i="8"/>
  <c r="A5" i="8"/>
  <c r="A4" i="8"/>
  <c r="A3" i="8"/>
  <c r="G9" i="8"/>
  <c r="A4" i="13" l="1"/>
  <c r="A5" i="13"/>
  <c r="A6" i="13"/>
  <c r="A7" i="13"/>
  <c r="A8" i="13"/>
  <c r="A9" i="13"/>
  <c r="A3" i="13"/>
  <c r="A9" i="3" l="1"/>
  <c r="A8" i="3"/>
  <c r="A7" i="3"/>
  <c r="A5" i="3"/>
  <c r="A4" i="3"/>
  <c r="A3" i="3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I2" i="6"/>
  <c r="H2" i="6"/>
  <c r="G2" i="6"/>
  <c r="F2" i="6"/>
  <c r="E2" i="6"/>
  <c r="D2" i="6"/>
  <c r="C2" i="6"/>
  <c r="I62" i="10"/>
  <c r="H62" i="10"/>
  <c r="G62" i="10"/>
  <c r="F62" i="10"/>
  <c r="E62" i="10"/>
  <c r="D62" i="10"/>
  <c r="C62" i="10"/>
  <c r="B62" i="10"/>
  <c r="A62" i="10"/>
  <c r="I61" i="10"/>
  <c r="H61" i="10"/>
  <c r="G61" i="10"/>
  <c r="F61" i="10"/>
  <c r="E61" i="10"/>
  <c r="D61" i="10"/>
  <c r="C61" i="10"/>
  <c r="B61" i="10"/>
  <c r="A61" i="10"/>
  <c r="I60" i="10"/>
  <c r="H60" i="10"/>
  <c r="G60" i="10"/>
  <c r="F60" i="10"/>
  <c r="E60" i="10"/>
  <c r="D60" i="10"/>
  <c r="C60" i="10"/>
  <c r="B60" i="10"/>
  <c r="A60" i="10"/>
  <c r="I59" i="10"/>
  <c r="H59" i="10"/>
  <c r="G59" i="10"/>
  <c r="F59" i="10"/>
  <c r="E59" i="10"/>
  <c r="D59" i="10"/>
  <c r="C59" i="10"/>
  <c r="B59" i="10"/>
  <c r="A59" i="10"/>
  <c r="I58" i="10"/>
  <c r="H58" i="10"/>
  <c r="G58" i="10"/>
  <c r="F58" i="10"/>
  <c r="E58" i="10"/>
  <c r="D58" i="10"/>
  <c r="C58" i="10"/>
  <c r="B58" i="10"/>
  <c r="A58" i="10"/>
  <c r="I57" i="10"/>
  <c r="H57" i="10"/>
  <c r="G57" i="10"/>
  <c r="F57" i="10"/>
  <c r="E57" i="10"/>
  <c r="D57" i="10"/>
  <c r="C57" i="10"/>
  <c r="B57" i="10"/>
  <c r="A57" i="10"/>
  <c r="I56" i="10"/>
  <c r="H56" i="10"/>
  <c r="G56" i="10"/>
  <c r="F56" i="10"/>
  <c r="E56" i="10"/>
  <c r="D56" i="10"/>
  <c r="C56" i="10"/>
  <c r="B56" i="10"/>
  <c r="A56" i="10"/>
  <c r="I55" i="10"/>
  <c r="H55" i="10"/>
  <c r="G55" i="10"/>
  <c r="F55" i="10"/>
  <c r="E55" i="10"/>
  <c r="D55" i="10"/>
  <c r="C55" i="10"/>
  <c r="B55" i="10"/>
  <c r="A55" i="10"/>
  <c r="I54" i="10"/>
  <c r="H54" i="10"/>
  <c r="G54" i="10"/>
  <c r="F54" i="10"/>
  <c r="E54" i="10"/>
  <c r="D54" i="10"/>
  <c r="C54" i="10"/>
  <c r="B54" i="10"/>
  <c r="A54" i="10"/>
  <c r="I53" i="10"/>
  <c r="H53" i="10"/>
  <c r="G53" i="10"/>
  <c r="F53" i="10"/>
  <c r="E53" i="10"/>
  <c r="D53" i="10"/>
  <c r="C53" i="10"/>
  <c r="B53" i="10"/>
  <c r="A53" i="10"/>
  <c r="I52" i="10"/>
  <c r="H52" i="10"/>
  <c r="G52" i="10"/>
  <c r="F52" i="10"/>
  <c r="E52" i="10"/>
  <c r="D52" i="10"/>
  <c r="C52" i="10"/>
  <c r="B52" i="10"/>
  <c r="A52" i="10"/>
  <c r="I51" i="10"/>
  <c r="H51" i="10"/>
  <c r="G51" i="10"/>
  <c r="F51" i="10"/>
  <c r="E51" i="10"/>
  <c r="D51" i="10"/>
  <c r="C51" i="10"/>
  <c r="B51" i="10"/>
  <c r="A51" i="10"/>
  <c r="I50" i="10"/>
  <c r="H50" i="10"/>
  <c r="G50" i="10"/>
  <c r="F50" i="10"/>
  <c r="E50" i="10"/>
  <c r="D50" i="10"/>
  <c r="C50" i="10"/>
  <c r="B50" i="10"/>
  <c r="A50" i="10"/>
  <c r="I49" i="10"/>
  <c r="H49" i="10"/>
  <c r="G49" i="10"/>
  <c r="F49" i="10"/>
  <c r="E49" i="10"/>
  <c r="D49" i="10"/>
  <c r="C49" i="10"/>
  <c r="B49" i="10"/>
  <c r="A49" i="10"/>
  <c r="I48" i="10"/>
  <c r="H48" i="10"/>
  <c r="G48" i="10"/>
  <c r="F48" i="10"/>
  <c r="E48" i="10"/>
  <c r="D48" i="10"/>
  <c r="C48" i="10"/>
  <c r="B48" i="10"/>
  <c r="A48" i="10"/>
  <c r="I47" i="10"/>
  <c r="H47" i="10"/>
  <c r="G47" i="10"/>
  <c r="F47" i="10"/>
  <c r="E47" i="10"/>
  <c r="D47" i="10"/>
  <c r="C47" i="10"/>
  <c r="B47" i="10"/>
  <c r="A47" i="10"/>
  <c r="I46" i="10"/>
  <c r="H46" i="10"/>
  <c r="G46" i="10"/>
  <c r="F46" i="10"/>
  <c r="E46" i="10"/>
  <c r="D46" i="10"/>
  <c r="C46" i="10"/>
  <c r="B46" i="10"/>
  <c r="A46" i="10"/>
  <c r="I45" i="10"/>
  <c r="H45" i="10"/>
  <c r="G45" i="10"/>
  <c r="F45" i="10"/>
  <c r="E45" i="10"/>
  <c r="D45" i="10"/>
  <c r="C45" i="10"/>
  <c r="B45" i="10"/>
  <c r="A45" i="10"/>
  <c r="I44" i="10"/>
  <c r="H44" i="10"/>
  <c r="G44" i="10"/>
  <c r="F44" i="10"/>
  <c r="E44" i="10"/>
  <c r="D44" i="10"/>
  <c r="C44" i="10"/>
  <c r="B44" i="10"/>
  <c r="A44" i="10"/>
  <c r="I43" i="10"/>
  <c r="H43" i="10"/>
  <c r="G43" i="10"/>
  <c r="F43" i="10"/>
  <c r="E43" i="10"/>
  <c r="D43" i="10"/>
  <c r="C43" i="10"/>
  <c r="B43" i="10"/>
  <c r="A43" i="10"/>
  <c r="I42" i="10"/>
  <c r="H42" i="10"/>
  <c r="G42" i="10"/>
  <c r="F42" i="10"/>
  <c r="E42" i="10"/>
  <c r="D42" i="10"/>
  <c r="C42" i="10"/>
  <c r="B42" i="10"/>
  <c r="A42" i="10"/>
  <c r="I41" i="10"/>
  <c r="H41" i="10"/>
  <c r="G41" i="10"/>
  <c r="F41" i="10"/>
  <c r="E41" i="10"/>
  <c r="D41" i="10"/>
  <c r="C41" i="10"/>
  <c r="B41" i="10"/>
  <c r="A41" i="10"/>
  <c r="I40" i="10"/>
  <c r="H40" i="10"/>
  <c r="G40" i="10"/>
  <c r="F40" i="10"/>
  <c r="E40" i="10"/>
  <c r="D40" i="10"/>
  <c r="C40" i="10"/>
  <c r="B40" i="10"/>
  <c r="A40" i="10"/>
  <c r="I39" i="10"/>
  <c r="H39" i="10"/>
  <c r="G39" i="10"/>
  <c r="F39" i="10"/>
  <c r="E39" i="10"/>
  <c r="D39" i="10"/>
  <c r="C39" i="10"/>
  <c r="B39" i="10"/>
  <c r="A39" i="10"/>
  <c r="I38" i="10"/>
  <c r="H38" i="10"/>
  <c r="G38" i="10"/>
  <c r="F38" i="10"/>
  <c r="E38" i="10"/>
  <c r="D38" i="10"/>
  <c r="C38" i="10"/>
  <c r="B38" i="10"/>
  <c r="A38" i="10"/>
  <c r="I37" i="10"/>
  <c r="H37" i="10"/>
  <c r="G37" i="10"/>
  <c r="F37" i="10"/>
  <c r="E37" i="10"/>
  <c r="D37" i="10"/>
  <c r="C37" i="10"/>
  <c r="B37" i="10"/>
  <c r="A37" i="10"/>
  <c r="I36" i="10"/>
  <c r="H36" i="10"/>
  <c r="G36" i="10"/>
  <c r="F36" i="10"/>
  <c r="E36" i="10"/>
  <c r="D36" i="10"/>
  <c r="C36" i="10"/>
  <c r="B36" i="10"/>
  <c r="A36" i="10"/>
  <c r="I35" i="10"/>
  <c r="H35" i="10"/>
  <c r="G35" i="10"/>
  <c r="F35" i="10"/>
  <c r="E35" i="10"/>
  <c r="D35" i="10"/>
  <c r="C35" i="10"/>
  <c r="B35" i="10"/>
  <c r="A35" i="10"/>
  <c r="I34" i="10"/>
  <c r="H34" i="10"/>
  <c r="G34" i="10"/>
  <c r="F34" i="10"/>
  <c r="E34" i="10"/>
  <c r="D34" i="10"/>
  <c r="C34" i="10"/>
  <c r="B34" i="10"/>
  <c r="A34" i="10"/>
  <c r="I33" i="10"/>
  <c r="H33" i="10"/>
  <c r="G33" i="10"/>
  <c r="F33" i="10"/>
  <c r="E33" i="10"/>
  <c r="D33" i="10"/>
  <c r="C33" i="10"/>
  <c r="B33" i="10"/>
  <c r="A33" i="10"/>
  <c r="I32" i="10"/>
  <c r="H32" i="10"/>
  <c r="G32" i="10"/>
  <c r="F32" i="10"/>
  <c r="E32" i="10"/>
  <c r="D32" i="10"/>
  <c r="C32" i="10"/>
  <c r="B32" i="10"/>
  <c r="A32" i="10"/>
  <c r="I31" i="10"/>
  <c r="H31" i="10"/>
  <c r="G31" i="10"/>
  <c r="F31" i="10"/>
  <c r="E31" i="10"/>
  <c r="D31" i="10"/>
  <c r="C31" i="10"/>
  <c r="B31" i="10"/>
  <c r="A31" i="10"/>
  <c r="I30" i="10"/>
  <c r="H30" i="10"/>
  <c r="G30" i="10"/>
  <c r="F30" i="10"/>
  <c r="E30" i="10"/>
  <c r="D30" i="10"/>
  <c r="C30" i="10"/>
  <c r="B30" i="10"/>
  <c r="A30" i="10"/>
  <c r="I29" i="10"/>
  <c r="H29" i="10"/>
  <c r="G29" i="10"/>
  <c r="F29" i="10"/>
  <c r="E29" i="10"/>
  <c r="D29" i="10"/>
  <c r="C29" i="10"/>
  <c r="B29" i="10"/>
  <c r="A29" i="10"/>
  <c r="I28" i="10"/>
  <c r="H28" i="10"/>
  <c r="G28" i="10"/>
  <c r="F28" i="10"/>
  <c r="E28" i="10"/>
  <c r="D28" i="10"/>
  <c r="C28" i="10"/>
  <c r="B28" i="10"/>
  <c r="A28" i="10"/>
  <c r="I27" i="10"/>
  <c r="H27" i="10"/>
  <c r="G27" i="10"/>
  <c r="F27" i="10"/>
  <c r="E27" i="10"/>
  <c r="D27" i="10"/>
  <c r="C27" i="10"/>
  <c r="B27" i="10"/>
  <c r="A27" i="10"/>
  <c r="I26" i="10"/>
  <c r="H26" i="10"/>
  <c r="G26" i="10"/>
  <c r="F26" i="10"/>
  <c r="E26" i="10"/>
  <c r="D26" i="10"/>
  <c r="C26" i="10"/>
  <c r="B26" i="10"/>
  <c r="A26" i="10"/>
  <c r="I25" i="10"/>
  <c r="H25" i="10"/>
  <c r="G25" i="10"/>
  <c r="F25" i="10"/>
  <c r="E25" i="10"/>
  <c r="D25" i="10"/>
  <c r="C25" i="10"/>
  <c r="B25" i="10"/>
  <c r="A25" i="10"/>
  <c r="I24" i="10"/>
  <c r="H24" i="10"/>
  <c r="G24" i="10"/>
  <c r="F24" i="10"/>
  <c r="E24" i="10"/>
  <c r="D24" i="10"/>
  <c r="C24" i="10"/>
  <c r="B24" i="10"/>
  <c r="A24" i="10"/>
  <c r="I23" i="10"/>
  <c r="H23" i="10"/>
  <c r="G23" i="10"/>
  <c r="F23" i="10"/>
  <c r="E23" i="10"/>
  <c r="D23" i="10"/>
  <c r="C23" i="10"/>
  <c r="B23" i="10"/>
  <c r="A23" i="10"/>
  <c r="I22" i="10"/>
  <c r="H22" i="10"/>
  <c r="G22" i="10"/>
  <c r="F22" i="10"/>
  <c r="E22" i="10"/>
  <c r="D22" i="10"/>
  <c r="C22" i="10"/>
  <c r="B22" i="10"/>
  <c r="A22" i="10"/>
  <c r="I21" i="10"/>
  <c r="H21" i="10"/>
  <c r="G21" i="10"/>
  <c r="F21" i="10"/>
  <c r="E21" i="10"/>
  <c r="D21" i="10"/>
  <c r="C21" i="10"/>
  <c r="B21" i="10"/>
  <c r="A21" i="10"/>
  <c r="I20" i="10"/>
  <c r="H20" i="10"/>
  <c r="G20" i="10"/>
  <c r="F20" i="10"/>
  <c r="E20" i="10"/>
  <c r="D20" i="10"/>
  <c r="C20" i="10"/>
  <c r="B20" i="10"/>
  <c r="A20" i="10"/>
  <c r="I19" i="10"/>
  <c r="H19" i="10"/>
  <c r="G19" i="10"/>
  <c r="F19" i="10"/>
  <c r="E19" i="10"/>
  <c r="D19" i="10"/>
  <c r="C19" i="10"/>
  <c r="B19" i="10"/>
  <c r="A19" i="10"/>
  <c r="I18" i="10"/>
  <c r="H18" i="10"/>
  <c r="G18" i="10"/>
  <c r="F18" i="10"/>
  <c r="E18" i="10"/>
  <c r="D18" i="10"/>
  <c r="C18" i="10"/>
  <c r="B18" i="10"/>
  <c r="A18" i="10"/>
  <c r="I17" i="10"/>
  <c r="H17" i="10"/>
  <c r="G17" i="10"/>
  <c r="F17" i="10"/>
  <c r="E17" i="10"/>
  <c r="D17" i="10"/>
  <c r="C17" i="10"/>
  <c r="B17" i="10"/>
  <c r="A17" i="10"/>
  <c r="I16" i="10"/>
  <c r="H16" i="10"/>
  <c r="G16" i="10"/>
  <c r="F16" i="10"/>
  <c r="E16" i="10"/>
  <c r="D16" i="10"/>
  <c r="C16" i="10"/>
  <c r="B16" i="10"/>
  <c r="A16" i="10"/>
  <c r="I15" i="10"/>
  <c r="H15" i="10"/>
  <c r="G15" i="10"/>
  <c r="F15" i="10"/>
  <c r="E15" i="10"/>
  <c r="D15" i="10"/>
  <c r="C15" i="10"/>
  <c r="B15" i="10"/>
  <c r="A15" i="10"/>
  <c r="I14" i="10"/>
  <c r="H14" i="10"/>
  <c r="G14" i="10"/>
  <c r="F14" i="10"/>
  <c r="E14" i="10"/>
  <c r="D14" i="10"/>
  <c r="C14" i="10"/>
  <c r="B14" i="10"/>
  <c r="A14" i="10"/>
  <c r="I13" i="10"/>
  <c r="H13" i="10"/>
  <c r="G13" i="10"/>
  <c r="F13" i="10"/>
  <c r="E13" i="10"/>
  <c r="D13" i="10"/>
  <c r="C13" i="10"/>
  <c r="B13" i="10"/>
  <c r="A13" i="10"/>
  <c r="I12" i="10"/>
  <c r="H12" i="10"/>
  <c r="G12" i="10"/>
  <c r="F12" i="10"/>
  <c r="E12" i="10"/>
  <c r="D12" i="10"/>
  <c r="C12" i="10"/>
  <c r="B12" i="10"/>
  <c r="A12" i="10"/>
  <c r="I11" i="10"/>
  <c r="H11" i="10"/>
  <c r="G11" i="10"/>
  <c r="F11" i="10"/>
  <c r="E11" i="10"/>
  <c r="D11" i="10"/>
  <c r="C11" i="10"/>
  <c r="B11" i="10"/>
  <c r="A11" i="10"/>
  <c r="I10" i="10"/>
  <c r="H10" i="10"/>
  <c r="G10" i="10"/>
  <c r="F10" i="10"/>
  <c r="E10" i="10"/>
  <c r="D10" i="10"/>
  <c r="C10" i="10"/>
  <c r="B10" i="10"/>
  <c r="A10" i="10"/>
  <c r="I9" i="10"/>
  <c r="H9" i="10"/>
  <c r="G9" i="10"/>
  <c r="F9" i="10"/>
  <c r="E9" i="10"/>
  <c r="D9" i="10"/>
  <c r="C9" i="10"/>
  <c r="B9" i="10"/>
  <c r="A9" i="10"/>
  <c r="I8" i="10"/>
  <c r="H8" i="10"/>
  <c r="G8" i="10"/>
  <c r="F8" i="10"/>
  <c r="E8" i="10"/>
  <c r="D8" i="10"/>
  <c r="C8" i="10"/>
  <c r="B8" i="10"/>
  <c r="A8" i="10"/>
  <c r="I7" i="10"/>
  <c r="H7" i="10"/>
  <c r="G7" i="10"/>
  <c r="F7" i="10"/>
  <c r="E7" i="10"/>
  <c r="D7" i="10"/>
  <c r="C7" i="10"/>
  <c r="B7" i="10"/>
  <c r="A7" i="10"/>
  <c r="I6" i="10"/>
  <c r="H6" i="10"/>
  <c r="G6" i="10"/>
  <c r="F6" i="10"/>
  <c r="E6" i="10"/>
  <c r="D6" i="10"/>
  <c r="C6" i="10"/>
  <c r="B6" i="10"/>
  <c r="A6" i="10"/>
  <c r="I5" i="10"/>
  <c r="H5" i="10"/>
  <c r="G5" i="10"/>
  <c r="F5" i="10"/>
  <c r="E5" i="10"/>
  <c r="D5" i="10"/>
  <c r="C5" i="10"/>
  <c r="B5" i="10"/>
  <c r="A5" i="10"/>
  <c r="I4" i="10"/>
  <c r="H4" i="10"/>
  <c r="G4" i="10"/>
  <c r="F4" i="10"/>
  <c r="E4" i="10"/>
  <c r="D4" i="10"/>
  <c r="C4" i="10"/>
  <c r="B4" i="10"/>
  <c r="A4" i="10"/>
  <c r="I3" i="10"/>
  <c r="H3" i="10"/>
  <c r="G3" i="10"/>
  <c r="F3" i="10"/>
  <c r="E3" i="10"/>
  <c r="D3" i="10"/>
  <c r="C3" i="10"/>
  <c r="B3" i="10"/>
  <c r="A3" i="10"/>
  <c r="I2" i="10"/>
  <c r="H2" i="10"/>
  <c r="G2" i="10"/>
  <c r="F2" i="10"/>
  <c r="E2" i="10"/>
  <c r="D2" i="10"/>
  <c r="C2" i="10"/>
  <c r="A3" i="5"/>
  <c r="K51" i="4"/>
  <c r="K50" i="4"/>
  <c r="K49" i="4"/>
  <c r="K48" i="4"/>
  <c r="K47" i="4"/>
  <c r="O47" i="4" s="1"/>
  <c r="K46" i="4"/>
  <c r="O46" i="4" s="1"/>
  <c r="K45" i="4"/>
  <c r="O45" i="4" s="1"/>
  <c r="K44" i="4"/>
  <c r="O44" i="4" s="1"/>
  <c r="K43" i="4"/>
  <c r="O43" i="4" s="1"/>
  <c r="K42" i="4"/>
  <c r="O42" i="4" s="1"/>
  <c r="K41" i="4"/>
  <c r="O41" i="4" s="1"/>
  <c r="K40" i="4"/>
  <c r="O40" i="4" s="1"/>
  <c r="K39" i="4"/>
  <c r="O39" i="4" s="1"/>
  <c r="K38" i="4"/>
  <c r="O38" i="4" s="1"/>
  <c r="K37" i="4"/>
  <c r="O37" i="4" s="1"/>
  <c r="K36" i="4"/>
  <c r="O36" i="4" s="1"/>
  <c r="K35" i="4"/>
  <c r="O35" i="4" s="1"/>
  <c r="K34" i="4"/>
  <c r="O34" i="4" s="1"/>
  <c r="K33" i="4"/>
  <c r="O33" i="4" s="1"/>
  <c r="K32" i="4"/>
  <c r="O32" i="4" s="1"/>
  <c r="K31" i="4"/>
  <c r="O31" i="4" s="1"/>
  <c r="K30" i="4"/>
  <c r="O30" i="4" s="1"/>
  <c r="K29" i="4"/>
  <c r="O29" i="4" s="1"/>
  <c r="K28" i="4"/>
  <c r="O28" i="4" s="1"/>
  <c r="K27" i="4"/>
  <c r="O27" i="4" s="1"/>
  <c r="K26" i="4"/>
  <c r="O26" i="4" s="1"/>
  <c r="K25" i="4"/>
  <c r="O25" i="4" s="1"/>
  <c r="K24" i="4"/>
  <c r="O24" i="4" s="1"/>
  <c r="K23" i="4"/>
  <c r="O23" i="4" s="1"/>
  <c r="K22" i="4"/>
  <c r="O22" i="4" s="1"/>
  <c r="K21" i="4"/>
  <c r="O21" i="4" s="1"/>
  <c r="K20" i="4"/>
  <c r="O20" i="4" s="1"/>
  <c r="K19" i="4"/>
  <c r="O19" i="4" s="1"/>
  <c r="K18" i="4"/>
  <c r="O18" i="4" s="1"/>
  <c r="K17" i="4"/>
  <c r="O17" i="4" s="1"/>
  <c r="K16" i="4"/>
  <c r="O16" i="4" s="1"/>
  <c r="K15" i="4"/>
  <c r="O15" i="4" s="1"/>
  <c r="K14" i="4"/>
  <c r="O14" i="4" s="1"/>
  <c r="K13" i="4"/>
  <c r="O13" i="4" s="1"/>
  <c r="K12" i="4"/>
  <c r="O12" i="4" s="1"/>
  <c r="K11" i="4"/>
  <c r="O11" i="4" s="1"/>
  <c r="K10" i="4"/>
  <c r="O10" i="4" s="1"/>
  <c r="K9" i="4"/>
  <c r="O9" i="4" s="1"/>
  <c r="K8" i="4"/>
  <c r="O8" i="4" s="1"/>
  <c r="K7" i="4"/>
  <c r="O7" i="4" s="1"/>
  <c r="K6" i="4"/>
  <c r="O6" i="4" s="1"/>
  <c r="K5" i="4"/>
  <c r="O5" i="4" s="1"/>
  <c r="K4" i="4"/>
  <c r="O4" i="4" s="1"/>
  <c r="K3" i="4"/>
  <c r="O3" i="4" s="1"/>
  <c r="J20" i="2"/>
  <c r="M18" i="2"/>
  <c r="L18" i="2"/>
  <c r="K18" i="2"/>
  <c r="I18" i="2"/>
  <c r="H18" i="2"/>
  <c r="G18" i="2"/>
  <c r="F18" i="2"/>
  <c r="E18" i="2"/>
  <c r="D18" i="2"/>
  <c r="C18" i="2"/>
  <c r="B18" i="2"/>
  <c r="N17" i="2"/>
  <c r="C9" i="8" s="1"/>
  <c r="J17" i="2"/>
  <c r="N16" i="2"/>
  <c r="C8" i="8" s="1"/>
  <c r="J16" i="2"/>
  <c r="N15" i="2"/>
  <c r="C7" i="8" s="1"/>
  <c r="J15" i="2"/>
  <c r="N14" i="2"/>
  <c r="C6" i="8" s="1"/>
  <c r="J14" i="2"/>
  <c r="N13" i="2"/>
  <c r="C5" i="8" s="1"/>
  <c r="J13" i="2"/>
  <c r="N12" i="2"/>
  <c r="C4" i="8" s="1"/>
  <c r="J12" i="2"/>
  <c r="N11" i="2"/>
  <c r="C3" i="8" s="1"/>
  <c r="J11" i="2"/>
  <c r="B8" i="2"/>
  <c r="A4" i="2"/>
  <c r="F5" i="8" l="1"/>
  <c r="E5" i="8"/>
  <c r="F9" i="8"/>
  <c r="E9" i="8"/>
  <c r="B3" i="8"/>
  <c r="B4" i="8"/>
  <c r="F6" i="8"/>
  <c r="E6" i="8"/>
  <c r="B5" i="8"/>
  <c r="B6" i="8"/>
  <c r="F3" i="8"/>
  <c r="E3" i="8"/>
  <c r="B7" i="8"/>
  <c r="B8" i="8"/>
  <c r="F7" i="8"/>
  <c r="E7" i="8"/>
  <c r="F4" i="8"/>
  <c r="E4" i="8"/>
  <c r="F8" i="8"/>
  <c r="E8" i="8"/>
  <c r="B9" i="8"/>
  <c r="J18" i="2"/>
  <c r="F3" i="5"/>
  <c r="F4" i="5" s="1"/>
  <c r="J44" i="10"/>
  <c r="I6" i="6"/>
  <c r="F9" i="6"/>
  <c r="E10" i="6"/>
  <c r="J12" i="10"/>
  <c r="I14" i="6"/>
  <c r="F17" i="6"/>
  <c r="E18" i="6"/>
  <c r="J20" i="10"/>
  <c r="I22" i="6"/>
  <c r="F25" i="6"/>
  <c r="E26" i="6"/>
  <c r="J28" i="10"/>
  <c r="I30" i="6"/>
  <c r="F33" i="6"/>
  <c r="E34" i="6"/>
  <c r="J36" i="10"/>
  <c r="I38" i="6"/>
  <c r="F41" i="6"/>
  <c r="E42" i="6"/>
  <c r="I46" i="6"/>
  <c r="F49" i="6"/>
  <c r="E50" i="6"/>
  <c r="I54" i="6"/>
  <c r="I62" i="6"/>
  <c r="E4" i="6"/>
  <c r="D5" i="6"/>
  <c r="I8" i="6"/>
  <c r="H9" i="6"/>
  <c r="I4" i="6"/>
  <c r="F7" i="6"/>
  <c r="E8" i="6"/>
  <c r="F15" i="6"/>
  <c r="F23" i="6"/>
  <c r="J26" i="10"/>
  <c r="F31" i="6"/>
  <c r="F39" i="6"/>
  <c r="F47" i="6"/>
  <c r="E56" i="6"/>
  <c r="J58" i="10"/>
  <c r="I5" i="6"/>
  <c r="J19" i="10"/>
  <c r="J27" i="10"/>
  <c r="J35" i="10"/>
  <c r="J43" i="10"/>
  <c r="E57" i="6"/>
  <c r="I7" i="6"/>
  <c r="I55" i="6"/>
  <c r="E12" i="6"/>
  <c r="D13" i="6"/>
  <c r="J14" i="10"/>
  <c r="I16" i="6"/>
  <c r="H17" i="6"/>
  <c r="E20" i="6"/>
  <c r="D21" i="6"/>
  <c r="J22" i="10"/>
  <c r="I24" i="6"/>
  <c r="H25" i="6"/>
  <c r="E28" i="6"/>
  <c r="D29" i="6"/>
  <c r="J30" i="10"/>
  <c r="I32" i="6"/>
  <c r="H33" i="6"/>
  <c r="E36" i="6"/>
  <c r="D37" i="6"/>
  <c r="J38" i="10"/>
  <c r="I40" i="6"/>
  <c r="H41" i="6"/>
  <c r="E44" i="6"/>
  <c r="D45" i="6"/>
  <c r="J46" i="10"/>
  <c r="I48" i="6"/>
  <c r="H49" i="6"/>
  <c r="E52" i="6"/>
  <c r="J54" i="10"/>
  <c r="E60" i="6"/>
  <c r="J62" i="10"/>
  <c r="E5" i="6"/>
  <c r="I9" i="6"/>
  <c r="J15" i="10"/>
  <c r="J23" i="10"/>
  <c r="J31" i="10"/>
  <c r="J39" i="10"/>
  <c r="J47" i="10"/>
  <c r="E53" i="6"/>
  <c r="E61" i="6"/>
  <c r="E6" i="6"/>
  <c r="D7" i="6"/>
  <c r="I10" i="6"/>
  <c r="H11" i="6"/>
  <c r="D15" i="6"/>
  <c r="H19" i="6"/>
  <c r="D23" i="6"/>
  <c r="H27" i="6"/>
  <c r="D31" i="6"/>
  <c r="J32" i="10"/>
  <c r="H35" i="6"/>
  <c r="D39" i="6"/>
  <c r="J40" i="10"/>
  <c r="H43" i="6"/>
  <c r="D47" i="6"/>
  <c r="I58" i="6"/>
  <c r="E7" i="6"/>
  <c r="J57" i="10"/>
  <c r="I59" i="6"/>
  <c r="C16" i="6"/>
  <c r="G28" i="6"/>
  <c r="G44" i="6"/>
  <c r="C48" i="6"/>
  <c r="G52" i="6"/>
  <c r="G60" i="6"/>
  <c r="N18" i="2"/>
  <c r="I3" i="6"/>
  <c r="G5" i="6"/>
  <c r="C9" i="6"/>
  <c r="J8" i="10"/>
  <c r="C8" i="6"/>
  <c r="G12" i="6"/>
  <c r="G6" i="6"/>
  <c r="C10" i="6"/>
  <c r="G14" i="6"/>
  <c r="C18" i="6"/>
  <c r="G22" i="6"/>
  <c r="G30" i="6"/>
  <c r="C34" i="6"/>
  <c r="G38" i="6"/>
  <c r="C42" i="6"/>
  <c r="G46" i="6"/>
  <c r="C50" i="6"/>
  <c r="G4" i="6"/>
  <c r="G20" i="6"/>
  <c r="C24" i="6"/>
  <c r="G36" i="6"/>
  <c r="E3" i="5"/>
  <c r="E4" i="5" s="1"/>
  <c r="C3" i="5"/>
  <c r="C4" i="5" s="1"/>
  <c r="C3" i="6"/>
  <c r="J3" i="10"/>
  <c r="G7" i="6"/>
  <c r="C11" i="6"/>
  <c r="G55" i="6"/>
  <c r="C4" i="6"/>
  <c r="J4" i="10"/>
  <c r="G8" i="6"/>
  <c r="G56" i="6"/>
  <c r="D3" i="5"/>
  <c r="D4" i="5" s="1"/>
  <c r="E3" i="6"/>
  <c r="C5" i="6"/>
  <c r="J5" i="10"/>
  <c r="G9" i="6"/>
  <c r="C53" i="6"/>
  <c r="C61" i="6"/>
  <c r="C6" i="6"/>
  <c r="J6" i="10"/>
  <c r="G3" i="6"/>
  <c r="C7" i="6"/>
  <c r="J7" i="10"/>
  <c r="G59" i="6"/>
  <c r="G11" i="6"/>
  <c r="C13" i="6"/>
  <c r="G15" i="6"/>
  <c r="E16" i="6"/>
  <c r="C17" i="6"/>
  <c r="I18" i="6"/>
  <c r="G19" i="6"/>
  <c r="C21" i="6"/>
  <c r="G23" i="6"/>
  <c r="E24" i="6"/>
  <c r="C25" i="6"/>
  <c r="I26" i="6"/>
  <c r="G27" i="6"/>
  <c r="C29" i="6"/>
  <c r="G31" i="6"/>
  <c r="E32" i="6"/>
  <c r="C33" i="6"/>
  <c r="I34" i="6"/>
  <c r="G35" i="6"/>
  <c r="C37" i="6"/>
  <c r="G39" i="6"/>
  <c r="E40" i="6"/>
  <c r="C41" i="6"/>
  <c r="I42" i="6"/>
  <c r="G43" i="6"/>
  <c r="C45" i="6"/>
  <c r="G47" i="6"/>
  <c r="E48" i="6"/>
  <c r="C49" i="6"/>
  <c r="I50" i="6"/>
  <c r="G51" i="6"/>
  <c r="F52" i="6"/>
  <c r="D54" i="6"/>
  <c r="C55" i="6"/>
  <c r="I57" i="6"/>
  <c r="H58" i="6"/>
  <c r="F60" i="6"/>
  <c r="D62" i="6"/>
  <c r="C26" i="6"/>
  <c r="F4" i="6"/>
  <c r="H7" i="6"/>
  <c r="F8" i="6"/>
  <c r="D9" i="6"/>
  <c r="J10" i="10"/>
  <c r="F12" i="6"/>
  <c r="H15" i="6"/>
  <c r="F16" i="6"/>
  <c r="D17" i="6"/>
  <c r="J18" i="10"/>
  <c r="F20" i="6"/>
  <c r="H23" i="6"/>
  <c r="F24" i="6"/>
  <c r="D25" i="6"/>
  <c r="F28" i="6"/>
  <c r="H31" i="6"/>
  <c r="F32" i="6"/>
  <c r="D33" i="6"/>
  <c r="J34" i="10"/>
  <c r="F36" i="6"/>
  <c r="H39" i="6"/>
  <c r="F40" i="6"/>
  <c r="D41" i="6"/>
  <c r="J42" i="10"/>
  <c r="F44" i="6"/>
  <c r="H47" i="6"/>
  <c r="F48" i="6"/>
  <c r="D49" i="6"/>
  <c r="J50" i="10"/>
  <c r="F53" i="6"/>
  <c r="E54" i="6"/>
  <c r="D55" i="6"/>
  <c r="C56" i="6"/>
  <c r="H59" i="6"/>
  <c r="F61" i="6"/>
  <c r="E62" i="6"/>
  <c r="C32" i="6"/>
  <c r="E9" i="6"/>
  <c r="I11" i="6"/>
  <c r="E13" i="6"/>
  <c r="C14" i="6"/>
  <c r="I15" i="6"/>
  <c r="G16" i="6"/>
  <c r="E17" i="6"/>
  <c r="I19" i="6"/>
  <c r="E21" i="6"/>
  <c r="C22" i="6"/>
  <c r="I23" i="6"/>
  <c r="G24" i="6"/>
  <c r="E25" i="6"/>
  <c r="I27" i="6"/>
  <c r="E29" i="6"/>
  <c r="C30" i="6"/>
  <c r="I31" i="6"/>
  <c r="G32" i="6"/>
  <c r="E33" i="6"/>
  <c r="I35" i="6"/>
  <c r="E37" i="6"/>
  <c r="C38" i="6"/>
  <c r="I39" i="6"/>
  <c r="G40" i="6"/>
  <c r="E41" i="6"/>
  <c r="I43" i="6"/>
  <c r="E45" i="6"/>
  <c r="C46" i="6"/>
  <c r="I47" i="6"/>
  <c r="G48" i="6"/>
  <c r="E49" i="6"/>
  <c r="I51" i="6"/>
  <c r="H52" i="6"/>
  <c r="G53" i="6"/>
  <c r="F54" i="6"/>
  <c r="E55" i="6"/>
  <c r="D56" i="6"/>
  <c r="H60" i="6"/>
  <c r="G61" i="6"/>
  <c r="F62" i="6"/>
  <c r="H4" i="6"/>
  <c r="F5" i="6"/>
  <c r="D6" i="6"/>
  <c r="H8" i="6"/>
  <c r="D10" i="6"/>
  <c r="J11" i="10"/>
  <c r="H12" i="6"/>
  <c r="F13" i="6"/>
  <c r="D14" i="6"/>
  <c r="H16" i="6"/>
  <c r="D18" i="6"/>
  <c r="H20" i="6"/>
  <c r="F21" i="6"/>
  <c r="D22" i="6"/>
  <c r="H24" i="6"/>
  <c r="D26" i="6"/>
  <c r="H28" i="6"/>
  <c r="F29" i="6"/>
  <c r="D30" i="6"/>
  <c r="H32" i="6"/>
  <c r="D34" i="6"/>
  <c r="H36" i="6"/>
  <c r="F37" i="6"/>
  <c r="D38" i="6"/>
  <c r="H40" i="6"/>
  <c r="D42" i="6"/>
  <c r="H44" i="6"/>
  <c r="F45" i="6"/>
  <c r="D46" i="6"/>
  <c r="H48" i="6"/>
  <c r="D50" i="6"/>
  <c r="I52" i="6"/>
  <c r="H53" i="6"/>
  <c r="G54" i="6"/>
  <c r="F55" i="6"/>
  <c r="D57" i="6"/>
  <c r="I60" i="6"/>
  <c r="H61" i="6"/>
  <c r="G62" i="6"/>
  <c r="C40" i="6"/>
  <c r="H51" i="6"/>
  <c r="C57" i="6"/>
  <c r="I12" i="6"/>
  <c r="G13" i="6"/>
  <c r="E14" i="6"/>
  <c r="C15" i="6"/>
  <c r="G17" i="6"/>
  <c r="C19" i="6"/>
  <c r="I20" i="6"/>
  <c r="G21" i="6"/>
  <c r="E22" i="6"/>
  <c r="C23" i="6"/>
  <c r="G25" i="6"/>
  <c r="C27" i="6"/>
  <c r="I28" i="6"/>
  <c r="G29" i="6"/>
  <c r="E30" i="6"/>
  <c r="C31" i="6"/>
  <c r="G33" i="6"/>
  <c r="C35" i="6"/>
  <c r="I36" i="6"/>
  <c r="G37" i="6"/>
  <c r="E38" i="6"/>
  <c r="C39" i="6"/>
  <c r="G41" i="6"/>
  <c r="C43" i="6"/>
  <c r="I44" i="6"/>
  <c r="G45" i="6"/>
  <c r="E46" i="6"/>
  <c r="C47" i="6"/>
  <c r="G49" i="6"/>
  <c r="C51" i="6"/>
  <c r="J51" i="10"/>
  <c r="I53" i="6"/>
  <c r="H54" i="6"/>
  <c r="F56" i="6"/>
  <c r="D58" i="6"/>
  <c r="C59" i="6"/>
  <c r="I61" i="6"/>
  <c r="H62" i="6"/>
  <c r="D3" i="6"/>
  <c r="H5" i="6"/>
  <c r="F6" i="6"/>
  <c r="F10" i="6"/>
  <c r="D11" i="6"/>
  <c r="H13" i="6"/>
  <c r="F14" i="6"/>
  <c r="J16" i="10"/>
  <c r="F18" i="6"/>
  <c r="D19" i="6"/>
  <c r="H21" i="6"/>
  <c r="F22" i="6"/>
  <c r="J24" i="10"/>
  <c r="F26" i="6"/>
  <c r="D27" i="6"/>
  <c r="H29" i="6"/>
  <c r="F30" i="6"/>
  <c r="F34" i="6"/>
  <c r="D35" i="6"/>
  <c r="H37" i="6"/>
  <c r="F38" i="6"/>
  <c r="F42" i="6"/>
  <c r="D43" i="6"/>
  <c r="H45" i="6"/>
  <c r="F46" i="6"/>
  <c r="J48" i="10"/>
  <c r="F50" i="6"/>
  <c r="D51" i="6"/>
  <c r="C52" i="6"/>
  <c r="J52" i="10"/>
  <c r="H55" i="6"/>
  <c r="F57" i="6"/>
  <c r="E58" i="6"/>
  <c r="D59" i="6"/>
  <c r="C60" i="6"/>
  <c r="G10" i="6"/>
  <c r="E11" i="6"/>
  <c r="C12" i="6"/>
  <c r="I13" i="6"/>
  <c r="E15" i="6"/>
  <c r="I17" i="6"/>
  <c r="G18" i="6"/>
  <c r="E19" i="6"/>
  <c r="C20" i="6"/>
  <c r="I21" i="6"/>
  <c r="E23" i="6"/>
  <c r="I25" i="6"/>
  <c r="G26" i="6"/>
  <c r="E27" i="6"/>
  <c r="C28" i="6"/>
  <c r="I29" i="6"/>
  <c r="E31" i="6"/>
  <c r="I33" i="6"/>
  <c r="G34" i="6"/>
  <c r="E35" i="6"/>
  <c r="C36" i="6"/>
  <c r="I37" i="6"/>
  <c r="E39" i="6"/>
  <c r="I41" i="6"/>
  <c r="G42" i="6"/>
  <c r="E43" i="6"/>
  <c r="C44" i="6"/>
  <c r="I45" i="6"/>
  <c r="E47" i="6"/>
  <c r="I49" i="6"/>
  <c r="G50" i="6"/>
  <c r="E51" i="6"/>
  <c r="D52" i="6"/>
  <c r="J53" i="10"/>
  <c r="H56" i="6"/>
  <c r="G57" i="6"/>
  <c r="F58" i="6"/>
  <c r="E59" i="6"/>
  <c r="D60" i="6"/>
  <c r="J61" i="10"/>
  <c r="F3" i="6"/>
  <c r="D4" i="6"/>
  <c r="H6" i="6"/>
  <c r="D8" i="6"/>
  <c r="J9" i="10"/>
  <c r="H10" i="6"/>
  <c r="F11" i="6"/>
  <c r="D12" i="6"/>
  <c r="J13" i="10"/>
  <c r="H14" i="6"/>
  <c r="D16" i="6"/>
  <c r="J17" i="10"/>
  <c r="H18" i="6"/>
  <c r="F19" i="6"/>
  <c r="D20" i="6"/>
  <c r="J21" i="10"/>
  <c r="H22" i="6"/>
  <c r="D24" i="6"/>
  <c r="J25" i="10"/>
  <c r="H26" i="6"/>
  <c r="F27" i="6"/>
  <c r="D28" i="6"/>
  <c r="J29" i="10"/>
  <c r="H30" i="6"/>
  <c r="D32" i="6"/>
  <c r="J33" i="10"/>
  <c r="H34" i="6"/>
  <c r="F35" i="6"/>
  <c r="D36" i="6"/>
  <c r="J37" i="10"/>
  <c r="H38" i="6"/>
  <c r="D40" i="6"/>
  <c r="J41" i="10"/>
  <c r="H42" i="6"/>
  <c r="F43" i="6"/>
  <c r="D44" i="6"/>
  <c r="J45" i="10"/>
  <c r="H46" i="6"/>
  <c r="D48" i="6"/>
  <c r="J49" i="10"/>
  <c r="H50" i="6"/>
  <c r="F51" i="6"/>
  <c r="D53" i="6"/>
  <c r="I56" i="6"/>
  <c r="H57" i="6"/>
  <c r="G58" i="6"/>
  <c r="F59" i="6"/>
  <c r="D61" i="6"/>
  <c r="H3" i="6"/>
  <c r="C54" i="6"/>
  <c r="C58" i="6"/>
  <c r="C62" i="6"/>
  <c r="J55" i="10"/>
  <c r="J59" i="10"/>
  <c r="J56" i="10"/>
  <c r="J60" i="10"/>
  <c r="J62" i="6" l="1"/>
  <c r="J43" i="6"/>
  <c r="K43" i="6" s="1"/>
  <c r="J42" i="6"/>
  <c r="K42" i="6" s="1"/>
  <c r="J4" i="6"/>
  <c r="K4" i="6" s="1"/>
  <c r="J28" i="6"/>
  <c r="K28" i="6" s="1"/>
  <c r="J49" i="6"/>
  <c r="K49" i="6" s="1"/>
  <c r="J17" i="6"/>
  <c r="K17" i="6" s="1"/>
  <c r="J31" i="6"/>
  <c r="K31" i="6" s="1"/>
  <c r="J57" i="6"/>
  <c r="J46" i="6"/>
  <c r="K46" i="6" s="1"/>
  <c r="J14" i="6"/>
  <c r="K14" i="6" s="1"/>
  <c r="J56" i="6"/>
  <c r="J37" i="6"/>
  <c r="K37" i="6" s="1"/>
  <c r="J5" i="6"/>
  <c r="K5" i="6" s="1"/>
  <c r="G3" i="5"/>
  <c r="G4" i="5" s="1"/>
  <c r="J36" i="6"/>
  <c r="K36" i="6" s="1"/>
  <c r="J25" i="6"/>
  <c r="K25" i="6" s="1"/>
  <c r="J34" i="6"/>
  <c r="K34" i="6" s="1"/>
  <c r="J8" i="6"/>
  <c r="K8" i="6" s="1"/>
  <c r="J51" i="6"/>
  <c r="K51" i="6" s="1"/>
  <c r="J39" i="6"/>
  <c r="K39" i="6" s="1"/>
  <c r="J19" i="6"/>
  <c r="K19" i="6" s="1"/>
  <c r="J40" i="6"/>
  <c r="K40" i="6" s="1"/>
  <c r="J22" i="6"/>
  <c r="K22" i="6" s="1"/>
  <c r="J55" i="6"/>
  <c r="J45" i="6"/>
  <c r="K45" i="6" s="1"/>
  <c r="J13" i="6"/>
  <c r="K13" i="6" s="1"/>
  <c r="J6" i="6"/>
  <c r="K6" i="6" s="1"/>
  <c r="E9" i="11"/>
  <c r="E10" i="11" s="1"/>
  <c r="C9" i="11"/>
  <c r="C10" i="11" s="1"/>
  <c r="D9" i="11"/>
  <c r="D10" i="11" s="1"/>
  <c r="B9" i="11"/>
  <c r="J11" i="6"/>
  <c r="K11" i="6" s="1"/>
  <c r="J24" i="6"/>
  <c r="K24" i="6" s="1"/>
  <c r="J12" i="6"/>
  <c r="K12" i="6" s="1"/>
  <c r="J33" i="6"/>
  <c r="K33" i="6" s="1"/>
  <c r="J9" i="6"/>
  <c r="K9" i="6" s="1"/>
  <c r="J48" i="6"/>
  <c r="K48" i="6" s="1"/>
  <c r="E13" i="11"/>
  <c r="E14" i="11" s="1"/>
  <c r="D13" i="11"/>
  <c r="D14" i="11" s="1"/>
  <c r="C13" i="11"/>
  <c r="C14" i="11" s="1"/>
  <c r="B13" i="11"/>
  <c r="J58" i="6"/>
  <c r="J44" i="6"/>
  <c r="K44" i="6" s="1"/>
  <c r="J54" i="6"/>
  <c r="J52" i="6"/>
  <c r="J59" i="6"/>
  <c r="J47" i="6"/>
  <c r="K47" i="6" s="1"/>
  <c r="J27" i="6"/>
  <c r="K27" i="6" s="1"/>
  <c r="J15" i="6"/>
  <c r="K15" i="6" s="1"/>
  <c r="J30" i="6"/>
  <c r="K30" i="6" s="1"/>
  <c r="J32" i="6"/>
  <c r="K32" i="6" s="1"/>
  <c r="J21" i="6"/>
  <c r="K21" i="6" s="1"/>
  <c r="J61" i="6"/>
  <c r="J18" i="6"/>
  <c r="K18" i="6" s="1"/>
  <c r="E11" i="11"/>
  <c r="E12" i="11" s="1"/>
  <c r="D11" i="11"/>
  <c r="D12" i="11" s="1"/>
  <c r="C11" i="11"/>
  <c r="C12" i="11" s="1"/>
  <c r="B11" i="11"/>
  <c r="J20" i="6"/>
  <c r="K20" i="6" s="1"/>
  <c r="J26" i="6"/>
  <c r="K26" i="6" s="1"/>
  <c r="J41" i="6"/>
  <c r="K41" i="6" s="1"/>
  <c r="J53" i="6"/>
  <c r="E5" i="11"/>
  <c r="E6" i="11" s="1"/>
  <c r="D5" i="11"/>
  <c r="D6" i="11" s="1"/>
  <c r="C5" i="11"/>
  <c r="C6" i="11" s="1"/>
  <c r="B5" i="11"/>
  <c r="J3" i="6"/>
  <c r="J50" i="6"/>
  <c r="K50" i="6" s="1"/>
  <c r="C7" i="11"/>
  <c r="C8" i="11" s="1"/>
  <c r="B7" i="11"/>
  <c r="E7" i="11"/>
  <c r="E8" i="11" s="1"/>
  <c r="D7" i="11"/>
  <c r="D8" i="11" s="1"/>
  <c r="C15" i="11"/>
  <c r="C16" i="11" s="1"/>
  <c r="B15" i="11"/>
  <c r="E15" i="11"/>
  <c r="E16" i="11" s="1"/>
  <c r="D15" i="11"/>
  <c r="D16" i="11" s="1"/>
  <c r="J60" i="6"/>
  <c r="J35" i="6"/>
  <c r="K35" i="6" s="1"/>
  <c r="J23" i="6"/>
  <c r="K23" i="6" s="1"/>
  <c r="J38" i="6"/>
  <c r="K38" i="6" s="1"/>
  <c r="J29" i="6"/>
  <c r="K29" i="6" s="1"/>
  <c r="J7" i="6"/>
  <c r="K7" i="6" s="1"/>
  <c r="J10" i="6"/>
  <c r="K10" i="6" s="1"/>
  <c r="E17" i="11"/>
  <c r="E18" i="11" s="1"/>
  <c r="C17" i="11"/>
  <c r="C18" i="11" s="1"/>
  <c r="D17" i="11"/>
  <c r="D18" i="11" s="1"/>
  <c r="B17" i="11"/>
  <c r="J16" i="6"/>
  <c r="K16" i="6" s="1"/>
  <c r="B8" i="11" l="1"/>
  <c r="F7" i="11"/>
  <c r="F8" i="11" s="1"/>
  <c r="B18" i="11"/>
  <c r="F17" i="11"/>
  <c r="F18" i="11" s="1"/>
  <c r="B16" i="11"/>
  <c r="F15" i="11"/>
  <c r="F16" i="11" s="1"/>
  <c r="E3" i="11"/>
  <c r="E4" i="11" s="1"/>
  <c r="D3" i="11"/>
  <c r="D4" i="11" s="1"/>
  <c r="C3" i="11"/>
  <c r="C4" i="11" s="1"/>
  <c r="K3" i="6"/>
  <c r="B3" i="11"/>
  <c r="B6" i="11"/>
  <c r="F5" i="11"/>
  <c r="F6" i="11" s="1"/>
  <c r="B12" i="11"/>
  <c r="F11" i="11"/>
  <c r="F12" i="11" s="1"/>
  <c r="B14" i="11"/>
  <c r="F13" i="11"/>
  <c r="F14" i="11" s="1"/>
  <c r="B10" i="11"/>
  <c r="F9" i="11"/>
  <c r="F10" i="11" s="1"/>
  <c r="B4" i="11" l="1"/>
  <c r="F3" i="11"/>
  <c r="F4" i="11" s="1"/>
  <c r="D7" i="8" l="1"/>
  <c r="G7" i="8" s="1"/>
  <c r="D8" i="8"/>
  <c r="D9" i="8"/>
  <c r="D3" i="8"/>
  <c r="D5" i="8"/>
  <c r="G5" i="8" s="1"/>
  <c r="D4" i="8"/>
  <c r="G4" i="8" s="1"/>
  <c r="D6" i="8"/>
  <c r="G6" i="8" s="1"/>
  <c r="G10" i="3" l="1"/>
  <c r="H10" i="3"/>
  <c r="F10" i="3"/>
  <c r="B10" i="3"/>
  <c r="E10" i="3"/>
  <c r="I10" i="3"/>
  <c r="D10" i="3"/>
  <c r="C10" i="3"/>
  <c r="G3" i="8"/>
  <c r="B10" i="8"/>
  <c r="B11" i="8" s="1"/>
</calcChain>
</file>

<file path=xl/sharedStrings.xml><?xml version="1.0" encoding="utf-8"?>
<sst xmlns="http://schemas.openxmlformats.org/spreadsheetml/2006/main" count="245" uniqueCount="218">
  <si>
    <t>课程编号</t>
  </si>
  <si>
    <t>课程名称</t>
  </si>
  <si>
    <t>数字逻辑</t>
  </si>
  <si>
    <t>课程类型</t>
  </si>
  <si>
    <t>必修课</t>
  </si>
  <si>
    <t>总学时</t>
  </si>
  <si>
    <t>讲课学时</t>
  </si>
  <si>
    <t>学分</t>
  </si>
  <si>
    <t>开课学期</t>
  </si>
  <si>
    <t>2019-2020-1</t>
  </si>
  <si>
    <t>专业</t>
  </si>
  <si>
    <t>软件工程</t>
  </si>
  <si>
    <t>学生班级</t>
  </si>
  <si>
    <t>2018级2班</t>
  </si>
  <si>
    <t>实考人数</t>
  </si>
  <si>
    <t>*</t>
  </si>
  <si>
    <t>考试时间</t>
  </si>
  <si>
    <t>任课教师</t>
  </si>
  <si>
    <t>周兵</t>
  </si>
  <si>
    <t>本次成绩构成</t>
  </si>
  <si>
    <t>总成绩</t>
  </si>
  <si>
    <t>期末卷面成绩</t>
  </si>
  <si>
    <t>平时考核成绩</t>
  </si>
  <si>
    <t>实验考核成绩</t>
  </si>
  <si>
    <t>其它考核成绩</t>
  </si>
  <si>
    <t>本次考试“课程目标”在各考核形式中权重分解</t>
  </si>
  <si>
    <t>课程目标数：</t>
  </si>
  <si>
    <t>课程目标</t>
  </si>
  <si>
    <t>卷面各大题成绩对课程目标的支撑比例</t>
  </si>
  <si>
    <t>平时成绩分解比例</t>
  </si>
  <si>
    <t>实验成绩分解比例</t>
  </si>
  <si>
    <t>其它成绩分解比例</t>
  </si>
  <si>
    <t>分数加权合计</t>
  </si>
  <si>
    <t>一</t>
  </si>
  <si>
    <t>二</t>
  </si>
  <si>
    <t>三</t>
  </si>
  <si>
    <t>四</t>
  </si>
  <si>
    <t>五</t>
  </si>
  <si>
    <t>六</t>
  </si>
  <si>
    <t>七</t>
  </si>
  <si>
    <t>八</t>
  </si>
  <si>
    <t>卷面分数合计</t>
  </si>
  <si>
    <t>课程目标1</t>
  </si>
  <si>
    <t>课程目标2</t>
  </si>
  <si>
    <t>课程目标3</t>
  </si>
  <si>
    <t>课程目标4</t>
  </si>
  <si>
    <t>合计</t>
  </si>
  <si>
    <t>各类分值</t>
  </si>
  <si>
    <t>学号</t>
  </si>
  <si>
    <t>姓名</t>
  </si>
  <si>
    <t>卷面成绩</t>
  </si>
  <si>
    <t>平时成绩</t>
  </si>
  <si>
    <t>实验成绩</t>
  </si>
  <si>
    <t>其它</t>
  </si>
  <si>
    <t>最终成绩</t>
  </si>
  <si>
    <t>201824100345</t>
  </si>
  <si>
    <t>王文博</t>
  </si>
  <si>
    <t>201824100546</t>
  </si>
  <si>
    <t>王鸿楠</t>
  </si>
  <si>
    <t>201824100524</t>
  </si>
  <si>
    <t>李世林</t>
  </si>
  <si>
    <t>201824100553</t>
  </si>
  <si>
    <t>徐冰莹</t>
  </si>
  <si>
    <t>201824100842</t>
  </si>
  <si>
    <t>王晓</t>
  </si>
  <si>
    <t>201824100155</t>
  </si>
  <si>
    <t>杨好</t>
  </si>
  <si>
    <t>201824100342</t>
  </si>
  <si>
    <t>王汝嘉</t>
  </si>
  <si>
    <t>201824100640</t>
  </si>
  <si>
    <t>王梦瑶</t>
  </si>
  <si>
    <t>201824100512</t>
  </si>
  <si>
    <t>郭晓澎</t>
  </si>
  <si>
    <t>201824100851</t>
  </si>
  <si>
    <t>杨易文</t>
  </si>
  <si>
    <t>201824100313</t>
  </si>
  <si>
    <t>费宣烨</t>
  </si>
  <si>
    <t>201824100559</t>
  </si>
  <si>
    <t>展闯</t>
  </si>
  <si>
    <t>201824100856</t>
  </si>
  <si>
    <t>张雅琪</t>
  </si>
  <si>
    <t>201824100339</t>
  </si>
  <si>
    <t>唐正强</t>
  </si>
  <si>
    <t>201824100460</t>
  </si>
  <si>
    <t>周李龙</t>
  </si>
  <si>
    <t>201824100601</t>
  </si>
  <si>
    <t>白耀庭</t>
  </si>
  <si>
    <t>201824100120</t>
  </si>
  <si>
    <t>黄增宇</t>
  </si>
  <si>
    <t>201824100805</t>
  </si>
  <si>
    <t>程可</t>
  </si>
  <si>
    <t>201824100849</t>
  </si>
  <si>
    <t>许文洲</t>
  </si>
  <si>
    <t>201824100317</t>
  </si>
  <si>
    <t>郭星男</t>
  </si>
  <si>
    <t>201824100464</t>
  </si>
  <si>
    <t>左昊广</t>
  </si>
  <si>
    <t>201824100505</t>
  </si>
  <si>
    <t>杜豫湘</t>
  </si>
  <si>
    <t>201824100116</t>
  </si>
  <si>
    <t>郝伟科</t>
  </si>
  <si>
    <t>201824100109</t>
  </si>
  <si>
    <t>成佳伟</t>
  </si>
  <si>
    <t>201824100720</t>
  </si>
  <si>
    <t>李越强</t>
  </si>
  <si>
    <t>201824100261</t>
  </si>
  <si>
    <t>张耀华</t>
  </si>
  <si>
    <t>201824100848</t>
  </si>
  <si>
    <t>徐林浩</t>
  </si>
  <si>
    <t>201824100437</t>
  </si>
  <si>
    <t>王佩瑶</t>
  </si>
  <si>
    <t>201824100740</t>
  </si>
  <si>
    <t>王祉杰</t>
  </si>
  <si>
    <t>201824100621</t>
  </si>
  <si>
    <t>刘家祥</t>
  </si>
  <si>
    <t>201832060133</t>
  </si>
  <si>
    <t>张珊瑜</t>
  </si>
  <si>
    <t>201824100416</t>
  </si>
  <si>
    <t>霍情情</t>
  </si>
  <si>
    <t>201824100632</t>
  </si>
  <si>
    <t>孙逸晨</t>
  </si>
  <si>
    <t>201824100663</t>
  </si>
  <si>
    <t>赵钰琨</t>
  </si>
  <si>
    <t>201824100127</t>
  </si>
  <si>
    <t>李林逸</t>
  </si>
  <si>
    <t>201824100228</t>
  </si>
  <si>
    <t>刘和平</t>
  </si>
  <si>
    <t>201824100611</t>
  </si>
  <si>
    <t>郭富成</t>
  </si>
  <si>
    <t>201877100406</t>
  </si>
  <si>
    <t>杜英豪</t>
  </si>
  <si>
    <t>201824100624</t>
  </si>
  <si>
    <t>刘梓孟</t>
  </si>
  <si>
    <t>201824100103</t>
  </si>
  <si>
    <t>陈博</t>
  </si>
  <si>
    <t>201824100863</t>
  </si>
  <si>
    <t>邹天佑</t>
  </si>
  <si>
    <t>201824100522</t>
  </si>
  <si>
    <t>李澳</t>
  </si>
  <si>
    <t>201824100344</t>
  </si>
  <si>
    <t>王书康</t>
  </si>
  <si>
    <t>201824100142</t>
  </si>
  <si>
    <t>史奉名</t>
  </si>
  <si>
    <t>201824100115</t>
  </si>
  <si>
    <t>管泽隆</t>
  </si>
  <si>
    <t>201824100102</t>
  </si>
  <si>
    <t>常德睿</t>
  </si>
  <si>
    <t>201824100518</t>
  </si>
  <si>
    <t>黄其滨</t>
  </si>
  <si>
    <t>201824100419</t>
  </si>
  <si>
    <t>晋佳伟</t>
  </si>
  <si>
    <t>201824100544</t>
  </si>
  <si>
    <t>王晨</t>
  </si>
  <si>
    <t>课程成绩分布</t>
  </si>
  <si>
    <t>优</t>
  </si>
  <si>
    <t>良</t>
  </si>
  <si>
    <t>中</t>
  </si>
  <si>
    <t>及格</t>
  </si>
  <si>
    <t>不及格</t>
  </si>
  <si>
    <t>学生个体课程目标得分</t>
  </si>
  <si>
    <t>总得分</t>
  </si>
  <si>
    <t>学生个体课程目标达成度</t>
  </si>
  <si>
    <t>达成度</t>
  </si>
  <si>
    <t>达成情况</t>
  </si>
  <si>
    <t>总达成度</t>
  </si>
  <si>
    <t>总达成情况</t>
  </si>
  <si>
    <t>课程目标达成度分布</t>
  </si>
  <si>
    <t>90%以上</t>
  </si>
  <si>
    <t>80%~89%</t>
  </si>
  <si>
    <t>70%~79%</t>
  </si>
  <si>
    <t>60%~69%</t>
  </si>
  <si>
    <t>60%以下</t>
  </si>
  <si>
    <t>课程总达成度</t>
  </si>
  <si>
    <t>课程目标5</t>
  </si>
  <si>
    <t>课程目标6</t>
  </si>
  <si>
    <t>课程目标7</t>
  </si>
  <si>
    <t>毕业要求达成度</t>
  </si>
  <si>
    <t>课程目标对毕业要求的支撑比例</t>
  </si>
  <si>
    <t>行向量</t>
  </si>
  <si>
    <t>EF_SP</t>
  </si>
  <si>
    <t>考试基本信息</t>
  </si>
  <si>
    <t>B4:E4</t>
  </si>
  <si>
    <t>所有考核形式（Examination form）的成绩比例（Score Proportion）</t>
  </si>
  <si>
    <t>矩阵</t>
  </si>
  <si>
    <t>CO_FESP</t>
  </si>
  <si>
    <t>B11:I17</t>
  </si>
  <si>
    <t>所有课程目标（Curriculum objectives）中,期末考试（final examination）各大题的占比，一行一个课程目标。</t>
  </si>
  <si>
    <t>CO_OSP</t>
  </si>
  <si>
    <t>K11:M17</t>
  </si>
  <si>
    <t>所有课程目标中,其它考核形式成绩占比，一行一个课程目标。</t>
  </si>
  <si>
    <t>列向量</t>
  </si>
  <si>
    <t>CO_TScore</t>
  </si>
  <si>
    <t>N11:N17</t>
  </si>
  <si>
    <t>所有课程目标的总分数</t>
  </si>
  <si>
    <t>FE_TScore</t>
  </si>
  <si>
    <t>B20:I20</t>
  </si>
  <si>
    <t>期末考试各大题总分</t>
  </si>
  <si>
    <t>标量</t>
  </si>
  <si>
    <t>NumofStudent</t>
  </si>
  <si>
    <t>课程基本信息</t>
  </si>
  <si>
    <t>F3</t>
  </si>
  <si>
    <t>学生数</t>
  </si>
  <si>
    <t>NumOfCO</t>
  </si>
  <si>
    <t>B7</t>
  </si>
  <si>
    <t>课程目标数</t>
  </si>
  <si>
    <t>全局变量说明(详见菜单“公式”下面的“命名管理器”)</t>
  </si>
  <si>
    <t>毕业要求指标点4-1</t>
    <phoneticPr fontId="17" type="noConversion"/>
  </si>
  <si>
    <t>课程目标达成情况分析</t>
    <phoneticPr fontId="17" type="noConversion"/>
  </si>
  <si>
    <t>课程目标详解</t>
    <phoneticPr fontId="17" type="noConversion"/>
  </si>
  <si>
    <t>达成情况分析、问题与改进措施</t>
    <phoneticPr fontId="17" type="noConversion"/>
  </si>
  <si>
    <t>课程目标达成情况评价表</t>
    <phoneticPr fontId="17" type="noConversion"/>
  </si>
  <si>
    <t>评价得分</t>
    <phoneticPr fontId="17" type="noConversion"/>
  </si>
  <si>
    <t>总分</t>
    <phoneticPr fontId="17" type="noConversion"/>
  </si>
  <si>
    <t>平均达成度</t>
    <phoneticPr fontId="17" type="noConversion"/>
  </si>
  <si>
    <t>最高达成度</t>
    <phoneticPr fontId="17" type="noConversion"/>
  </si>
  <si>
    <t>最低达成度</t>
    <phoneticPr fontId="17" type="noConversion"/>
  </si>
  <si>
    <t>达成情况</t>
    <phoneticPr fontId="17" type="noConversion"/>
  </si>
  <si>
    <t>总体达成情况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</si>
</sst>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[=0]g;General"/>
    <numFmt numFmtId="177" formatCode="0.00_);[Red]\(0.00\)"/>
    <numFmt numFmtId="178" formatCode="0_ "/>
    <numFmt numFmtId="179" formatCode="0.00_ "/>
    <numFmt numFmtId="180" formatCode="0.0%"/>
    <numFmt numFmtId="181" formatCode="0_);[Red]\(0\)"/>
    <numFmt numFmtId="182" formatCode="0.0_ "/>
    <numFmt numFmtId="183" formatCode="[$-F800]dddd\,\ mmmm\ dd\,\ yyyy"/>
  </numFmts>
  <fonts count="23" x14ac:knownFonts="1">
    <font>
      <sz val="12"/>
      <color indexed="8"/>
      <name val="宋体"/>
      <charset val="134"/>
    </font>
    <font>
      <sz val="12"/>
      <color indexed="8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6"/>
      <color indexed="8"/>
      <name val="宋体"/>
      <family val="3"/>
      <charset val="134"/>
    </font>
    <font>
      <b/>
      <sz val="12"/>
      <color rgb="FF000000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rgb="FF000000"/>
      <name val="宋体"/>
      <family val="3"/>
      <charset val="134"/>
    </font>
    <font>
      <sz val="16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2"/>
      <color rgb="FF0070C0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rgb="FF00000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2"/>
      <color indexed="8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6"/>
    <xf numFmtId="0" fontId="1" fillId="0" borderId="6"/>
  </cellStyleXfs>
  <cellXfs count="193"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 applyProtection="1">
      <alignment vertical="center"/>
    </xf>
    <xf numFmtId="0" fontId="0" fillId="0" borderId="0" xfId="0" applyFont="1" applyBorder="1"/>
    <xf numFmtId="0" fontId="4" fillId="0" borderId="3" xfId="0" applyFont="1" applyBorder="1" applyAlignment="1">
      <alignment horizontal="center" vertical="center" wrapText="1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5" fillId="2" borderId="4" xfId="0" applyFont="1" applyFill="1" applyBorder="1" applyAlignment="1" applyProtection="1">
      <alignment horizontal="center" wrapText="1"/>
      <protection locked="0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9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5" fillId="2" borderId="11" xfId="0" applyFont="1" applyFill="1" applyBorder="1" applyAlignment="1" applyProtection="1">
      <alignment horizontal="center" wrapText="1"/>
      <protection locked="0"/>
    </xf>
    <xf numFmtId="0" fontId="0" fillId="0" borderId="1" xfId="0" applyBorder="1"/>
    <xf numFmtId="0" fontId="0" fillId="0" borderId="1" xfId="0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180" fontId="0" fillId="0" borderId="1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81" fontId="0" fillId="0" borderId="0" xfId="0" applyNumberFormat="1" applyFont="1" applyBorder="1" applyAlignment="1">
      <alignment horizontal="center" vertical="center"/>
    </xf>
    <xf numFmtId="180" fontId="0" fillId="0" borderId="0" xfId="0" applyNumberFormat="1" applyFont="1" applyFill="1" applyBorder="1" applyAlignment="1">
      <alignment horizontal="center" vertical="center"/>
    </xf>
    <xf numFmtId="180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82" fontId="0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/>
    <xf numFmtId="0" fontId="5" fillId="0" borderId="4" xfId="0" applyFon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82" fontId="0" fillId="0" borderId="0" xfId="0" applyNumberFormat="1" applyBorder="1"/>
    <xf numFmtId="179" fontId="0" fillId="0" borderId="0" xfId="0" applyNumberFormat="1" applyBorder="1"/>
    <xf numFmtId="0" fontId="5" fillId="0" borderId="1" xfId="0" applyFont="1" applyBorder="1" applyAlignment="1">
      <alignment horizontal="center" vertical="center"/>
    </xf>
    <xf numFmtId="182" fontId="5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right"/>
    </xf>
    <xf numFmtId="0" fontId="5" fillId="0" borderId="1" xfId="0" applyFont="1" applyFill="1" applyBorder="1" applyAlignment="1">
      <alignment horizontal="center" vertical="center" wrapText="1"/>
    </xf>
    <xf numFmtId="179" fontId="0" fillId="0" borderId="1" xfId="0" applyNumberFormat="1" applyBorder="1"/>
    <xf numFmtId="179" fontId="10" fillId="0" borderId="1" xfId="0" applyNumberFormat="1" applyFont="1" applyFill="1" applyBorder="1" applyAlignment="1">
      <alignment horizontal="center" vertical="center"/>
    </xf>
    <xf numFmtId="182" fontId="5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right"/>
    </xf>
    <xf numFmtId="178" fontId="0" fillId="0" borderId="0" xfId="0" applyNumberFormat="1" applyBorder="1" applyAlignment="1">
      <alignment horizontal="center"/>
    </xf>
    <xf numFmtId="0" fontId="0" fillId="0" borderId="2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81" fontId="0" fillId="0" borderId="25" xfId="0" applyNumberFormat="1" applyFont="1" applyBorder="1" applyAlignment="1">
      <alignment horizontal="center" vertical="center"/>
    </xf>
    <xf numFmtId="181" fontId="0" fillId="0" borderId="26" xfId="0" applyNumberFormat="1" applyFont="1" applyBorder="1" applyAlignment="1">
      <alignment horizontal="center" vertical="center"/>
    </xf>
    <xf numFmtId="181" fontId="0" fillId="0" borderId="22" xfId="0" applyNumberFormat="1" applyFont="1" applyBorder="1" applyAlignment="1">
      <alignment horizontal="center" vertical="center"/>
    </xf>
    <xf numFmtId="181" fontId="0" fillId="0" borderId="23" xfId="0" applyNumberFormat="1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180" fontId="0" fillId="0" borderId="28" xfId="0" applyNumberFormat="1" applyFont="1" applyFill="1" applyBorder="1" applyAlignment="1">
      <alignment horizontal="center" vertical="center"/>
    </xf>
    <xf numFmtId="180" fontId="0" fillId="0" borderId="22" xfId="0" applyNumberFormat="1" applyFont="1" applyFill="1" applyBorder="1" applyAlignment="1">
      <alignment horizontal="center" vertical="center"/>
    </xf>
    <xf numFmtId="180" fontId="0" fillId="0" borderId="23" xfId="0" applyNumberFormat="1" applyFont="1" applyFill="1" applyBorder="1" applyAlignment="1">
      <alignment horizontal="center" vertical="center"/>
    </xf>
    <xf numFmtId="180" fontId="0" fillId="0" borderId="22" xfId="0" applyNumberFormat="1" applyFont="1" applyFill="1" applyBorder="1" applyAlignment="1">
      <alignment horizontal="center" vertical="center" wrapText="1"/>
    </xf>
    <xf numFmtId="181" fontId="0" fillId="0" borderId="0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Protection="1"/>
    <xf numFmtId="0" fontId="0" fillId="0" borderId="1" xfId="0" applyBorder="1" applyAlignment="1" applyProtection="1">
      <alignment vertical="center"/>
    </xf>
    <xf numFmtId="0" fontId="11" fillId="0" borderId="1" xfId="0" applyFont="1" applyBorder="1" applyAlignment="1" applyProtection="1">
      <alignment horizontal="center" vertical="center"/>
    </xf>
    <xf numFmtId="0" fontId="12" fillId="0" borderId="1" xfId="0" applyFont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181" fontId="1" fillId="2" borderId="1" xfId="0" applyNumberFormat="1" applyFont="1" applyFill="1" applyBorder="1" applyAlignment="1" applyProtection="1">
      <alignment horizontal="center" vertical="center"/>
      <protection locked="0"/>
    </xf>
    <xf numFmtId="181" fontId="1" fillId="2" borderId="1" xfId="0" applyNumberFormat="1" applyFont="1" applyFill="1" applyBorder="1" applyAlignment="1" applyProtection="1">
      <alignment horizontal="center"/>
      <protection locked="0"/>
    </xf>
    <xf numFmtId="181" fontId="1" fillId="2" borderId="1" xfId="0" applyNumberFormat="1" applyFont="1" applyFill="1" applyBorder="1" applyProtection="1">
      <protection locked="0"/>
    </xf>
    <xf numFmtId="0" fontId="5" fillId="0" borderId="31" xfId="0" applyFont="1" applyFill="1" applyBorder="1" applyAlignment="1" applyProtection="1">
      <alignment horizontal="center" vertical="center" wrapText="1"/>
    </xf>
    <xf numFmtId="181" fontId="9" fillId="0" borderId="1" xfId="0" applyNumberFormat="1" applyFont="1" applyBorder="1" applyAlignment="1" applyProtection="1">
      <alignment horizontal="center"/>
    </xf>
    <xf numFmtId="181" fontId="1" fillId="0" borderId="1" xfId="0" applyNumberFormat="1" applyFont="1" applyBorder="1" applyAlignment="1" applyProtection="1">
      <alignment horizontal="center" vertical="center"/>
    </xf>
    <xf numFmtId="0" fontId="0" fillId="0" borderId="0" xfId="0" applyFont="1" applyBorder="1" applyProtection="1">
      <protection locked="0"/>
    </xf>
    <xf numFmtId="0" fontId="1" fillId="2" borderId="1" xfId="0" applyNumberFormat="1" applyFont="1" applyFill="1" applyBorder="1" applyAlignment="1" applyProtection="1">
      <alignment horizontal="center" vertical="center"/>
      <protection locked="0"/>
    </xf>
    <xf numFmtId="178" fontId="1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Border="1" applyProtection="1"/>
    <xf numFmtId="49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vertical="center"/>
    </xf>
    <xf numFmtId="0" fontId="0" fillId="0" borderId="0" xfId="0" applyBorder="1" applyAlignment="1">
      <alignment horizontal="center"/>
    </xf>
    <xf numFmtId="178" fontId="0" fillId="0" borderId="0" xfId="0" applyNumberFormat="1" applyFont="1" applyBorder="1" applyAlignment="1">
      <alignment horizontal="center" vertical="center"/>
    </xf>
    <xf numFmtId="0" fontId="0" fillId="0" borderId="1" xfId="0" applyFont="1" applyBorder="1"/>
    <xf numFmtId="0" fontId="0" fillId="0" borderId="0" xfId="0" applyBorder="1" applyAlignment="1">
      <alignment wrapText="1"/>
    </xf>
    <xf numFmtId="0" fontId="0" fillId="0" borderId="0" xfId="0" applyBorder="1" applyProtection="1"/>
    <xf numFmtId="0" fontId="0" fillId="0" borderId="0" xfId="0" applyBorder="1" applyAlignment="1" applyProtection="1">
      <alignment vertical="center"/>
    </xf>
    <xf numFmtId="0" fontId="1" fillId="0" borderId="0" xfId="0" applyFont="1" applyBorder="1" applyProtection="1"/>
    <xf numFmtId="0" fontId="9" fillId="0" borderId="0" xfId="0" applyFont="1" applyBorder="1" applyAlignment="1" applyProtection="1">
      <alignment horizontal="center" vertical="center"/>
    </xf>
    <xf numFmtId="0" fontId="9" fillId="0" borderId="0" xfId="0" applyFont="1" applyBorder="1" applyProtection="1"/>
    <xf numFmtId="0" fontId="0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</xf>
    <xf numFmtId="0" fontId="9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/>
    <xf numFmtId="9" fontId="0" fillId="0" borderId="1" xfId="0" applyNumberFormat="1" applyBorder="1" applyProtection="1"/>
    <xf numFmtId="9" fontId="9" fillId="2" borderId="1" xfId="0" applyNumberFormat="1" applyFont="1" applyFill="1" applyBorder="1" applyProtection="1">
      <protection locked="0"/>
    </xf>
    <xf numFmtId="0" fontId="13" fillId="0" borderId="0" xfId="0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/>
    <xf numFmtId="9" fontId="0" fillId="0" borderId="32" xfId="0" applyNumberFormat="1" applyBorder="1" applyProtection="1"/>
    <xf numFmtId="0" fontId="0" fillId="0" borderId="32" xfId="0" applyBorder="1" applyProtection="1"/>
    <xf numFmtId="9" fontId="0" fillId="0" borderId="0" xfId="0" applyNumberFormat="1" applyBorder="1" applyProtection="1"/>
    <xf numFmtId="0" fontId="7" fillId="0" borderId="0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178" fontId="0" fillId="0" borderId="0" xfId="0" applyNumberForma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9" fillId="2" borderId="1" xfId="0" applyFont="1" applyFill="1" applyBorder="1" applyAlignment="1" applyProtection="1">
      <alignment horizontal="center"/>
      <protection locked="0"/>
    </xf>
    <xf numFmtId="9" fontId="9" fillId="2" borderId="1" xfId="0" applyNumberFormat="1" applyFont="1" applyFill="1" applyBorder="1" applyAlignment="1" applyProtection="1">
      <alignment horizontal="right" vertical="center"/>
      <protection locked="0"/>
    </xf>
    <xf numFmtId="0" fontId="0" fillId="0" borderId="1" xfId="0" applyFont="1" applyFill="1" applyBorder="1" applyAlignment="1" applyProtection="1">
      <alignment horizontal="center"/>
    </xf>
    <xf numFmtId="9" fontId="0" fillId="0" borderId="1" xfId="0" applyNumberFormat="1" applyBorder="1" applyAlignment="1" applyProtection="1">
      <alignment horizontal="right" vertical="center"/>
    </xf>
    <xf numFmtId="9" fontId="0" fillId="0" borderId="17" xfId="0" applyNumberFormat="1" applyBorder="1" applyAlignment="1" applyProtection="1">
      <alignment horizontal="right" vertical="center"/>
    </xf>
    <xf numFmtId="9" fontId="0" fillId="0" borderId="1" xfId="0" applyNumberFormat="1" applyBorder="1" applyAlignment="1" applyProtection="1">
      <alignment horizontal="right" vertical="center"/>
      <protection locked="0"/>
    </xf>
    <xf numFmtId="0" fontId="9" fillId="2" borderId="1" xfId="0" applyFont="1" applyFill="1" applyBorder="1" applyAlignment="1" applyProtection="1">
      <alignment horizontal="right" vertical="center"/>
      <protection locked="0"/>
    </xf>
    <xf numFmtId="182" fontId="0" fillId="0" borderId="1" xfId="0" applyNumberFormat="1" applyBorder="1" applyAlignment="1" applyProtection="1">
      <alignment horizontal="right" vertical="center"/>
    </xf>
    <xf numFmtId="182" fontId="0" fillId="0" borderId="1" xfId="0" applyNumberFormat="1" applyBorder="1" applyProtection="1"/>
    <xf numFmtId="0" fontId="0" fillId="0" borderId="17" xfId="0" applyFont="1" applyBorder="1" applyAlignment="1" applyProtection="1">
      <alignment horizontal="right" vertical="center"/>
    </xf>
    <xf numFmtId="178" fontId="0" fillId="0" borderId="1" xfId="0" applyNumberFormat="1" applyBorder="1" applyAlignment="1" applyProtection="1">
      <alignment horizontal="right" vertical="center"/>
    </xf>
    <xf numFmtId="0" fontId="1" fillId="0" borderId="1" xfId="0" applyFont="1" applyBorder="1" applyAlignment="1" applyProtection="1">
      <alignment horizontal="right" vertical="center"/>
    </xf>
    <xf numFmtId="0" fontId="1" fillId="0" borderId="1" xfId="0" applyFont="1" applyBorder="1" applyAlignment="1" applyProtection="1">
      <alignment horizontal="right"/>
    </xf>
    <xf numFmtId="0" fontId="5" fillId="0" borderId="0" xfId="0" applyFont="1" applyBorder="1" applyProtection="1"/>
    <xf numFmtId="0" fontId="5" fillId="0" borderId="1" xfId="0" applyFont="1" applyBorder="1" applyAlignment="1" applyProtection="1">
      <alignment horizontal="left" vertical="center"/>
    </xf>
    <xf numFmtId="0" fontId="9" fillId="2" borderId="1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 applyProtection="1">
      <alignment horizontal="left"/>
    </xf>
    <xf numFmtId="0" fontId="9" fillId="2" borderId="1" xfId="0" applyFont="1" applyFill="1" applyBorder="1" applyAlignment="1" applyProtection="1">
      <alignment horizontal="left" vertical="center"/>
      <protection locked="0"/>
    </xf>
    <xf numFmtId="0" fontId="9" fillId="2" borderId="8" xfId="0" applyFont="1" applyFill="1" applyBorder="1" applyAlignment="1" applyProtection="1">
      <alignment horizontal="left"/>
      <protection locked="0"/>
    </xf>
    <xf numFmtId="0" fontId="5" fillId="0" borderId="29" xfId="0" applyFont="1" applyBorder="1" applyAlignment="1" applyProtection="1">
      <alignment horizontal="left" vertical="center"/>
    </xf>
    <xf numFmtId="0" fontId="9" fillId="2" borderId="1" xfId="0" applyFont="1" applyFill="1" applyBorder="1" applyAlignment="1" applyProtection="1">
      <protection locked="0"/>
    </xf>
    <xf numFmtId="0" fontId="13" fillId="0" borderId="0" xfId="0" applyFont="1" applyBorder="1" applyAlignment="1" applyProtection="1">
      <protection locked="0"/>
    </xf>
    <xf numFmtId="0" fontId="15" fillId="0" borderId="29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  <protection locked="0"/>
    </xf>
    <xf numFmtId="183" fontId="9" fillId="2" borderId="1" xfId="0" applyNumberFormat="1" applyFont="1" applyFill="1" applyBorder="1" applyAlignment="1" applyProtection="1">
      <alignment horizontal="left" vertical="center"/>
      <protection locked="0"/>
    </xf>
    <xf numFmtId="183" fontId="13" fillId="0" borderId="0" xfId="0" applyNumberFormat="1" applyFont="1" applyBorder="1" applyAlignment="1" applyProtection="1">
      <alignment vertical="center"/>
      <protection locked="0"/>
    </xf>
    <xf numFmtId="0" fontId="9" fillId="2" borderId="17" xfId="0" applyFont="1" applyFill="1" applyBorder="1" applyAlignment="1" applyProtection="1">
      <alignment horizontal="left"/>
      <protection locked="0"/>
    </xf>
    <xf numFmtId="0" fontId="16" fillId="2" borderId="4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Border="1" applyAlignment="1">
      <alignment horizontal="center"/>
    </xf>
    <xf numFmtId="0" fontId="1" fillId="0" borderId="0" xfId="1" applyFont="1" applyBorder="1"/>
    <xf numFmtId="0" fontId="20" fillId="0" borderId="33" xfId="1" applyFont="1" applyBorder="1" applyAlignment="1">
      <alignment horizontal="center" vertical="center"/>
    </xf>
    <xf numFmtId="0" fontId="20" fillId="0" borderId="4" xfId="1" applyFont="1" applyBorder="1" applyAlignment="1">
      <alignment horizontal="center" vertical="center"/>
    </xf>
    <xf numFmtId="0" fontId="20" fillId="0" borderId="11" xfId="1" applyFont="1" applyBorder="1" applyAlignment="1">
      <alignment horizontal="center" vertical="center"/>
    </xf>
    <xf numFmtId="0" fontId="5" fillId="0" borderId="5" xfId="1" applyFont="1" applyFill="1" applyBorder="1" applyAlignment="1" applyProtection="1">
      <alignment horizontal="center" vertical="center" wrapText="1"/>
    </xf>
    <xf numFmtId="0" fontId="21" fillId="2" borderId="1" xfId="1" applyFont="1" applyFill="1" applyBorder="1" applyAlignment="1" applyProtection="1">
      <alignment horizontal="left" vertical="center" wrapText="1"/>
      <protection locked="0"/>
    </xf>
    <xf numFmtId="0" fontId="21" fillId="2" borderId="12" xfId="1" applyFont="1" applyFill="1" applyBorder="1" applyAlignment="1" applyProtection="1">
      <alignment horizontal="left" vertical="center" wrapText="1"/>
      <protection locked="0"/>
    </xf>
    <xf numFmtId="0" fontId="22" fillId="2" borderId="1" xfId="1" applyFont="1" applyFill="1" applyBorder="1" applyAlignment="1" applyProtection="1">
      <alignment horizontal="left" vertical="center" wrapText="1"/>
      <protection locked="0"/>
    </xf>
    <xf numFmtId="0" fontId="0" fillId="0" borderId="3" xfId="0" applyFont="1" applyBorder="1" applyProtection="1"/>
    <xf numFmtId="0" fontId="5" fillId="0" borderId="4" xfId="0" applyFont="1" applyBorder="1" applyAlignment="1" applyProtection="1">
      <alignment horizontal="center"/>
    </xf>
    <xf numFmtId="0" fontId="5" fillId="0" borderId="11" xfId="0" applyFont="1" applyBorder="1" applyAlignment="1" applyProtection="1">
      <alignment horizontal="center" vertical="center"/>
    </xf>
    <xf numFmtId="0" fontId="0" fillId="0" borderId="5" xfId="0" applyNumberFormat="1" applyFont="1" applyBorder="1" applyAlignment="1" applyProtection="1">
      <alignment horizontal="center"/>
    </xf>
    <xf numFmtId="182" fontId="0" fillId="0" borderId="1" xfId="0" applyNumberFormat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179" fontId="0" fillId="0" borderId="1" xfId="0" applyNumberFormat="1" applyBorder="1" applyAlignment="1" applyProtection="1">
      <alignment horizontal="center"/>
    </xf>
    <xf numFmtId="179" fontId="5" fillId="0" borderId="12" xfId="0" applyNumberFormat="1" applyFont="1" applyBorder="1" applyAlignment="1" applyProtection="1">
      <alignment horizontal="center"/>
    </xf>
    <xf numFmtId="0" fontId="0" fillId="0" borderId="14" xfId="0" applyNumberFormat="1" applyFont="1" applyBorder="1" applyAlignment="1" applyProtection="1">
      <alignment horizontal="center"/>
    </xf>
    <xf numFmtId="179" fontId="0" fillId="0" borderId="18" xfId="0" applyNumberFormat="1" applyBorder="1" applyAlignment="1">
      <alignment horizontal="center"/>
    </xf>
    <xf numFmtId="179" fontId="5" fillId="0" borderId="15" xfId="0" applyNumberFormat="1" applyFont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179" fontId="9" fillId="0" borderId="0" xfId="0" applyNumberFormat="1" applyFont="1" applyBorder="1" applyAlignment="1" applyProtection="1">
      <alignment horizontal="center"/>
    </xf>
    <xf numFmtId="179" fontId="0" fillId="0" borderId="0" xfId="0" applyNumberFormat="1" applyFont="1" applyBorder="1" applyAlignment="1" applyProtection="1">
      <alignment horizontal="center"/>
    </xf>
    <xf numFmtId="182" fontId="0" fillId="0" borderId="18" xfId="0" applyNumberFormat="1" applyBorder="1" applyAlignment="1" applyProtection="1">
      <alignment horizontal="center"/>
    </xf>
    <xf numFmtId="0" fontId="0" fillId="0" borderId="18" xfId="0" applyBorder="1" applyAlignment="1" applyProtection="1">
      <alignment horizontal="center"/>
    </xf>
    <xf numFmtId="179" fontId="0" fillId="0" borderId="18" xfId="0" applyNumberFormat="1" applyBorder="1" applyAlignment="1" applyProtection="1">
      <alignment horizontal="center"/>
    </xf>
    <xf numFmtId="9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9" fontId="1" fillId="2" borderId="1" xfId="0" applyNumberFormat="1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0" fontId="1" fillId="2" borderId="12" xfId="0" applyFont="1" applyFill="1" applyBorder="1" applyAlignment="1" applyProtection="1">
      <alignment horizontal="center"/>
      <protection locked="0"/>
    </xf>
    <xf numFmtId="9" fontId="1" fillId="2" borderId="8" xfId="0" applyNumberFormat="1" applyFont="1" applyFill="1" applyBorder="1" applyAlignment="1" applyProtection="1">
      <alignment horizontal="center"/>
      <protection locked="0"/>
    </xf>
    <xf numFmtId="0" fontId="1" fillId="2" borderId="8" xfId="0" applyFont="1" applyFill="1" applyBorder="1" applyAlignment="1" applyProtection="1">
      <alignment horizontal="center"/>
      <protection locked="0"/>
    </xf>
    <xf numFmtId="0" fontId="1" fillId="2" borderId="13" xfId="0" applyFont="1" applyFill="1" applyBorder="1" applyAlignment="1" applyProtection="1">
      <alignment horizontal="center"/>
      <protection locked="0"/>
    </xf>
    <xf numFmtId="177" fontId="1" fillId="0" borderId="10" xfId="0" applyNumberFormat="1" applyFont="1" applyBorder="1" applyAlignment="1">
      <alignment horizontal="center" vertical="center"/>
    </xf>
    <xf numFmtId="0" fontId="18" fillId="2" borderId="0" xfId="0" applyNumberFormat="1" applyFont="1" applyFill="1" applyBorder="1" applyAlignment="1" applyProtection="1"/>
    <xf numFmtId="181" fontId="0" fillId="2" borderId="1" xfId="0" applyNumberFormat="1" applyFill="1" applyBorder="1"/>
    <xf numFmtId="0" fontId="18" fillId="2" borderId="0" xfId="0" quotePrefix="1" applyNumberFormat="1" applyFont="1" applyFill="1" applyBorder="1" applyAlignment="1" applyProtection="1"/>
    <xf numFmtId="0" fontId="19" fillId="2" borderId="0" xfId="0" applyNumberFormat="1" applyFont="1" applyFill="1" applyBorder="1" applyAlignment="1" applyProtection="1"/>
    <xf numFmtId="0" fontId="7" fillId="0" borderId="16" xfId="0" applyFont="1" applyFill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vertical="center"/>
    </xf>
    <xf numFmtId="0" fontId="7" fillId="0" borderId="0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5" fillId="0" borderId="8" xfId="0" applyFont="1" applyFill="1" applyBorder="1" applyAlignment="1" applyProtection="1">
      <alignment horizontal="center" vertical="center" wrapText="1"/>
    </xf>
    <xf numFmtId="0" fontId="5" fillId="0" borderId="17" xfId="0" applyFont="1" applyFill="1" applyBorder="1" applyAlignment="1" applyProtection="1">
      <alignment horizontal="center" vertical="center" wrapText="1"/>
    </xf>
    <xf numFmtId="0" fontId="5" fillId="0" borderId="29" xfId="0" applyFont="1" applyFill="1" applyBorder="1" applyAlignment="1" applyProtection="1">
      <alignment horizontal="center" vertical="center" wrapText="1"/>
    </xf>
    <xf numFmtId="0" fontId="5" fillId="0" borderId="30" xfId="0" applyFont="1" applyFill="1" applyBorder="1" applyAlignment="1" applyProtection="1">
      <alignment horizontal="center" vertical="center" wrapText="1"/>
    </xf>
    <xf numFmtId="0" fontId="5" fillId="0" borderId="25" xfId="0" applyFont="1" applyFill="1" applyBorder="1" applyAlignment="1" applyProtection="1">
      <alignment horizontal="center" vertical="center" wrapText="1"/>
    </xf>
    <xf numFmtId="0" fontId="5" fillId="0" borderId="8" xfId="0" applyFont="1" applyBorder="1" applyAlignment="1" applyProtection="1">
      <alignment horizontal="center" vertical="center"/>
    </xf>
    <xf numFmtId="0" fontId="5" fillId="0" borderId="17" xfId="0" applyFont="1" applyBorder="1" applyAlignment="1" applyProtection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</xf>
    <xf numFmtId="0" fontId="7" fillId="0" borderId="16" xfId="0" applyFont="1" applyBorder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5" fillId="0" borderId="8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/>
    </xf>
    <xf numFmtId="0" fontId="21" fillId="2" borderId="34" xfId="1" applyFont="1" applyFill="1" applyBorder="1" applyAlignment="1" applyProtection="1">
      <alignment horizontal="left" vertical="center" wrapText="1"/>
      <protection locked="0"/>
    </xf>
    <xf numFmtId="0" fontId="21" fillId="2" borderId="35" xfId="1" applyFont="1" applyFill="1" applyBorder="1" applyAlignment="1" applyProtection="1">
      <alignment horizontal="left" vertical="center" wrapText="1"/>
      <protection locked="0"/>
    </xf>
    <xf numFmtId="0" fontId="3" fillId="0" borderId="2" xfId="0" applyFont="1" applyBorder="1" applyAlignment="1">
      <alignment horizontal="center"/>
    </xf>
  </cellXfs>
  <cellStyles count="2">
    <cellStyle name="常规" xfId="0" builtinId="0"/>
    <cellStyle name="常规 2" xfId="1" xr:uid="{36EB82C0-0856-4D34-8334-92B8FA4C72E6}"/>
  </cellStyles>
  <dxfs count="10"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课程成绩课程分布图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成绩分布!$C$2:$G$2</c:f>
              <c:strCache>
                <c:ptCount val="5"/>
                <c:pt idx="0">
                  <c:v>优</c:v>
                </c:pt>
                <c:pt idx="1">
                  <c:v>良</c:v>
                </c:pt>
                <c:pt idx="2">
                  <c:v>中</c:v>
                </c:pt>
                <c:pt idx="3">
                  <c:v>及格</c:v>
                </c:pt>
                <c:pt idx="4">
                  <c:v>不及格</c:v>
                </c:pt>
              </c:strCache>
            </c:strRef>
          </c:cat>
          <c:val>
            <c:numRef>
              <c:f>成绩分布!$C$4:$G$4</c:f>
              <c:numCache>
                <c:formatCode>0.0%</c:formatCode>
                <c:ptCount val="5"/>
                <c:pt idx="0">
                  <c:v>0.10204081632653061</c:v>
                </c:pt>
                <c:pt idx="1">
                  <c:v>0.2857142857142857</c:v>
                </c:pt>
                <c:pt idx="2">
                  <c:v>0.34693877551020408</c:v>
                </c:pt>
                <c:pt idx="3">
                  <c:v>0.14285714285714285</c:v>
                </c:pt>
                <c:pt idx="4">
                  <c:v>0.12244897959183673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C-459B-A4C5-266B407ED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888080"/>
        <c:axId val="1098894064"/>
      </c:barChart>
      <c:catAx>
        <c:axId val="109888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098894064"/>
        <c:crosses val="autoZero"/>
        <c:auto val="1"/>
        <c:lblAlgn val="ctr"/>
        <c:lblOffset val="100"/>
        <c:tickLblSkip val="1"/>
        <c:noMultiLvlLbl val="0"/>
      </c:catAx>
      <c:valAx>
        <c:axId val="109889406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098888080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课程目标总达成度分布图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课程目标达成度分布!$B$4:$F$4</c:f>
              <c:numCache>
                <c:formatCode>0.0%</c:formatCode>
                <c:ptCount val="5"/>
                <c:pt idx="0">
                  <c:v>0.10204081632653061</c:v>
                </c:pt>
                <c:pt idx="1">
                  <c:v>0.2857142857142857</c:v>
                </c:pt>
                <c:pt idx="2">
                  <c:v>0.34693877551020408</c:v>
                </c:pt>
                <c:pt idx="3">
                  <c:v>0.14285714285714285</c:v>
                </c:pt>
                <c:pt idx="4">
                  <c:v>0.12244897959183673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0-4970-BF2C-CB6B84D14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883184"/>
        <c:axId val="1098884816"/>
      </c:barChart>
      <c:catAx>
        <c:axId val="109888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098884816"/>
        <c:crosses val="autoZero"/>
        <c:auto val="1"/>
        <c:lblAlgn val="ctr"/>
        <c:lblOffset val="100"/>
        <c:tickLblSkip val="1"/>
        <c:noMultiLvlLbl val="0"/>
      </c:catAx>
      <c:valAx>
        <c:axId val="109888481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098883184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1 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课程目标达成度分布!$B$6:$F$6</c:f>
              <c:numCache>
                <c:formatCode>0.0%</c:formatCode>
                <c:ptCount val="5"/>
                <c:pt idx="0">
                  <c:v>0.10204081632653061</c:v>
                </c:pt>
                <c:pt idx="1">
                  <c:v>0.2857142857142857</c:v>
                </c:pt>
                <c:pt idx="2">
                  <c:v>0.34693877551020408</c:v>
                </c:pt>
                <c:pt idx="3">
                  <c:v>0.14285714285714285</c:v>
                </c:pt>
                <c:pt idx="4">
                  <c:v>0.12244897959183673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D-489D-9EF4-1017F9264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985664"/>
        <c:axId val="1102986752"/>
      </c:barChart>
      <c:catAx>
        <c:axId val="110298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02986752"/>
        <c:crosses val="autoZero"/>
        <c:auto val="1"/>
        <c:lblAlgn val="ctr"/>
        <c:lblOffset val="100"/>
        <c:tickLblSkip val="1"/>
        <c:noMultiLvlLbl val="0"/>
      </c:catAx>
      <c:valAx>
        <c:axId val="110298675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02985664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2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课程目标达成度分布!$B$8:$F$8</c:f>
              <c:numCache>
                <c:formatCode>0.0%</c:formatCode>
                <c:ptCount val="5"/>
                <c:pt idx="0">
                  <c:v>0.22448979591836735</c:v>
                </c:pt>
                <c:pt idx="1">
                  <c:v>0.42857142857142855</c:v>
                </c:pt>
                <c:pt idx="2">
                  <c:v>0.26530612244897961</c:v>
                </c:pt>
                <c:pt idx="3">
                  <c:v>8.1632653061224483E-2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E-44D0-B5DB-8008590CE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055216"/>
        <c:axId val="1103395232"/>
      </c:barChart>
      <c:catAx>
        <c:axId val="109805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03395232"/>
        <c:crosses val="autoZero"/>
        <c:auto val="1"/>
        <c:lblAlgn val="ctr"/>
        <c:lblOffset val="100"/>
        <c:tickLblSkip val="1"/>
        <c:noMultiLvlLbl val="0"/>
      </c:catAx>
      <c:valAx>
        <c:axId val="110339523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098055216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3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课程目标达成度分布!$B$10:$F$10</c:f>
              <c:numCache>
                <c:formatCode>0.0%</c:formatCode>
                <c:ptCount val="5"/>
                <c:pt idx="0">
                  <c:v>0.10204081632653061</c:v>
                </c:pt>
                <c:pt idx="1">
                  <c:v>0.2857142857142857</c:v>
                </c:pt>
                <c:pt idx="2">
                  <c:v>0.34693877551020408</c:v>
                </c:pt>
                <c:pt idx="3">
                  <c:v>0.14285714285714285</c:v>
                </c:pt>
                <c:pt idx="4">
                  <c:v>0.12244897959183673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D-4222-8989-52D31A070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961136"/>
        <c:axId val="1098956784"/>
      </c:barChart>
      <c:catAx>
        <c:axId val="109896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098956784"/>
        <c:crosses val="autoZero"/>
        <c:auto val="1"/>
        <c:lblAlgn val="ctr"/>
        <c:lblOffset val="100"/>
        <c:tickLblSkip val="1"/>
        <c:noMultiLvlLbl val="0"/>
      </c:catAx>
      <c:valAx>
        <c:axId val="109895678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098961136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4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课程目标达成度分布!$B$12:$F$12</c:f>
              <c:numCache>
                <c:formatCode>0.0%</c:formatCode>
                <c:ptCount val="5"/>
                <c:pt idx="0">
                  <c:v>8.1632653061224483E-2</c:v>
                </c:pt>
                <c:pt idx="1">
                  <c:v>0.16326530612244897</c:v>
                </c:pt>
                <c:pt idx="2">
                  <c:v>0.32653061224489793</c:v>
                </c:pt>
                <c:pt idx="3">
                  <c:v>0.22448979591836735</c:v>
                </c:pt>
                <c:pt idx="4">
                  <c:v>0.20408163265306123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B-45BF-A2E8-C87DE5FD5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958960"/>
        <c:axId val="1098949168"/>
      </c:barChart>
      <c:catAx>
        <c:axId val="10989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098949168"/>
        <c:crosses val="autoZero"/>
        <c:auto val="1"/>
        <c:lblAlgn val="ctr"/>
        <c:lblOffset val="100"/>
        <c:tickLblSkip val="1"/>
        <c:noMultiLvlLbl val="0"/>
      </c:catAx>
      <c:valAx>
        <c:axId val="109894916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098958960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5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课程目标达成度分布!$B$14:$F$14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C-46A4-97F9-BF3EE4F57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959504"/>
        <c:axId val="1098948624"/>
      </c:barChart>
      <c:catAx>
        <c:axId val="109895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098948624"/>
        <c:crosses val="autoZero"/>
        <c:auto val="1"/>
        <c:lblAlgn val="ctr"/>
        <c:lblOffset val="100"/>
        <c:tickLblSkip val="1"/>
        <c:noMultiLvlLbl val="0"/>
      </c:catAx>
      <c:valAx>
        <c:axId val="109894862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098959504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6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课程目标达成度分布!$B$16:$F$16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3-4A88-A935-3A09E351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960592"/>
        <c:axId val="1098950256"/>
      </c:barChart>
      <c:catAx>
        <c:axId val="10989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098950256"/>
        <c:crosses val="autoZero"/>
        <c:auto val="1"/>
        <c:lblAlgn val="ctr"/>
        <c:lblOffset val="100"/>
        <c:tickLblSkip val="1"/>
        <c:noMultiLvlLbl val="0"/>
      </c:catAx>
      <c:valAx>
        <c:axId val="109895025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098960592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7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课程目标达成度分布!$B$18:$F$18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5-4E1E-BBCB-E899A548E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956240"/>
        <c:axId val="1098952432"/>
      </c:barChart>
      <c:catAx>
        <c:axId val="109895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098952432"/>
        <c:crosses val="autoZero"/>
        <c:auto val="1"/>
        <c:lblAlgn val="ctr"/>
        <c:lblOffset val="100"/>
        <c:tickLblSkip val="1"/>
        <c:noMultiLvlLbl val="0"/>
      </c:catAx>
      <c:valAx>
        <c:axId val="109895243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098956240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198120</xdr:rowOff>
    </xdr:from>
    <xdr:to>
      <xdr:col>7</xdr:col>
      <xdr:colOff>22860</xdr:colOff>
      <xdr:row>19</xdr:row>
      <xdr:rowOff>0</xdr:rowOff>
    </xdr:to>
    <xdr:graphicFrame macro="">
      <xdr:nvGraphicFramePr>
        <xdr:cNvPr id="1293" name="图表 7">
          <a:extLst>
            <a:ext uri="{FF2B5EF4-FFF2-40B4-BE49-F238E27FC236}">
              <a16:creationId xmlns:a16="http://schemas.microsoft.com/office/drawing/2014/main" id="{00000000-0008-0000-0300-00000D05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19</xdr:row>
      <xdr:rowOff>7620</xdr:rowOff>
    </xdr:from>
    <xdr:to>
      <xdr:col>4</xdr:col>
      <xdr:colOff>952500</xdr:colOff>
      <xdr:row>30</xdr:row>
      <xdr:rowOff>175260</xdr:rowOff>
    </xdr:to>
    <xdr:graphicFrame macro="">
      <xdr:nvGraphicFramePr>
        <xdr:cNvPr id="36678" name="图表 7">
          <a:extLst>
            <a:ext uri="{FF2B5EF4-FFF2-40B4-BE49-F238E27FC236}">
              <a16:creationId xmlns:a16="http://schemas.microsoft.com/office/drawing/2014/main" id="{00000000-0008-0000-0700-000046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</xdr:colOff>
      <xdr:row>32</xdr:row>
      <xdr:rowOff>15240</xdr:rowOff>
    </xdr:from>
    <xdr:to>
      <xdr:col>5</xdr:col>
      <xdr:colOff>0</xdr:colOff>
      <xdr:row>43</xdr:row>
      <xdr:rowOff>137160</xdr:rowOff>
    </xdr:to>
    <xdr:graphicFrame macro="">
      <xdr:nvGraphicFramePr>
        <xdr:cNvPr id="36679" name="图表 7">
          <a:extLst>
            <a:ext uri="{FF2B5EF4-FFF2-40B4-BE49-F238E27FC236}">
              <a16:creationId xmlns:a16="http://schemas.microsoft.com/office/drawing/2014/main" id="{00000000-0008-0000-0700-000047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44</xdr:row>
      <xdr:rowOff>190500</xdr:rowOff>
    </xdr:from>
    <xdr:to>
      <xdr:col>5</xdr:col>
      <xdr:colOff>7620</xdr:colOff>
      <xdr:row>56</xdr:row>
      <xdr:rowOff>137160</xdr:rowOff>
    </xdr:to>
    <xdr:graphicFrame macro="">
      <xdr:nvGraphicFramePr>
        <xdr:cNvPr id="36680" name="图表 7">
          <a:extLst>
            <a:ext uri="{FF2B5EF4-FFF2-40B4-BE49-F238E27FC236}">
              <a16:creationId xmlns:a16="http://schemas.microsoft.com/office/drawing/2014/main" id="{00000000-0008-0000-0700-000048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</xdr:colOff>
      <xdr:row>58</xdr:row>
      <xdr:rowOff>22860</xdr:rowOff>
    </xdr:from>
    <xdr:to>
      <xdr:col>5</xdr:col>
      <xdr:colOff>0</xdr:colOff>
      <xdr:row>69</xdr:row>
      <xdr:rowOff>167640</xdr:rowOff>
    </xdr:to>
    <xdr:graphicFrame macro="">
      <xdr:nvGraphicFramePr>
        <xdr:cNvPr id="36681" name="图表 7">
          <a:extLst>
            <a:ext uri="{FF2B5EF4-FFF2-40B4-BE49-F238E27FC236}">
              <a16:creationId xmlns:a16="http://schemas.microsoft.com/office/drawing/2014/main" id="{00000000-0008-0000-0700-000049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</xdr:colOff>
      <xdr:row>71</xdr:row>
      <xdr:rowOff>22860</xdr:rowOff>
    </xdr:from>
    <xdr:to>
      <xdr:col>5</xdr:col>
      <xdr:colOff>0</xdr:colOff>
      <xdr:row>82</xdr:row>
      <xdr:rowOff>167640</xdr:rowOff>
    </xdr:to>
    <xdr:graphicFrame macro="">
      <xdr:nvGraphicFramePr>
        <xdr:cNvPr id="36682" name="图表 7">
          <a:extLst>
            <a:ext uri="{FF2B5EF4-FFF2-40B4-BE49-F238E27FC236}">
              <a16:creationId xmlns:a16="http://schemas.microsoft.com/office/drawing/2014/main" id="{00000000-0008-0000-0700-00004A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</xdr:colOff>
      <xdr:row>84</xdr:row>
      <xdr:rowOff>15240</xdr:rowOff>
    </xdr:from>
    <xdr:to>
      <xdr:col>5</xdr:col>
      <xdr:colOff>0</xdr:colOff>
      <xdr:row>95</xdr:row>
      <xdr:rowOff>160020</xdr:rowOff>
    </xdr:to>
    <xdr:graphicFrame macro="">
      <xdr:nvGraphicFramePr>
        <xdr:cNvPr id="36683" name="图表 7">
          <a:extLst>
            <a:ext uri="{FF2B5EF4-FFF2-40B4-BE49-F238E27FC236}">
              <a16:creationId xmlns:a16="http://schemas.microsoft.com/office/drawing/2014/main" id="{00000000-0008-0000-0700-00004B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22860</xdr:colOff>
      <xdr:row>97</xdr:row>
      <xdr:rowOff>15240</xdr:rowOff>
    </xdr:from>
    <xdr:to>
      <xdr:col>5</xdr:col>
      <xdr:colOff>0</xdr:colOff>
      <xdr:row>108</xdr:row>
      <xdr:rowOff>160020</xdr:rowOff>
    </xdr:to>
    <xdr:graphicFrame macro="">
      <xdr:nvGraphicFramePr>
        <xdr:cNvPr id="36684" name="图表 7">
          <a:extLst>
            <a:ext uri="{FF2B5EF4-FFF2-40B4-BE49-F238E27FC236}">
              <a16:creationId xmlns:a16="http://schemas.microsoft.com/office/drawing/2014/main" id="{00000000-0008-0000-0700-00004C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110</xdr:row>
      <xdr:rowOff>7620</xdr:rowOff>
    </xdr:from>
    <xdr:to>
      <xdr:col>4</xdr:col>
      <xdr:colOff>944880</xdr:colOff>
      <xdr:row>121</xdr:row>
      <xdr:rowOff>152400</xdr:rowOff>
    </xdr:to>
    <xdr:graphicFrame macro="">
      <xdr:nvGraphicFramePr>
        <xdr:cNvPr id="36685" name="图表 8">
          <a:extLst>
            <a:ext uri="{FF2B5EF4-FFF2-40B4-BE49-F238E27FC236}">
              <a16:creationId xmlns:a16="http://schemas.microsoft.com/office/drawing/2014/main" id="{00000000-0008-0000-0700-00004D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449;&#24037;&#23398;&#38498;/&#19987;&#19994;+&#23398;&#31185;/&#36719;&#20214;&#24037;&#31243;&#19987;&#19994;/&#35780;&#20215;-&#35838;&#31243;&#30446;&#26631;&#35780;&#20215;/&#26679;&#34920;-&#23398;&#24180;-&#23398;&#24180;-&#23398;&#26399;-&#24180;&#32423;-&#29677;-&#35838;&#31243;&#21517;-&#35838;&#31243;&#30446;&#26631;&#36798;&#25104;&#35780;&#20215;&#34920;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课程基本信息"/>
      <sheetName val="考试基本信息"/>
      <sheetName val="成绩"/>
      <sheetName val="成绩分布"/>
      <sheetName val="课程目标得分"/>
      <sheetName val="个体课程目标达成度"/>
      <sheetName val="总体课程目标达成度"/>
      <sheetName val="课程目标达成度分布"/>
      <sheetName val="课程目标达成分析"/>
      <sheetName val="毕业要求达成度"/>
      <sheetName val="表说明"/>
    </sheetNames>
    <sheetDataSet>
      <sheetData sheetId="0">
        <row r="10">
          <cell r="B10">
            <v>34</v>
          </cell>
        </row>
      </sheetData>
      <sheetData sheetId="1">
        <row r="4">
          <cell r="B4">
            <v>1</v>
          </cell>
          <cell r="E4">
            <v>0</v>
          </cell>
        </row>
        <row r="8">
          <cell r="B8">
            <v>5</v>
          </cell>
        </row>
        <row r="11">
          <cell r="B11">
            <v>0.3</v>
          </cell>
          <cell r="C11">
            <v>0.3</v>
          </cell>
          <cell r="D11">
            <v>0.2</v>
          </cell>
          <cell r="E11">
            <v>0.2</v>
          </cell>
          <cell r="F11">
            <v>0.4</v>
          </cell>
          <cell r="N11">
            <v>28</v>
          </cell>
        </row>
        <row r="12">
          <cell r="B12">
            <v>0.2</v>
          </cell>
          <cell r="C12">
            <v>0.2</v>
          </cell>
          <cell r="D12">
            <v>0.3</v>
          </cell>
          <cell r="E12">
            <v>0.2</v>
          </cell>
          <cell r="F12">
            <v>0.2</v>
          </cell>
          <cell r="N12">
            <v>21.5</v>
          </cell>
        </row>
        <row r="13">
          <cell r="B13">
            <v>0.2</v>
          </cell>
          <cell r="C13">
            <v>0.3</v>
          </cell>
          <cell r="D13">
            <v>0.2</v>
          </cell>
          <cell r="E13">
            <v>0.2</v>
          </cell>
          <cell r="F13">
            <v>0.2</v>
          </cell>
          <cell r="N13">
            <v>22</v>
          </cell>
        </row>
        <row r="14">
          <cell r="B14">
            <v>0.2</v>
          </cell>
          <cell r="C14">
            <v>0.2</v>
          </cell>
          <cell r="D14">
            <v>0.2</v>
          </cell>
          <cell r="E14">
            <v>0.2</v>
          </cell>
          <cell r="F14">
            <v>0.1</v>
          </cell>
          <cell r="N14">
            <v>18.5</v>
          </cell>
        </row>
        <row r="15">
          <cell r="B15">
            <v>0.1</v>
          </cell>
          <cell r="C15">
            <v>0.1</v>
          </cell>
          <cell r="D15">
            <v>0.1</v>
          </cell>
          <cell r="E15">
            <v>0.2</v>
          </cell>
          <cell r="F15">
            <v>0.1</v>
          </cell>
          <cell r="N15">
            <v>12</v>
          </cell>
        </row>
        <row r="16">
          <cell r="N16">
            <v>0</v>
          </cell>
        </row>
        <row r="17">
          <cell r="N17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2"/>
  <sheetViews>
    <sheetView workbookViewId="0">
      <selection activeCell="B10" sqref="B10"/>
    </sheetView>
  </sheetViews>
  <sheetFormatPr defaultColWidth="9" defaultRowHeight="15" x14ac:dyDescent="0.25"/>
  <cols>
    <col min="1" max="1" width="15.58203125" customWidth="1"/>
    <col min="2" max="2" width="20.58203125" customWidth="1"/>
  </cols>
  <sheetData>
    <row r="1" spans="1:4" x14ac:dyDescent="0.25">
      <c r="A1" s="114" t="s">
        <v>0</v>
      </c>
      <c r="B1" s="115">
        <v>243612</v>
      </c>
    </row>
    <row r="2" spans="1:4" x14ac:dyDescent="0.25">
      <c r="A2" s="116" t="s">
        <v>1</v>
      </c>
      <c r="B2" s="115" t="s">
        <v>2</v>
      </c>
    </row>
    <row r="3" spans="1:4" x14ac:dyDescent="0.25">
      <c r="A3" s="116" t="s">
        <v>3</v>
      </c>
      <c r="B3" s="115" t="s">
        <v>4</v>
      </c>
    </row>
    <row r="4" spans="1:4" x14ac:dyDescent="0.25">
      <c r="A4" s="114" t="s">
        <v>5</v>
      </c>
      <c r="B4" s="117">
        <v>34</v>
      </c>
    </row>
    <row r="5" spans="1:4" x14ac:dyDescent="0.25">
      <c r="A5" s="116" t="s">
        <v>6</v>
      </c>
      <c r="B5" s="115">
        <v>34</v>
      </c>
    </row>
    <row r="6" spans="1:4" x14ac:dyDescent="0.25">
      <c r="A6" s="116" t="s">
        <v>7</v>
      </c>
      <c r="B6" s="115">
        <v>2</v>
      </c>
    </row>
    <row r="7" spans="1:4" x14ac:dyDescent="0.25">
      <c r="A7" s="116" t="s">
        <v>8</v>
      </c>
      <c r="B7" s="118" t="s">
        <v>9</v>
      </c>
    </row>
    <row r="8" spans="1:4" x14ac:dyDescent="0.25">
      <c r="A8" s="119" t="s">
        <v>10</v>
      </c>
      <c r="B8" s="120" t="s">
        <v>11</v>
      </c>
      <c r="C8" s="121"/>
      <c r="D8" s="121"/>
    </row>
    <row r="9" spans="1:4" x14ac:dyDescent="0.25">
      <c r="A9" s="119" t="s">
        <v>12</v>
      </c>
      <c r="B9" s="120" t="s">
        <v>13</v>
      </c>
      <c r="C9" s="121"/>
      <c r="D9" s="121"/>
    </row>
    <row r="10" spans="1:4" x14ac:dyDescent="0.25">
      <c r="A10" s="122" t="s">
        <v>14</v>
      </c>
      <c r="B10" s="117">
        <v>49</v>
      </c>
      <c r="C10" s="123" t="s">
        <v>15</v>
      </c>
      <c r="D10" s="123"/>
    </row>
    <row r="11" spans="1:4" x14ac:dyDescent="0.25">
      <c r="A11" s="114" t="s">
        <v>16</v>
      </c>
      <c r="B11" s="124">
        <v>43472</v>
      </c>
      <c r="C11" s="125"/>
      <c r="D11" s="125"/>
    </row>
    <row r="12" spans="1:4" x14ac:dyDescent="0.25">
      <c r="A12" s="116" t="s">
        <v>17</v>
      </c>
      <c r="B12" s="126" t="s">
        <v>18</v>
      </c>
    </row>
  </sheetData>
  <sheetProtection sheet="1" objects="1" scenarios="1"/>
  <phoneticPr fontId="17" type="noConversion"/>
  <dataValidations count="1">
    <dataValidation type="whole" allowBlank="1" showInputMessage="1" showErrorMessage="1" error="一个小班人数的范围是20~60人" promptTitle="实际考试人数" prompt="实际考试人数，不包括缺考人数。" sqref="B10" xr:uid="{00000000-0002-0000-0000-000000000000}">
      <formula1>20</formula1>
      <formula2>60</formula2>
    </dataValidation>
  </dataValidations>
  <pageMargins left="0.7" right="0.7" top="0.75" bottom="0.75" header="0.3" footer="0.3"/>
  <headerFooter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I14"/>
  <sheetViews>
    <sheetView tabSelected="1" zoomScaleNormal="100" workbookViewId="0">
      <selection activeCell="M13" sqref="M13:M14"/>
    </sheetView>
  </sheetViews>
  <sheetFormatPr defaultColWidth="8.75" defaultRowHeight="15" x14ac:dyDescent="0.25"/>
  <cols>
    <col min="1" max="1" width="14.75" style="4" customWidth="1"/>
    <col min="2" max="9" width="8.25" style="4" customWidth="1"/>
    <col min="10" max="16384" width="8.75" style="4"/>
  </cols>
  <sheetData>
    <row r="1" spans="1:9" ht="21" x14ac:dyDescent="0.4">
      <c r="A1" s="192" t="s">
        <v>176</v>
      </c>
      <c r="B1" s="192"/>
      <c r="C1" s="192"/>
      <c r="D1" s="192"/>
      <c r="E1" s="192"/>
      <c r="F1" s="192"/>
      <c r="G1" s="192"/>
      <c r="H1" s="192"/>
      <c r="I1" s="192"/>
    </row>
    <row r="2" spans="1:9" ht="45" x14ac:dyDescent="0.25">
      <c r="A2" s="5" t="s">
        <v>177</v>
      </c>
      <c r="B2" s="127" t="s">
        <v>206</v>
      </c>
      <c r="C2" s="6"/>
      <c r="D2" s="6"/>
      <c r="E2" s="6"/>
      <c r="F2" s="6"/>
      <c r="G2" s="7"/>
      <c r="H2" s="7"/>
      <c r="I2" s="12"/>
    </row>
    <row r="3" spans="1:9" x14ac:dyDescent="0.25">
      <c r="A3" s="8" t="str">
        <f>T(考试基本信息!A11)</f>
        <v>课程目标1</v>
      </c>
      <c r="B3" s="154">
        <v>0.2</v>
      </c>
      <c r="C3" s="154"/>
      <c r="D3" s="154"/>
      <c r="E3" s="155"/>
      <c r="F3" s="155"/>
      <c r="G3" s="156"/>
      <c r="H3" s="156"/>
      <c r="I3" s="157"/>
    </row>
    <row r="4" spans="1:9" x14ac:dyDescent="0.25">
      <c r="A4" s="8" t="str">
        <f>T(考试基本信息!A12)</f>
        <v>课程目标2</v>
      </c>
      <c r="B4" s="154">
        <v>0.35</v>
      </c>
      <c r="C4" s="154"/>
      <c r="D4" s="154"/>
      <c r="E4" s="155"/>
      <c r="F4" s="155"/>
      <c r="G4" s="156"/>
      <c r="H4" s="156"/>
      <c r="I4" s="157"/>
    </row>
    <row r="5" spans="1:9" x14ac:dyDescent="0.25">
      <c r="A5" s="8" t="str">
        <f>T(考试基本信息!A13)</f>
        <v>课程目标3</v>
      </c>
      <c r="B5" s="154">
        <v>0.35</v>
      </c>
      <c r="C5" s="154"/>
      <c r="D5" s="154"/>
      <c r="E5" s="155"/>
      <c r="F5" s="155"/>
      <c r="G5" s="156"/>
      <c r="H5" s="156"/>
      <c r="I5" s="157"/>
    </row>
    <row r="6" spans="1:9" x14ac:dyDescent="0.25">
      <c r="A6" s="8" t="str">
        <f>T(考试基本信息!A14)</f>
        <v>课程目标4</v>
      </c>
      <c r="B6" s="154">
        <v>0.1</v>
      </c>
      <c r="C6" s="154"/>
      <c r="D6" s="154"/>
      <c r="E6" s="155"/>
      <c r="F6" s="155"/>
      <c r="G6" s="156"/>
      <c r="H6" s="156"/>
      <c r="I6" s="157"/>
    </row>
    <row r="7" spans="1:9" x14ac:dyDescent="0.25">
      <c r="A7" s="8" t="str">
        <f>T(考试基本信息!A15)</f>
        <v/>
      </c>
      <c r="B7" s="155"/>
      <c r="C7" s="155"/>
      <c r="D7" s="155"/>
      <c r="E7" s="155"/>
      <c r="F7" s="156"/>
      <c r="G7" s="156"/>
      <c r="H7" s="156"/>
      <c r="I7" s="157"/>
    </row>
    <row r="8" spans="1:9" x14ac:dyDescent="0.25">
      <c r="A8" s="8" t="str">
        <f>T(考试基本信息!A16)</f>
        <v/>
      </c>
      <c r="B8" s="155"/>
      <c r="C8" s="155"/>
      <c r="D8" s="155"/>
      <c r="E8" s="155"/>
      <c r="F8" s="156"/>
      <c r="G8" s="156"/>
      <c r="H8" s="156"/>
      <c r="I8" s="157"/>
    </row>
    <row r="9" spans="1:9" x14ac:dyDescent="0.25">
      <c r="A9" s="9" t="str">
        <f>T(考试基本信息!A17)</f>
        <v/>
      </c>
      <c r="B9" s="158"/>
      <c r="C9" s="158"/>
      <c r="D9" s="158"/>
      <c r="E9" s="155"/>
      <c r="F9" s="159"/>
      <c r="G9" s="159"/>
      <c r="H9" s="159"/>
      <c r="I9" s="160"/>
    </row>
    <row r="10" spans="1:9" x14ac:dyDescent="0.25">
      <c r="A10" s="10" t="s">
        <v>176</v>
      </c>
      <c r="B10" s="161">
        <f ca="1">SUMPRODUCT(总体课程目标达成度!$D3:$D9,B3:B9)</f>
        <v>0.77585046800675139</v>
      </c>
      <c r="C10" s="161">
        <f ca="1">SUMPRODUCT(总体课程目标达成度!$D3:$D9,C3:C9)</f>
        <v>0</v>
      </c>
      <c r="D10" s="161">
        <f ca="1">SUMPRODUCT(总体课程目标达成度!$D3:$D9,D3:D9)</f>
        <v>0</v>
      </c>
      <c r="E10" s="161">
        <f ca="1">SUMPRODUCT(总体课程目标达成度!$D3:$D9,E3:E9)</f>
        <v>0</v>
      </c>
      <c r="F10" s="161">
        <f ca="1">SUMPRODUCT(总体课程目标达成度!$D3:$D9,F3:F9)</f>
        <v>0</v>
      </c>
      <c r="G10" s="161">
        <f ca="1">SUMPRODUCT(总体课程目标达成度!$D3:$D9,G3:G9)</f>
        <v>0</v>
      </c>
      <c r="H10" s="161">
        <f ca="1">SUMPRODUCT(总体课程目标达成度!$D3:$D9,H3:H9)</f>
        <v>0</v>
      </c>
      <c r="I10" s="161">
        <f ca="1">SUMPRODUCT(总体课程目标达成度!$D3:$D9,I3:I9)</f>
        <v>0</v>
      </c>
    </row>
    <row r="14" spans="1:9" x14ac:dyDescent="0.25">
      <c r="D14" s="11"/>
    </row>
  </sheetData>
  <mergeCells count="1">
    <mergeCell ref="A1:I1"/>
  </mergeCells>
  <phoneticPr fontId="17" type="noConversion"/>
  <pageMargins left="0.7" right="0.7" top="0.75" bottom="0.75" header="0.3" footer="0.3"/>
  <pageSetup paperSize="9" orientation="portrait"/>
  <headerFooter scaleWithDoc="0"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E8"/>
  <sheetViews>
    <sheetView workbookViewId="0">
      <selection activeCell="G25" sqref="G25"/>
    </sheetView>
  </sheetViews>
  <sheetFormatPr defaultColWidth="9" defaultRowHeight="15" x14ac:dyDescent="0.25"/>
  <cols>
    <col min="1" max="1" width="9.25" customWidth="1"/>
    <col min="2" max="2" width="15.25" customWidth="1"/>
    <col min="3" max="3" width="16.25" customWidth="1"/>
    <col min="4" max="4" width="10.75" customWidth="1"/>
    <col min="5" max="5" width="25.25" customWidth="1"/>
  </cols>
  <sheetData>
    <row r="1" spans="1:5" ht="60" x14ac:dyDescent="0.25">
      <c r="A1" s="1" t="s">
        <v>178</v>
      </c>
      <c r="B1" s="1" t="s">
        <v>179</v>
      </c>
      <c r="C1" s="1" t="s">
        <v>180</v>
      </c>
      <c r="D1" s="1" t="s">
        <v>181</v>
      </c>
      <c r="E1" s="2" t="s">
        <v>182</v>
      </c>
    </row>
    <row r="2" spans="1:5" ht="75" x14ac:dyDescent="0.25">
      <c r="A2" s="1" t="s">
        <v>183</v>
      </c>
      <c r="B2" s="1" t="s">
        <v>184</v>
      </c>
      <c r="C2" s="1" t="s">
        <v>180</v>
      </c>
      <c r="D2" s="1" t="s">
        <v>185</v>
      </c>
      <c r="E2" s="2" t="s">
        <v>186</v>
      </c>
    </row>
    <row r="3" spans="1:5" ht="45" x14ac:dyDescent="0.25">
      <c r="A3" s="1" t="s">
        <v>183</v>
      </c>
      <c r="B3" s="1" t="s">
        <v>187</v>
      </c>
      <c r="C3" s="1" t="s">
        <v>180</v>
      </c>
      <c r="D3" s="1" t="s">
        <v>188</v>
      </c>
      <c r="E3" s="2" t="s">
        <v>189</v>
      </c>
    </row>
    <row r="4" spans="1:5" x14ac:dyDescent="0.25">
      <c r="A4" s="1" t="s">
        <v>190</v>
      </c>
      <c r="B4" s="1" t="s">
        <v>191</v>
      </c>
      <c r="C4" s="1" t="s">
        <v>180</v>
      </c>
      <c r="D4" s="1" t="s">
        <v>192</v>
      </c>
      <c r="E4" s="2" t="s">
        <v>193</v>
      </c>
    </row>
    <row r="5" spans="1:5" x14ac:dyDescent="0.25">
      <c r="A5" s="1" t="s">
        <v>178</v>
      </c>
      <c r="B5" s="1" t="s">
        <v>194</v>
      </c>
      <c r="C5" s="1" t="s">
        <v>180</v>
      </c>
      <c r="D5" s="1" t="s">
        <v>195</v>
      </c>
      <c r="E5" s="2" t="s">
        <v>196</v>
      </c>
    </row>
    <row r="6" spans="1:5" x14ac:dyDescent="0.25">
      <c r="A6" s="1" t="s">
        <v>197</v>
      </c>
      <c r="B6" s="1" t="s">
        <v>198</v>
      </c>
      <c r="C6" s="1" t="s">
        <v>199</v>
      </c>
      <c r="D6" s="1" t="s">
        <v>200</v>
      </c>
      <c r="E6" s="2" t="s">
        <v>201</v>
      </c>
    </row>
    <row r="7" spans="1:5" x14ac:dyDescent="0.25">
      <c r="A7" s="1" t="s">
        <v>197</v>
      </c>
      <c r="B7" s="1" t="s">
        <v>202</v>
      </c>
      <c r="C7" s="1" t="s">
        <v>180</v>
      </c>
      <c r="D7" s="1" t="s">
        <v>203</v>
      </c>
      <c r="E7" s="2" t="s">
        <v>204</v>
      </c>
    </row>
    <row r="8" spans="1:5" x14ac:dyDescent="0.25">
      <c r="A8" s="3" t="s">
        <v>205</v>
      </c>
      <c r="B8" s="3"/>
      <c r="C8" s="3"/>
      <c r="D8" s="3"/>
      <c r="E8" s="3"/>
    </row>
  </sheetData>
  <phoneticPr fontId="1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4"/>
  <sheetViews>
    <sheetView workbookViewId="0">
      <selection activeCell="K11" sqref="K11:K15"/>
    </sheetView>
  </sheetViews>
  <sheetFormatPr defaultColWidth="9" defaultRowHeight="15" x14ac:dyDescent="0.25"/>
  <cols>
    <col min="1" max="1" width="12.75" style="80" customWidth="1"/>
    <col min="2" max="9" width="7.75" style="80" customWidth="1"/>
    <col min="10" max="14" width="8.75" style="80" customWidth="1"/>
    <col min="15" max="16384" width="9" style="80"/>
  </cols>
  <sheetData>
    <row r="1" spans="1:14" x14ac:dyDescent="0.25">
      <c r="A1" s="83"/>
    </row>
    <row r="2" spans="1:14" ht="21" x14ac:dyDescent="0.25">
      <c r="A2" s="166" t="s">
        <v>19</v>
      </c>
      <c r="B2" s="167"/>
      <c r="C2" s="167"/>
      <c r="D2" s="167"/>
      <c r="E2" s="167"/>
      <c r="F2" s="84"/>
    </row>
    <row r="3" spans="1:14" ht="30" x14ac:dyDescent="0.25">
      <c r="A3" s="85" t="s">
        <v>20</v>
      </c>
      <c r="B3" s="86" t="s">
        <v>21</v>
      </c>
      <c r="C3" s="86" t="s">
        <v>22</v>
      </c>
      <c r="D3" s="86" t="s">
        <v>23</v>
      </c>
      <c r="E3" s="86" t="s">
        <v>24</v>
      </c>
      <c r="F3" s="87"/>
      <c r="H3" s="88"/>
      <c r="I3" s="88"/>
      <c r="J3" s="88"/>
      <c r="K3" s="88"/>
      <c r="L3" s="88"/>
      <c r="M3" s="88"/>
    </row>
    <row r="4" spans="1:14" x14ac:dyDescent="0.25">
      <c r="A4" s="89">
        <f>SUM(B4:D4)</f>
        <v>1</v>
      </c>
      <c r="B4" s="90">
        <v>1</v>
      </c>
      <c r="C4" s="90"/>
      <c r="D4" s="90">
        <v>0</v>
      </c>
      <c r="E4" s="90">
        <v>0</v>
      </c>
      <c r="F4" s="91"/>
      <c r="H4" s="92"/>
      <c r="I4" s="92"/>
      <c r="J4" s="92"/>
      <c r="K4" s="92"/>
      <c r="L4" s="92"/>
      <c r="M4" s="92"/>
    </row>
    <row r="5" spans="1:14" x14ac:dyDescent="0.25">
      <c r="B5" s="93"/>
      <c r="C5" s="93"/>
      <c r="D5" s="93"/>
      <c r="E5" s="94"/>
      <c r="H5" s="92"/>
      <c r="I5" s="92"/>
      <c r="J5" s="92"/>
      <c r="K5" s="92"/>
      <c r="L5" s="92"/>
      <c r="M5" s="92"/>
    </row>
    <row r="6" spans="1:14" x14ac:dyDescent="0.25">
      <c r="B6" s="95"/>
      <c r="C6" s="95"/>
      <c r="D6" s="95"/>
      <c r="H6" s="92"/>
      <c r="I6" s="92"/>
      <c r="J6" s="92"/>
      <c r="K6" s="92"/>
      <c r="L6" s="92"/>
      <c r="M6" s="92"/>
    </row>
    <row r="7" spans="1:14" s="82" customFormat="1" ht="21" x14ac:dyDescent="0.4">
      <c r="A7" s="168" t="s">
        <v>25</v>
      </c>
      <c r="B7" s="168"/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</row>
    <row r="8" spans="1:14" s="82" customFormat="1" ht="21" x14ac:dyDescent="0.4">
      <c r="A8" s="97" t="s">
        <v>26</v>
      </c>
      <c r="B8" s="98">
        <f>COUNTIF(考试基本信息!B11:B17,"&lt;&gt;")</f>
        <v>4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</row>
    <row r="9" spans="1:14" x14ac:dyDescent="0.25">
      <c r="A9" s="170" t="s">
        <v>27</v>
      </c>
      <c r="B9" s="169" t="s">
        <v>28</v>
      </c>
      <c r="C9" s="169"/>
      <c r="D9" s="169"/>
      <c r="E9" s="169"/>
      <c r="F9" s="169"/>
      <c r="G9" s="169"/>
      <c r="H9" s="169"/>
      <c r="I9" s="169"/>
      <c r="J9" s="169"/>
      <c r="K9" s="171" t="s">
        <v>29</v>
      </c>
      <c r="L9" s="171" t="s">
        <v>30</v>
      </c>
      <c r="M9" s="171" t="s">
        <v>31</v>
      </c>
      <c r="N9" s="171" t="s">
        <v>32</v>
      </c>
    </row>
    <row r="10" spans="1:14" ht="30" x14ac:dyDescent="0.25">
      <c r="A10" s="170"/>
      <c r="B10" s="99" t="s">
        <v>33</v>
      </c>
      <c r="C10" s="99" t="s">
        <v>34</v>
      </c>
      <c r="D10" s="99" t="s">
        <v>35</v>
      </c>
      <c r="E10" s="99" t="s">
        <v>36</v>
      </c>
      <c r="F10" s="99" t="s">
        <v>37</v>
      </c>
      <c r="G10" s="99" t="s">
        <v>38</v>
      </c>
      <c r="H10" s="99" t="s">
        <v>39</v>
      </c>
      <c r="I10" s="99" t="s">
        <v>40</v>
      </c>
      <c r="J10" s="86" t="s">
        <v>41</v>
      </c>
      <c r="K10" s="172"/>
      <c r="L10" s="172"/>
      <c r="M10" s="172"/>
      <c r="N10" s="172"/>
    </row>
    <row r="11" spans="1:14" x14ac:dyDescent="0.25">
      <c r="A11" s="100" t="s">
        <v>42</v>
      </c>
      <c r="B11" s="101">
        <v>0.3</v>
      </c>
      <c r="C11" s="101">
        <v>0.3</v>
      </c>
      <c r="D11" s="101">
        <v>0.3</v>
      </c>
      <c r="E11" s="101"/>
      <c r="F11" s="101"/>
      <c r="G11" s="101"/>
      <c r="H11" s="101"/>
      <c r="I11" s="101"/>
      <c r="J11" s="107">
        <f>SUMPRODUCT(B20:I20,B11:I11)</f>
        <v>30</v>
      </c>
      <c r="K11" s="101"/>
      <c r="L11" s="101"/>
      <c r="M11" s="101"/>
      <c r="N11" s="108">
        <f ca="1">SUMPRODUCT(B20:I20,B11:I11)*INDEX(EF_SP,1)+SUMPRODUCT(K20:M20,K11:M11,OFFSET(EF_SP,0,1,1,3))</f>
        <v>30</v>
      </c>
    </row>
    <row r="12" spans="1:14" x14ac:dyDescent="0.25">
      <c r="A12" s="100" t="s">
        <v>43</v>
      </c>
      <c r="B12" s="101">
        <v>0.3</v>
      </c>
      <c r="C12" s="101">
        <v>0.2</v>
      </c>
      <c r="D12" s="101">
        <v>0.1</v>
      </c>
      <c r="E12" s="101"/>
      <c r="F12" s="101"/>
      <c r="G12" s="101"/>
      <c r="H12" s="101"/>
      <c r="I12" s="101"/>
      <c r="J12" s="107">
        <f>SUMPRODUCT(B20:I20,B12:I12)</f>
        <v>19</v>
      </c>
      <c r="K12" s="101"/>
      <c r="L12" s="101"/>
      <c r="M12" s="101"/>
      <c r="N12" s="108">
        <f ca="1">SUMPRODUCT(B20:I20,B12:I12)*INDEX(EF_SP,1)+SUMPRODUCT(K20:M20,K12:M12,OFFSET(EF_SP,0,1,1,3))</f>
        <v>19</v>
      </c>
    </row>
    <row r="13" spans="1:14" x14ac:dyDescent="0.25">
      <c r="A13" s="100" t="s">
        <v>44</v>
      </c>
      <c r="B13" s="101">
        <v>0.3</v>
      </c>
      <c r="C13" s="101">
        <v>0.3</v>
      </c>
      <c r="D13" s="101">
        <v>0.3</v>
      </c>
      <c r="E13" s="101"/>
      <c r="F13" s="101"/>
      <c r="G13" s="101"/>
      <c r="H13" s="101"/>
      <c r="I13" s="101"/>
      <c r="J13" s="107">
        <f>SUMPRODUCT(B20:I20,B13:I13)</f>
        <v>30</v>
      </c>
      <c r="K13" s="101"/>
      <c r="L13" s="101"/>
      <c r="M13" s="101"/>
      <c r="N13" s="108">
        <f ca="1">SUMPRODUCT(B20:I20,B13:I13)*INDEX(EF_SP,1)+SUMPRODUCT(K20:M20,K13:M13,OFFSET(EF_SP,0,1,1,3))</f>
        <v>30</v>
      </c>
    </row>
    <row r="14" spans="1:14" x14ac:dyDescent="0.25">
      <c r="A14" s="100" t="s">
        <v>45</v>
      </c>
      <c r="B14" s="101">
        <v>0.1</v>
      </c>
      <c r="C14" s="101">
        <v>0.2</v>
      </c>
      <c r="D14" s="101">
        <v>0.3</v>
      </c>
      <c r="E14" s="101"/>
      <c r="F14" s="101"/>
      <c r="G14" s="101"/>
      <c r="H14" s="101"/>
      <c r="I14" s="101"/>
      <c r="J14" s="107">
        <f>SUMPRODUCT(B20:I20,B14:I14)</f>
        <v>21</v>
      </c>
      <c r="K14" s="101"/>
      <c r="L14" s="101"/>
      <c r="M14" s="101"/>
      <c r="N14" s="108">
        <f ca="1">SUMPRODUCT(B20:I20,B14:I14)*INDEX(EF_SP,1)+SUMPRODUCT(K20:M20,K14:M14,OFFSET(EF_SP,0,1,1,3))</f>
        <v>21</v>
      </c>
    </row>
    <row r="15" spans="1:14" x14ac:dyDescent="0.25">
      <c r="A15" s="100"/>
      <c r="B15" s="101"/>
      <c r="C15" s="101"/>
      <c r="D15" s="101"/>
      <c r="E15" s="101"/>
      <c r="F15" s="101"/>
      <c r="G15" s="101"/>
      <c r="H15" s="101"/>
      <c r="I15" s="101"/>
      <c r="J15" s="107">
        <f>SUMPRODUCT(B20:I20,B15:I15)</f>
        <v>0</v>
      </c>
      <c r="K15" s="101"/>
      <c r="L15" s="101"/>
      <c r="M15" s="101"/>
      <c r="N15" s="108">
        <f ca="1">SUMPRODUCT(B20:I20,B15:I15)*INDEX(EF_SP,1)+SUMPRODUCT(K20:M20,K15:M15,OFFSET(EF_SP,0,1,1,3))</f>
        <v>0</v>
      </c>
    </row>
    <row r="16" spans="1:14" x14ac:dyDescent="0.25">
      <c r="A16" s="100"/>
      <c r="B16" s="101"/>
      <c r="C16" s="101"/>
      <c r="D16" s="101"/>
      <c r="E16" s="101"/>
      <c r="F16" s="101"/>
      <c r="G16" s="101"/>
      <c r="H16" s="101"/>
      <c r="I16" s="101"/>
      <c r="J16" s="107">
        <f>SUMPRODUCT(B20:I20,B16:I16)</f>
        <v>0</v>
      </c>
      <c r="K16" s="101"/>
      <c r="L16" s="101"/>
      <c r="M16" s="101"/>
      <c r="N16" s="108">
        <f ca="1">SUMPRODUCT(B20:I20,B16:I16)*INDEX(EF_SP,1)+SUMPRODUCT(K20:M20,K16:M16,OFFSET(EF_SP,0,1,1,3))</f>
        <v>0</v>
      </c>
    </row>
    <row r="17" spans="1:14" x14ac:dyDescent="0.25">
      <c r="A17" s="100"/>
      <c r="B17" s="101"/>
      <c r="C17" s="101"/>
      <c r="D17" s="101"/>
      <c r="E17" s="101"/>
      <c r="F17" s="101"/>
      <c r="G17" s="101"/>
      <c r="H17" s="101"/>
      <c r="I17" s="101"/>
      <c r="J17" s="107">
        <f>SUMPRODUCT(B20:I20,B17:I17)</f>
        <v>0</v>
      </c>
      <c r="K17" s="101"/>
      <c r="L17" s="101"/>
      <c r="M17" s="101"/>
      <c r="N17" s="108">
        <f ca="1">SUMPRODUCT(B20:I20,B17:I17)*INDEX(EF_SP,1)+SUMPRODUCT(K20:M20,K17:M17,OFFSET(EF_SP,0,1,1,3))</f>
        <v>0</v>
      </c>
    </row>
    <row r="18" spans="1:14" x14ac:dyDescent="0.25">
      <c r="A18" s="102" t="s">
        <v>46</v>
      </c>
      <c r="B18" s="103">
        <f t="shared" ref="B18:N18" si="0">SUM(B11:B17)</f>
        <v>0.99999999999999989</v>
      </c>
      <c r="C18" s="104">
        <f t="shared" si="0"/>
        <v>1</v>
      </c>
      <c r="D18" s="104">
        <f t="shared" si="0"/>
        <v>1</v>
      </c>
      <c r="E18" s="104">
        <f t="shared" si="0"/>
        <v>0</v>
      </c>
      <c r="F18" s="104">
        <f t="shared" si="0"/>
        <v>0</v>
      </c>
      <c r="G18" s="105">
        <f t="shared" si="0"/>
        <v>0</v>
      </c>
      <c r="H18" s="104">
        <f t="shared" si="0"/>
        <v>0</v>
      </c>
      <c r="I18" s="104">
        <f t="shared" si="0"/>
        <v>0</v>
      </c>
      <c r="J18" s="109">
        <f t="shared" si="0"/>
        <v>100</v>
      </c>
      <c r="K18" s="104">
        <f t="shared" si="0"/>
        <v>0</v>
      </c>
      <c r="L18" s="104">
        <f t="shared" si="0"/>
        <v>0</v>
      </c>
      <c r="M18" s="104">
        <f t="shared" si="0"/>
        <v>0</v>
      </c>
      <c r="N18" s="110">
        <f t="shared" ca="1" si="0"/>
        <v>100</v>
      </c>
    </row>
    <row r="19" spans="1:14" x14ac:dyDescent="0.25">
      <c r="A19" s="97"/>
      <c r="B19" s="98"/>
    </row>
    <row r="20" spans="1:14" x14ac:dyDescent="0.25">
      <c r="A20" s="99" t="s">
        <v>47</v>
      </c>
      <c r="B20" s="106">
        <v>30</v>
      </c>
      <c r="C20" s="106">
        <v>30</v>
      </c>
      <c r="D20" s="106">
        <v>40</v>
      </c>
      <c r="E20" s="106"/>
      <c r="F20" s="106"/>
      <c r="G20" s="106"/>
      <c r="H20" s="106"/>
      <c r="I20" s="106"/>
      <c r="J20" s="111">
        <f>SUM(B20:I20)</f>
        <v>100</v>
      </c>
      <c r="K20" s="112">
        <v>100</v>
      </c>
      <c r="L20" s="112">
        <v>100</v>
      </c>
      <c r="M20" s="112">
        <v>100</v>
      </c>
      <c r="N20" s="111">
        <v>100</v>
      </c>
    </row>
    <row r="21" spans="1:14" x14ac:dyDescent="0.25">
      <c r="J21" s="113"/>
      <c r="K21" s="113"/>
      <c r="L21" s="113"/>
      <c r="M21" s="113"/>
      <c r="N21" s="113"/>
    </row>
    <row r="23" spans="1:14" x14ac:dyDescent="0.25">
      <c r="B23" s="73"/>
      <c r="C23" s="73"/>
      <c r="D23" s="73"/>
      <c r="E23" s="73"/>
      <c r="F23" s="73"/>
    </row>
    <row r="24" spans="1:14" x14ac:dyDescent="0.25">
      <c r="L24" s="73"/>
    </row>
  </sheetData>
  <sheetProtection sheet="1" objects="1" scenarios="1"/>
  <mergeCells count="8">
    <mergeCell ref="A2:E2"/>
    <mergeCell ref="A7:N7"/>
    <mergeCell ref="B9:J9"/>
    <mergeCell ref="A9:A10"/>
    <mergeCell ref="K9:K10"/>
    <mergeCell ref="L9:L10"/>
    <mergeCell ref="M9:M10"/>
    <mergeCell ref="N9:N10"/>
  </mergeCells>
  <phoneticPr fontId="17" type="noConversion"/>
  <pageMargins left="0.7" right="0.7" top="0.75" bottom="0.75" header="0.3" footer="0.3"/>
  <pageSetup paperSize="9" orientation="landscape"/>
  <headerFooter scaleWithDoc="0" alignWithMargins="0"/>
  <ignoredErrors>
    <ignoredError sqref="G18" unlockedFormula="1"/>
    <ignoredError sqref="N12:N17 N11 A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232"/>
  <sheetViews>
    <sheetView topLeftCell="A28" workbookViewId="0">
      <selection activeCell="O47" sqref="O47:O51"/>
    </sheetView>
  </sheetViews>
  <sheetFormatPr defaultColWidth="9" defaultRowHeight="15" x14ac:dyDescent="0.25"/>
  <cols>
    <col min="1" max="1" width="13.75" style="13" customWidth="1"/>
    <col min="2" max="2" width="10.75" style="13" customWidth="1"/>
    <col min="3" max="3" width="6.75" style="58" customWidth="1"/>
    <col min="4" max="10" width="6.75" style="13" customWidth="1"/>
    <col min="11" max="11" width="6.75" style="59" customWidth="1"/>
    <col min="12" max="14" width="6.75" style="13" customWidth="1"/>
    <col min="15" max="15" width="6.75" style="60" customWidth="1"/>
    <col min="16" max="17" width="11.58203125" customWidth="1"/>
  </cols>
  <sheetData>
    <row r="1" spans="1:23" s="24" customFormat="1" ht="16.5" customHeight="1" x14ac:dyDescent="0.25">
      <c r="A1" s="178" t="s">
        <v>48</v>
      </c>
      <c r="B1" s="178" t="s">
        <v>49</v>
      </c>
      <c r="C1" s="175" t="s">
        <v>50</v>
      </c>
      <c r="D1" s="176"/>
      <c r="E1" s="176"/>
      <c r="F1" s="176"/>
      <c r="G1" s="176"/>
      <c r="H1" s="176"/>
      <c r="I1" s="176"/>
      <c r="J1" s="177"/>
      <c r="K1" s="67"/>
      <c r="L1" s="173" t="s">
        <v>51</v>
      </c>
      <c r="M1" s="173" t="s">
        <v>52</v>
      </c>
      <c r="N1" s="173" t="s">
        <v>53</v>
      </c>
      <c r="O1" s="173" t="s">
        <v>54</v>
      </c>
    </row>
    <row r="2" spans="1:23" s="24" customFormat="1" x14ac:dyDescent="0.25">
      <c r="A2" s="179"/>
      <c r="B2" s="179"/>
      <c r="C2" s="61" t="s">
        <v>33</v>
      </c>
      <c r="D2" s="61" t="s">
        <v>34</v>
      </c>
      <c r="E2" s="61" t="s">
        <v>35</v>
      </c>
      <c r="F2" s="62" t="s">
        <v>36</v>
      </c>
      <c r="G2" s="62" t="s">
        <v>37</v>
      </c>
      <c r="H2" s="62" t="s">
        <v>38</v>
      </c>
      <c r="I2" s="62" t="s">
        <v>39</v>
      </c>
      <c r="J2" s="62" t="s">
        <v>40</v>
      </c>
      <c r="K2" s="62" t="s">
        <v>46</v>
      </c>
      <c r="L2" s="174"/>
      <c r="M2" s="174"/>
      <c r="N2" s="174"/>
      <c r="O2" s="174"/>
      <c r="Q2" s="4"/>
    </row>
    <row r="3" spans="1:23" s="4" customFormat="1" x14ac:dyDescent="0.25">
      <c r="A3" s="162" t="s">
        <v>55</v>
      </c>
      <c r="B3" s="162" t="s">
        <v>56</v>
      </c>
      <c r="C3" s="163">
        <v>26</v>
      </c>
      <c r="D3" s="163">
        <v>30</v>
      </c>
      <c r="E3" s="163">
        <v>22</v>
      </c>
      <c r="F3" s="64"/>
      <c r="G3" s="64"/>
      <c r="H3" s="64"/>
      <c r="I3" s="64"/>
      <c r="J3" s="65"/>
      <c r="K3" s="68">
        <f t="shared" ref="K3:K38" si="0">SUM(C3:J3)</f>
        <v>78</v>
      </c>
      <c r="L3" s="63"/>
      <c r="M3" s="64"/>
      <c r="N3" s="66"/>
      <c r="O3" s="69">
        <f>SUMPRODUCT(K3:N3,EF_SP)</f>
        <v>78</v>
      </c>
      <c r="P3" s="70"/>
      <c r="R3" s="76"/>
      <c r="V3"/>
      <c r="W3" s="77"/>
    </row>
    <row r="4" spans="1:23" s="4" customFormat="1" x14ac:dyDescent="0.25">
      <c r="A4" s="162" t="s">
        <v>57</v>
      </c>
      <c r="B4" s="162" t="s">
        <v>58</v>
      </c>
      <c r="C4" s="163">
        <v>30</v>
      </c>
      <c r="D4" s="163">
        <v>26</v>
      </c>
      <c r="E4" s="163">
        <v>17</v>
      </c>
      <c r="F4" s="64"/>
      <c r="G4" s="64"/>
      <c r="H4" s="64"/>
      <c r="I4" s="64"/>
      <c r="J4" s="65"/>
      <c r="K4" s="68">
        <f t="shared" si="0"/>
        <v>73</v>
      </c>
      <c r="L4" s="63"/>
      <c r="M4" s="64"/>
      <c r="N4" s="66"/>
      <c r="O4" s="69">
        <f>SUMPRODUCT(K4:N4,EF_SP)</f>
        <v>73</v>
      </c>
      <c r="P4" s="70"/>
      <c r="R4" s="76"/>
      <c r="V4"/>
      <c r="W4" s="77"/>
    </row>
    <row r="5" spans="1:23" s="4" customFormat="1" x14ac:dyDescent="0.25">
      <c r="A5" s="162" t="s">
        <v>59</v>
      </c>
      <c r="B5" s="162" t="s">
        <v>60</v>
      </c>
      <c r="C5" s="163">
        <v>28</v>
      </c>
      <c r="D5" s="163">
        <v>23</v>
      </c>
      <c r="E5" s="163">
        <v>17</v>
      </c>
      <c r="F5" s="64"/>
      <c r="G5" s="64"/>
      <c r="H5" s="64"/>
      <c r="I5" s="64"/>
      <c r="J5" s="65"/>
      <c r="K5" s="68">
        <f t="shared" si="0"/>
        <v>68</v>
      </c>
      <c r="L5" s="63"/>
      <c r="M5" s="64"/>
      <c r="N5" s="66"/>
      <c r="O5" s="69">
        <f t="shared" ref="O5:O51" si="1">SUMPRODUCT(K5:N5,EF_SP)</f>
        <v>68</v>
      </c>
      <c r="P5" s="70"/>
      <c r="R5" s="76"/>
      <c r="V5"/>
      <c r="W5" s="77"/>
    </row>
    <row r="6" spans="1:23" s="4" customFormat="1" x14ac:dyDescent="0.25">
      <c r="A6" s="162" t="s">
        <v>61</v>
      </c>
      <c r="B6" s="162" t="s">
        <v>62</v>
      </c>
      <c r="C6" s="163">
        <v>30</v>
      </c>
      <c r="D6" s="163">
        <v>23</v>
      </c>
      <c r="E6" s="163">
        <v>17</v>
      </c>
      <c r="F6" s="64"/>
      <c r="G6" s="64"/>
      <c r="H6" s="64"/>
      <c r="I6" s="64"/>
      <c r="J6" s="65"/>
      <c r="K6" s="68">
        <f t="shared" si="0"/>
        <v>70</v>
      </c>
      <c r="L6" s="63"/>
      <c r="M6" s="64"/>
      <c r="N6" s="66"/>
      <c r="O6" s="69">
        <f t="shared" si="1"/>
        <v>70</v>
      </c>
      <c r="P6" s="70"/>
      <c r="R6" s="76"/>
      <c r="V6"/>
      <c r="W6" s="77"/>
    </row>
    <row r="7" spans="1:23" s="4" customFormat="1" x14ac:dyDescent="0.25">
      <c r="A7" s="162" t="s">
        <v>63</v>
      </c>
      <c r="B7" s="162" t="s">
        <v>64</v>
      </c>
      <c r="C7" s="163">
        <v>28</v>
      </c>
      <c r="D7" s="163">
        <v>28</v>
      </c>
      <c r="E7" s="163">
        <v>31</v>
      </c>
      <c r="F7" s="64"/>
      <c r="G7" s="64"/>
      <c r="H7" s="64"/>
      <c r="I7" s="64"/>
      <c r="J7" s="65"/>
      <c r="K7" s="68">
        <f t="shared" si="0"/>
        <v>87</v>
      </c>
      <c r="L7" s="63"/>
      <c r="M7" s="64"/>
      <c r="N7" s="66"/>
      <c r="O7" s="69">
        <f t="shared" si="1"/>
        <v>87</v>
      </c>
      <c r="P7" s="70"/>
      <c r="R7" s="57"/>
      <c r="V7"/>
      <c r="W7" s="77"/>
    </row>
    <row r="8" spans="1:23" s="4" customFormat="1" x14ac:dyDescent="0.25">
      <c r="A8" s="162" t="s">
        <v>65</v>
      </c>
      <c r="B8" s="162" t="s">
        <v>66</v>
      </c>
      <c r="C8" s="163">
        <v>29</v>
      </c>
      <c r="D8" s="163">
        <v>19</v>
      </c>
      <c r="E8" s="163">
        <v>19</v>
      </c>
      <c r="F8" s="64"/>
      <c r="G8" s="64"/>
      <c r="H8" s="64"/>
      <c r="I8" s="64"/>
      <c r="J8" s="65"/>
      <c r="K8" s="68">
        <f t="shared" si="0"/>
        <v>67</v>
      </c>
      <c r="L8" s="63"/>
      <c r="M8" s="64"/>
      <c r="N8" s="66"/>
      <c r="O8" s="69">
        <f t="shared" si="1"/>
        <v>67</v>
      </c>
      <c r="P8" s="70"/>
      <c r="R8" s="57"/>
      <c r="V8"/>
      <c r="W8" s="77"/>
    </row>
    <row r="9" spans="1:23" s="4" customFormat="1" x14ac:dyDescent="0.25">
      <c r="A9" s="162" t="s">
        <v>67</v>
      </c>
      <c r="B9" s="162" t="s">
        <v>68</v>
      </c>
      <c r="C9" s="163">
        <v>30</v>
      </c>
      <c r="D9" s="163">
        <v>19</v>
      </c>
      <c r="E9" s="163">
        <v>29</v>
      </c>
      <c r="F9" s="64"/>
      <c r="G9" s="64"/>
      <c r="H9" s="64"/>
      <c r="I9" s="64"/>
      <c r="J9" s="65"/>
      <c r="K9" s="68">
        <f t="shared" si="0"/>
        <v>78</v>
      </c>
      <c r="L9" s="63"/>
      <c r="M9" s="64"/>
      <c r="N9" s="66"/>
      <c r="O9" s="69">
        <f t="shared" si="1"/>
        <v>78</v>
      </c>
      <c r="P9" s="70"/>
      <c r="R9" s="57"/>
      <c r="V9"/>
      <c r="W9" s="77"/>
    </row>
    <row r="10" spans="1:23" s="4" customFormat="1" x14ac:dyDescent="0.25">
      <c r="A10" s="162" t="s">
        <v>69</v>
      </c>
      <c r="B10" s="162" t="s">
        <v>70</v>
      </c>
      <c r="C10" s="163">
        <v>29</v>
      </c>
      <c r="D10" s="163">
        <v>26</v>
      </c>
      <c r="E10" s="163">
        <v>25</v>
      </c>
      <c r="F10" s="64"/>
      <c r="G10" s="64"/>
      <c r="H10" s="64"/>
      <c r="I10" s="64"/>
      <c r="J10" s="65"/>
      <c r="K10" s="68">
        <f t="shared" si="0"/>
        <v>80</v>
      </c>
      <c r="L10" s="63"/>
      <c r="M10" s="64"/>
      <c r="N10" s="66"/>
      <c r="O10" s="69">
        <f t="shared" si="1"/>
        <v>80</v>
      </c>
      <c r="P10" s="70"/>
      <c r="R10" s="57"/>
      <c r="V10"/>
      <c r="W10" s="77"/>
    </row>
    <row r="11" spans="1:23" s="4" customFormat="1" x14ac:dyDescent="0.25">
      <c r="A11" s="162" t="s">
        <v>71</v>
      </c>
      <c r="B11" s="162" t="s">
        <v>72</v>
      </c>
      <c r="C11" s="163">
        <v>28</v>
      </c>
      <c r="D11" s="163">
        <v>25</v>
      </c>
      <c r="E11" s="163">
        <v>23</v>
      </c>
      <c r="F11" s="64"/>
      <c r="G11" s="64"/>
      <c r="H11" s="64"/>
      <c r="I11" s="64"/>
      <c r="J11" s="65"/>
      <c r="K11" s="68">
        <f t="shared" si="0"/>
        <v>76</v>
      </c>
      <c r="L11" s="63"/>
      <c r="M11" s="64"/>
      <c r="N11" s="66"/>
      <c r="O11" s="69">
        <f t="shared" si="1"/>
        <v>76</v>
      </c>
      <c r="P11" s="70"/>
      <c r="R11" s="57"/>
      <c r="V11"/>
      <c r="W11" s="77"/>
    </row>
    <row r="12" spans="1:23" s="4" customFormat="1" x14ac:dyDescent="0.25">
      <c r="A12" s="162" t="s">
        <v>73</v>
      </c>
      <c r="B12" s="162" t="s">
        <v>74</v>
      </c>
      <c r="C12" s="163">
        <v>28</v>
      </c>
      <c r="D12" s="163">
        <v>29</v>
      </c>
      <c r="E12" s="163">
        <v>38</v>
      </c>
      <c r="F12" s="64"/>
      <c r="G12" s="64"/>
      <c r="H12" s="64"/>
      <c r="I12" s="64"/>
      <c r="J12" s="65"/>
      <c r="K12" s="68">
        <f t="shared" si="0"/>
        <v>95</v>
      </c>
      <c r="L12" s="63"/>
      <c r="M12" s="64"/>
      <c r="N12" s="66"/>
      <c r="O12" s="69">
        <f t="shared" si="1"/>
        <v>95</v>
      </c>
      <c r="P12" s="70"/>
      <c r="R12" s="57"/>
      <c r="V12"/>
      <c r="W12" s="77"/>
    </row>
    <row r="13" spans="1:23" s="4" customFormat="1" ht="15.75" customHeight="1" x14ac:dyDescent="0.25">
      <c r="A13" s="162" t="s">
        <v>75</v>
      </c>
      <c r="B13" s="162" t="s">
        <v>76</v>
      </c>
      <c r="C13" s="163">
        <v>29</v>
      </c>
      <c r="D13" s="163">
        <v>24</v>
      </c>
      <c r="E13" s="163">
        <v>22</v>
      </c>
      <c r="F13" s="64"/>
      <c r="G13" s="64"/>
      <c r="H13" s="64"/>
      <c r="I13" s="64"/>
      <c r="J13" s="65"/>
      <c r="K13" s="68">
        <f t="shared" si="0"/>
        <v>75</v>
      </c>
      <c r="L13" s="63"/>
      <c r="M13" s="64"/>
      <c r="N13" s="66"/>
      <c r="O13" s="69">
        <f t="shared" si="1"/>
        <v>75</v>
      </c>
      <c r="P13" s="70"/>
      <c r="R13" s="76"/>
      <c r="V13"/>
      <c r="W13" s="77"/>
    </row>
    <row r="14" spans="1:23" s="4" customFormat="1" x14ac:dyDescent="0.25">
      <c r="A14" s="162" t="s">
        <v>77</v>
      </c>
      <c r="B14" s="162" t="s">
        <v>78</v>
      </c>
      <c r="C14" s="163">
        <v>29</v>
      </c>
      <c r="D14" s="163">
        <v>29</v>
      </c>
      <c r="E14" s="163">
        <v>15</v>
      </c>
      <c r="F14" s="64"/>
      <c r="G14" s="64"/>
      <c r="H14" s="64"/>
      <c r="I14" s="64"/>
      <c r="J14" s="65"/>
      <c r="K14" s="68">
        <f t="shared" si="0"/>
        <v>73</v>
      </c>
      <c r="L14" s="63"/>
      <c r="M14" s="64"/>
      <c r="N14" s="66"/>
      <c r="O14" s="69">
        <f t="shared" si="1"/>
        <v>73</v>
      </c>
      <c r="P14" s="70"/>
      <c r="R14" s="76"/>
      <c r="V14"/>
      <c r="W14" s="77"/>
    </row>
    <row r="15" spans="1:23" s="4" customFormat="1" x14ac:dyDescent="0.25">
      <c r="A15" s="162" t="s">
        <v>79</v>
      </c>
      <c r="B15" s="162" t="s">
        <v>80</v>
      </c>
      <c r="C15" s="163">
        <v>30</v>
      </c>
      <c r="D15" s="163">
        <v>19</v>
      </c>
      <c r="E15" s="163">
        <v>24</v>
      </c>
      <c r="F15" s="64"/>
      <c r="G15" s="64"/>
      <c r="H15" s="64"/>
      <c r="I15" s="64"/>
      <c r="J15" s="65"/>
      <c r="K15" s="68">
        <f t="shared" si="0"/>
        <v>73</v>
      </c>
      <c r="L15" s="63"/>
      <c r="M15" s="64"/>
      <c r="N15" s="66"/>
      <c r="O15" s="69">
        <f t="shared" si="1"/>
        <v>73</v>
      </c>
      <c r="P15" s="70"/>
      <c r="R15" s="76"/>
      <c r="V15"/>
      <c r="W15" s="77"/>
    </row>
    <row r="16" spans="1:23" s="4" customFormat="1" x14ac:dyDescent="0.25">
      <c r="A16" s="162" t="s">
        <v>81</v>
      </c>
      <c r="B16" s="162" t="s">
        <v>82</v>
      </c>
      <c r="C16" s="163">
        <v>28</v>
      </c>
      <c r="D16" s="163">
        <v>19</v>
      </c>
      <c r="E16" s="163">
        <v>12</v>
      </c>
      <c r="F16" s="64"/>
      <c r="G16" s="64"/>
      <c r="H16" s="64"/>
      <c r="I16" s="64"/>
      <c r="J16" s="65"/>
      <c r="K16" s="68">
        <f t="shared" si="0"/>
        <v>59</v>
      </c>
      <c r="L16" s="63"/>
      <c r="M16" s="64"/>
      <c r="N16" s="66"/>
      <c r="O16" s="69">
        <f t="shared" si="1"/>
        <v>59</v>
      </c>
      <c r="P16" s="70"/>
      <c r="R16" s="76"/>
      <c r="V16"/>
      <c r="W16" s="77"/>
    </row>
    <row r="17" spans="1:23" s="4" customFormat="1" x14ac:dyDescent="0.25">
      <c r="A17" s="162" t="s">
        <v>83</v>
      </c>
      <c r="B17" s="162" t="s">
        <v>84</v>
      </c>
      <c r="C17" s="163">
        <v>29</v>
      </c>
      <c r="D17" s="163">
        <v>20</v>
      </c>
      <c r="E17" s="163">
        <v>6</v>
      </c>
      <c r="F17" s="64"/>
      <c r="G17" s="64"/>
      <c r="H17" s="64"/>
      <c r="I17" s="64"/>
      <c r="J17" s="65"/>
      <c r="K17" s="68">
        <f t="shared" si="0"/>
        <v>55</v>
      </c>
      <c r="L17" s="63"/>
      <c r="M17" s="64"/>
      <c r="N17" s="66"/>
      <c r="O17" s="69">
        <f t="shared" si="1"/>
        <v>55</v>
      </c>
      <c r="P17" s="70"/>
      <c r="R17" s="76"/>
      <c r="V17"/>
      <c r="W17" s="77"/>
    </row>
    <row r="18" spans="1:23" s="4" customFormat="1" x14ac:dyDescent="0.25">
      <c r="A18" s="162" t="s">
        <v>85</v>
      </c>
      <c r="B18" s="162" t="s">
        <v>86</v>
      </c>
      <c r="C18" s="163">
        <v>29</v>
      </c>
      <c r="D18" s="163">
        <v>19</v>
      </c>
      <c r="E18" s="163">
        <v>15</v>
      </c>
      <c r="F18" s="64"/>
      <c r="G18" s="64"/>
      <c r="H18" s="64"/>
      <c r="I18" s="64"/>
      <c r="J18" s="65"/>
      <c r="K18" s="68">
        <f t="shared" si="0"/>
        <v>63</v>
      </c>
      <c r="L18" s="63"/>
      <c r="M18" s="64"/>
      <c r="N18" s="66"/>
      <c r="O18" s="69">
        <f t="shared" si="1"/>
        <v>63</v>
      </c>
      <c r="P18" s="70"/>
      <c r="R18" s="76"/>
      <c r="V18"/>
      <c r="W18" s="77"/>
    </row>
    <row r="19" spans="1:23" s="4" customFormat="1" x14ac:dyDescent="0.25">
      <c r="A19" s="162" t="s">
        <v>87</v>
      </c>
      <c r="B19" s="162" t="s">
        <v>88</v>
      </c>
      <c r="C19" s="163">
        <v>29</v>
      </c>
      <c r="D19" s="163">
        <v>29</v>
      </c>
      <c r="E19" s="163">
        <v>22</v>
      </c>
      <c r="F19" s="64"/>
      <c r="G19" s="64"/>
      <c r="H19" s="64"/>
      <c r="I19" s="64"/>
      <c r="J19" s="65"/>
      <c r="K19" s="68">
        <f t="shared" si="0"/>
        <v>80</v>
      </c>
      <c r="L19" s="63"/>
      <c r="M19" s="64"/>
      <c r="N19" s="66"/>
      <c r="O19" s="69">
        <f t="shared" si="1"/>
        <v>80</v>
      </c>
      <c r="P19" s="70"/>
      <c r="R19" s="76"/>
      <c r="V19"/>
      <c r="W19" s="77"/>
    </row>
    <row r="20" spans="1:23" s="4" customFormat="1" x14ac:dyDescent="0.25">
      <c r="A20" s="162" t="s">
        <v>89</v>
      </c>
      <c r="B20" s="162" t="s">
        <v>90</v>
      </c>
      <c r="C20" s="163">
        <v>27</v>
      </c>
      <c r="D20" s="163">
        <v>20</v>
      </c>
      <c r="E20" s="163">
        <v>9</v>
      </c>
      <c r="F20" s="64"/>
      <c r="G20" s="64"/>
      <c r="H20" s="64"/>
      <c r="I20" s="64"/>
      <c r="J20" s="65"/>
      <c r="K20" s="68">
        <f t="shared" si="0"/>
        <v>56</v>
      </c>
      <c r="L20" s="63"/>
      <c r="M20" s="64"/>
      <c r="N20" s="66"/>
      <c r="O20" s="69">
        <f t="shared" si="1"/>
        <v>56</v>
      </c>
      <c r="P20" s="70"/>
      <c r="R20" s="76"/>
      <c r="V20"/>
      <c r="W20" s="77"/>
    </row>
    <row r="21" spans="1:23" s="4" customFormat="1" x14ac:dyDescent="0.25">
      <c r="A21" s="164" t="s">
        <v>91</v>
      </c>
      <c r="B21" s="165" t="s">
        <v>92</v>
      </c>
      <c r="C21" s="163">
        <v>28</v>
      </c>
      <c r="D21" s="163">
        <v>13</v>
      </c>
      <c r="E21" s="163">
        <v>6</v>
      </c>
      <c r="F21" s="64"/>
      <c r="G21" s="64"/>
      <c r="H21" s="64"/>
      <c r="I21" s="64"/>
      <c r="J21" s="65"/>
      <c r="K21" s="68">
        <f t="shared" si="0"/>
        <v>47</v>
      </c>
      <c r="L21" s="63"/>
      <c r="M21" s="64"/>
      <c r="N21" s="66"/>
      <c r="O21" s="69">
        <f t="shared" si="1"/>
        <v>47</v>
      </c>
      <c r="P21" s="70"/>
      <c r="R21" s="76"/>
      <c r="V21"/>
      <c r="W21" s="77"/>
    </row>
    <row r="22" spans="1:23" s="4" customFormat="1" x14ac:dyDescent="0.25">
      <c r="A22" s="162" t="s">
        <v>93</v>
      </c>
      <c r="B22" s="162" t="s">
        <v>94</v>
      </c>
      <c r="C22" s="163">
        <v>29</v>
      </c>
      <c r="D22" s="163">
        <v>26</v>
      </c>
      <c r="E22" s="163">
        <v>31</v>
      </c>
      <c r="F22" s="64"/>
      <c r="G22" s="64"/>
      <c r="H22" s="64"/>
      <c r="I22" s="64"/>
      <c r="J22" s="65"/>
      <c r="K22" s="68">
        <f t="shared" si="0"/>
        <v>86</v>
      </c>
      <c r="L22" s="63"/>
      <c r="M22" s="64"/>
      <c r="N22" s="66"/>
      <c r="O22" s="69">
        <f t="shared" si="1"/>
        <v>86</v>
      </c>
      <c r="P22" s="70"/>
      <c r="R22" s="76"/>
      <c r="V22"/>
      <c r="W22" s="77"/>
    </row>
    <row r="23" spans="1:23" s="4" customFormat="1" x14ac:dyDescent="0.25">
      <c r="A23" s="162" t="s">
        <v>95</v>
      </c>
      <c r="B23" s="162" t="s">
        <v>96</v>
      </c>
      <c r="C23" s="163">
        <v>30</v>
      </c>
      <c r="D23" s="163">
        <v>20</v>
      </c>
      <c r="E23" s="163">
        <v>29</v>
      </c>
      <c r="F23" s="64"/>
      <c r="G23" s="64"/>
      <c r="H23" s="64"/>
      <c r="I23" s="64"/>
      <c r="J23" s="65"/>
      <c r="K23" s="68">
        <f t="shared" si="0"/>
        <v>79</v>
      </c>
      <c r="L23" s="63"/>
      <c r="M23" s="64"/>
      <c r="N23" s="66"/>
      <c r="O23" s="69">
        <f t="shared" si="1"/>
        <v>79</v>
      </c>
      <c r="P23" s="70"/>
      <c r="R23" s="76"/>
      <c r="V23"/>
      <c r="W23" s="77"/>
    </row>
    <row r="24" spans="1:23" s="4" customFormat="1" x14ac:dyDescent="0.25">
      <c r="A24" s="162" t="s">
        <v>97</v>
      </c>
      <c r="B24" s="162" t="s">
        <v>98</v>
      </c>
      <c r="C24" s="163">
        <v>29</v>
      </c>
      <c r="D24" s="163">
        <v>24</v>
      </c>
      <c r="E24" s="163">
        <v>15</v>
      </c>
      <c r="F24" s="64"/>
      <c r="G24" s="64"/>
      <c r="H24" s="64"/>
      <c r="I24" s="64"/>
      <c r="J24" s="65"/>
      <c r="K24" s="68">
        <f t="shared" si="0"/>
        <v>68</v>
      </c>
      <c r="L24" s="63"/>
      <c r="M24" s="64"/>
      <c r="N24" s="66"/>
      <c r="O24" s="69">
        <f t="shared" si="1"/>
        <v>68</v>
      </c>
      <c r="P24" s="70"/>
      <c r="R24" s="76"/>
      <c r="V24"/>
      <c r="W24" s="77"/>
    </row>
    <row r="25" spans="1:23" s="4" customFormat="1" x14ac:dyDescent="0.25">
      <c r="A25" s="162" t="s">
        <v>99</v>
      </c>
      <c r="B25" s="162" t="s">
        <v>100</v>
      </c>
      <c r="C25" s="163">
        <v>29</v>
      </c>
      <c r="D25" s="163">
        <v>18</v>
      </c>
      <c r="E25" s="163">
        <v>26</v>
      </c>
      <c r="F25" s="64"/>
      <c r="G25" s="64"/>
      <c r="H25" s="64"/>
      <c r="I25" s="64"/>
      <c r="J25" s="65"/>
      <c r="K25" s="68">
        <f t="shared" si="0"/>
        <v>73</v>
      </c>
      <c r="L25" s="63"/>
      <c r="M25" s="64"/>
      <c r="N25" s="66"/>
      <c r="O25" s="69">
        <f t="shared" si="1"/>
        <v>73</v>
      </c>
      <c r="P25" s="70"/>
      <c r="R25" s="76"/>
      <c r="V25"/>
      <c r="W25" s="77"/>
    </row>
    <row r="26" spans="1:23" s="4" customFormat="1" x14ac:dyDescent="0.25">
      <c r="A26" s="162" t="s">
        <v>101</v>
      </c>
      <c r="B26" s="162" t="s">
        <v>102</v>
      </c>
      <c r="C26" s="163">
        <v>30</v>
      </c>
      <c r="D26" s="163">
        <v>30</v>
      </c>
      <c r="E26" s="163">
        <v>34</v>
      </c>
      <c r="F26" s="64"/>
      <c r="G26" s="64"/>
      <c r="H26" s="64"/>
      <c r="I26" s="64"/>
      <c r="J26" s="65"/>
      <c r="K26" s="68">
        <f t="shared" si="0"/>
        <v>94</v>
      </c>
      <c r="L26" s="63"/>
      <c r="M26" s="64"/>
      <c r="N26" s="66"/>
      <c r="O26" s="69">
        <f t="shared" si="1"/>
        <v>94</v>
      </c>
      <c r="P26" s="70"/>
      <c r="R26" s="76"/>
      <c r="V26"/>
      <c r="W26" s="77"/>
    </row>
    <row r="27" spans="1:23" s="4" customFormat="1" x14ac:dyDescent="0.25">
      <c r="A27" s="162" t="s">
        <v>103</v>
      </c>
      <c r="B27" s="162" t="s">
        <v>104</v>
      </c>
      <c r="C27" s="163">
        <v>29</v>
      </c>
      <c r="D27" s="163">
        <v>30</v>
      </c>
      <c r="E27" s="163">
        <v>37</v>
      </c>
      <c r="F27" s="64"/>
      <c r="G27" s="64"/>
      <c r="H27" s="64"/>
      <c r="I27" s="64"/>
      <c r="J27" s="65"/>
      <c r="K27" s="68">
        <f t="shared" si="0"/>
        <v>96</v>
      </c>
      <c r="L27" s="63"/>
      <c r="M27" s="64"/>
      <c r="N27" s="66"/>
      <c r="O27" s="69">
        <f t="shared" si="1"/>
        <v>96</v>
      </c>
      <c r="P27" s="70"/>
      <c r="R27" s="76"/>
      <c r="V27"/>
      <c r="W27" s="77"/>
    </row>
    <row r="28" spans="1:23" s="4" customFormat="1" x14ac:dyDescent="0.25">
      <c r="A28" s="162" t="s">
        <v>105</v>
      </c>
      <c r="B28" s="162" t="s">
        <v>106</v>
      </c>
      <c r="C28" s="163">
        <v>29</v>
      </c>
      <c r="D28" s="163">
        <v>14</v>
      </c>
      <c r="E28" s="163">
        <v>15</v>
      </c>
      <c r="F28" s="64"/>
      <c r="G28" s="64"/>
      <c r="H28" s="64"/>
      <c r="I28" s="64"/>
      <c r="J28" s="65"/>
      <c r="K28" s="68">
        <f t="shared" si="0"/>
        <v>58</v>
      </c>
      <c r="L28" s="63"/>
      <c r="M28" s="64"/>
      <c r="N28" s="66"/>
      <c r="O28" s="69">
        <f t="shared" si="1"/>
        <v>58</v>
      </c>
      <c r="P28" s="70"/>
      <c r="R28" s="76"/>
      <c r="V28"/>
      <c r="W28" s="77"/>
    </row>
    <row r="29" spans="1:23" s="4" customFormat="1" x14ac:dyDescent="0.25">
      <c r="A29" s="162" t="s">
        <v>107</v>
      </c>
      <c r="B29" s="162" t="s">
        <v>108</v>
      </c>
      <c r="C29" s="163">
        <v>30</v>
      </c>
      <c r="D29" s="163">
        <v>27</v>
      </c>
      <c r="E29" s="163">
        <v>27</v>
      </c>
      <c r="F29" s="64"/>
      <c r="G29" s="64"/>
      <c r="H29" s="64"/>
      <c r="I29" s="64"/>
      <c r="J29" s="65"/>
      <c r="K29" s="68">
        <f t="shared" si="0"/>
        <v>84</v>
      </c>
      <c r="L29" s="63"/>
      <c r="M29" s="64"/>
      <c r="N29" s="66"/>
      <c r="O29" s="69">
        <f t="shared" si="1"/>
        <v>84</v>
      </c>
      <c r="P29" s="70"/>
      <c r="R29" s="76"/>
      <c r="V29"/>
      <c r="W29" s="77"/>
    </row>
    <row r="30" spans="1:23" s="4" customFormat="1" x14ac:dyDescent="0.25">
      <c r="A30" s="162" t="s">
        <v>109</v>
      </c>
      <c r="B30" s="162" t="s">
        <v>110</v>
      </c>
      <c r="C30" s="163">
        <v>29</v>
      </c>
      <c r="D30" s="163">
        <v>29</v>
      </c>
      <c r="E30" s="163">
        <v>28</v>
      </c>
      <c r="F30" s="64"/>
      <c r="G30" s="64"/>
      <c r="H30" s="64"/>
      <c r="I30" s="64"/>
      <c r="J30" s="65"/>
      <c r="K30" s="68">
        <f t="shared" si="0"/>
        <v>86</v>
      </c>
      <c r="L30" s="63"/>
      <c r="M30" s="64"/>
      <c r="N30" s="66"/>
      <c r="O30" s="69">
        <f t="shared" si="1"/>
        <v>86</v>
      </c>
      <c r="P30" s="70"/>
      <c r="R30" s="76"/>
      <c r="V30"/>
      <c r="W30" s="77"/>
    </row>
    <row r="31" spans="1:23" s="4" customFormat="1" x14ac:dyDescent="0.25">
      <c r="A31" s="162" t="s">
        <v>111</v>
      </c>
      <c r="B31" s="162" t="s">
        <v>112</v>
      </c>
      <c r="C31" s="163">
        <v>26</v>
      </c>
      <c r="D31" s="163">
        <v>25</v>
      </c>
      <c r="E31" s="163">
        <v>18</v>
      </c>
      <c r="F31" s="64"/>
      <c r="G31" s="64"/>
      <c r="H31" s="64"/>
      <c r="I31" s="64"/>
      <c r="J31" s="65"/>
      <c r="K31" s="68">
        <f t="shared" si="0"/>
        <v>69</v>
      </c>
      <c r="L31" s="63"/>
      <c r="M31" s="64"/>
      <c r="N31" s="66"/>
      <c r="O31" s="69">
        <f t="shared" si="1"/>
        <v>69</v>
      </c>
      <c r="P31" s="70"/>
      <c r="R31" s="76"/>
      <c r="V31"/>
      <c r="W31" s="77"/>
    </row>
    <row r="32" spans="1:23" s="4" customFormat="1" x14ac:dyDescent="0.25">
      <c r="A32" s="162" t="s">
        <v>113</v>
      </c>
      <c r="B32" s="162" t="s">
        <v>114</v>
      </c>
      <c r="C32" s="163">
        <v>29</v>
      </c>
      <c r="D32" s="163">
        <v>23</v>
      </c>
      <c r="E32" s="163">
        <v>8</v>
      </c>
      <c r="F32" s="64"/>
      <c r="G32" s="64"/>
      <c r="H32" s="64"/>
      <c r="I32" s="64"/>
      <c r="J32" s="65"/>
      <c r="K32" s="68">
        <f t="shared" si="0"/>
        <v>60</v>
      </c>
      <c r="L32" s="63"/>
      <c r="M32" s="64"/>
      <c r="N32" s="66"/>
      <c r="O32" s="69">
        <f t="shared" si="1"/>
        <v>60</v>
      </c>
      <c r="P32" s="70"/>
      <c r="R32" s="76"/>
      <c r="V32" s="76"/>
      <c r="W32" s="77"/>
    </row>
    <row r="33" spans="1:23" s="4" customFormat="1" x14ac:dyDescent="0.25">
      <c r="A33" s="162" t="s">
        <v>115</v>
      </c>
      <c r="B33" s="162" t="s">
        <v>116</v>
      </c>
      <c r="C33" s="163">
        <v>23</v>
      </c>
      <c r="D33" s="163">
        <v>20</v>
      </c>
      <c r="E33" s="163">
        <v>12</v>
      </c>
      <c r="F33" s="64"/>
      <c r="G33" s="64"/>
      <c r="H33" s="64"/>
      <c r="I33" s="64"/>
      <c r="J33" s="65"/>
      <c r="K33" s="68">
        <f t="shared" si="0"/>
        <v>55</v>
      </c>
      <c r="L33" s="63"/>
      <c r="M33" s="64"/>
      <c r="N33" s="66"/>
      <c r="O33" s="69">
        <f t="shared" si="1"/>
        <v>55</v>
      </c>
      <c r="P33" s="70"/>
      <c r="R33" s="76"/>
      <c r="V33" s="76"/>
      <c r="W33" s="77"/>
    </row>
    <row r="34" spans="1:23" s="4" customFormat="1" x14ac:dyDescent="0.25">
      <c r="A34" s="162" t="s">
        <v>117</v>
      </c>
      <c r="B34" s="162" t="s">
        <v>118</v>
      </c>
      <c r="C34" s="163">
        <v>30</v>
      </c>
      <c r="D34" s="163">
        <v>29</v>
      </c>
      <c r="E34" s="163">
        <v>25</v>
      </c>
      <c r="F34" s="64"/>
      <c r="G34" s="64"/>
      <c r="H34" s="64"/>
      <c r="I34" s="64"/>
      <c r="J34" s="65"/>
      <c r="K34" s="68">
        <f t="shared" si="0"/>
        <v>84</v>
      </c>
      <c r="L34" s="63"/>
      <c r="M34" s="64"/>
      <c r="N34" s="66"/>
      <c r="O34" s="69">
        <f t="shared" si="1"/>
        <v>84</v>
      </c>
      <c r="P34" s="70"/>
      <c r="R34" s="76"/>
      <c r="V34" s="76"/>
      <c r="W34" s="77"/>
    </row>
    <row r="35" spans="1:23" s="4" customFormat="1" x14ac:dyDescent="0.25">
      <c r="A35" s="162" t="s">
        <v>119</v>
      </c>
      <c r="B35" s="162" t="s">
        <v>120</v>
      </c>
      <c r="C35" s="163">
        <v>29</v>
      </c>
      <c r="D35" s="163">
        <v>30</v>
      </c>
      <c r="E35" s="163">
        <v>33</v>
      </c>
      <c r="F35" s="64"/>
      <c r="G35" s="64"/>
      <c r="H35" s="64"/>
      <c r="I35" s="64"/>
      <c r="J35" s="65"/>
      <c r="K35" s="68">
        <f t="shared" si="0"/>
        <v>92</v>
      </c>
      <c r="L35" s="63"/>
      <c r="M35" s="64"/>
      <c r="N35" s="66"/>
      <c r="O35" s="69">
        <f t="shared" si="1"/>
        <v>92</v>
      </c>
      <c r="P35" s="70"/>
      <c r="R35" s="76"/>
      <c r="V35" s="76"/>
      <c r="W35" s="77"/>
    </row>
    <row r="36" spans="1:23" s="4" customFormat="1" x14ac:dyDescent="0.25">
      <c r="A36" s="162" t="s">
        <v>121</v>
      </c>
      <c r="B36" s="162" t="s">
        <v>122</v>
      </c>
      <c r="C36" s="163">
        <v>28</v>
      </c>
      <c r="D36" s="163">
        <v>23</v>
      </c>
      <c r="E36" s="163">
        <v>36</v>
      </c>
      <c r="F36" s="64"/>
      <c r="G36" s="64"/>
      <c r="H36" s="64"/>
      <c r="I36" s="64"/>
      <c r="J36" s="65"/>
      <c r="K36" s="68">
        <f t="shared" si="0"/>
        <v>87</v>
      </c>
      <c r="L36" s="63"/>
      <c r="M36" s="64"/>
      <c r="N36" s="66"/>
      <c r="O36" s="69">
        <f t="shared" si="1"/>
        <v>87</v>
      </c>
      <c r="P36" s="70"/>
      <c r="R36" s="76"/>
      <c r="V36" s="76"/>
      <c r="W36" s="77"/>
    </row>
    <row r="37" spans="1:23" s="4" customFormat="1" x14ac:dyDescent="0.25">
      <c r="A37" s="162" t="s">
        <v>123</v>
      </c>
      <c r="B37" s="162" t="s">
        <v>124</v>
      </c>
      <c r="C37" s="163">
        <v>29</v>
      </c>
      <c r="D37" s="163">
        <v>25</v>
      </c>
      <c r="E37" s="163">
        <v>24</v>
      </c>
      <c r="F37" s="64"/>
      <c r="G37" s="65"/>
      <c r="H37" s="65"/>
      <c r="I37" s="65"/>
      <c r="J37" s="65"/>
      <c r="K37" s="68">
        <f t="shared" si="0"/>
        <v>78</v>
      </c>
      <c r="L37" s="63"/>
      <c r="M37" s="64"/>
      <c r="N37" s="66"/>
      <c r="O37" s="69">
        <f t="shared" si="1"/>
        <v>78</v>
      </c>
      <c r="P37" s="70"/>
      <c r="R37" s="76"/>
      <c r="V37" s="76"/>
      <c r="W37" s="77"/>
    </row>
    <row r="38" spans="1:23" s="4" customFormat="1" x14ac:dyDescent="0.25">
      <c r="A38" s="162" t="s">
        <v>125</v>
      </c>
      <c r="B38" s="162" t="s">
        <v>126</v>
      </c>
      <c r="C38" s="163">
        <v>28</v>
      </c>
      <c r="D38" s="163">
        <v>24</v>
      </c>
      <c r="E38" s="163">
        <v>35</v>
      </c>
      <c r="F38" s="65"/>
      <c r="G38" s="65"/>
      <c r="H38" s="65"/>
      <c r="I38" s="65"/>
      <c r="J38" s="65"/>
      <c r="K38" s="68">
        <f t="shared" si="0"/>
        <v>87</v>
      </c>
      <c r="L38" s="64"/>
      <c r="M38" s="64"/>
      <c r="N38" s="66"/>
      <c r="O38" s="69">
        <f t="shared" si="1"/>
        <v>87</v>
      </c>
      <c r="P38" s="70"/>
      <c r="R38" s="76"/>
      <c r="V38" s="76"/>
      <c r="W38" s="77"/>
    </row>
    <row r="39" spans="1:23" s="4" customFormat="1" x14ac:dyDescent="0.25">
      <c r="A39" s="162" t="s">
        <v>127</v>
      </c>
      <c r="B39" s="162" t="s">
        <v>128</v>
      </c>
      <c r="C39" s="163">
        <v>30</v>
      </c>
      <c r="D39" s="163">
        <v>20</v>
      </c>
      <c r="E39" s="163">
        <v>26</v>
      </c>
      <c r="F39" s="65"/>
      <c r="G39" s="65"/>
      <c r="H39" s="65"/>
      <c r="I39" s="65"/>
      <c r="J39" s="65"/>
      <c r="K39" s="68">
        <f t="shared" ref="K39:K51" si="2">SUM(C39:J39)</f>
        <v>76</v>
      </c>
      <c r="L39" s="71"/>
      <c r="M39" s="64"/>
      <c r="N39" s="66"/>
      <c r="O39" s="69">
        <f t="shared" si="1"/>
        <v>76</v>
      </c>
      <c r="P39" s="70"/>
      <c r="R39" s="76"/>
      <c r="V39" s="76"/>
      <c r="W39" s="77"/>
    </row>
    <row r="40" spans="1:23" s="4" customFormat="1" x14ac:dyDescent="0.25">
      <c r="A40" s="162" t="s">
        <v>129</v>
      </c>
      <c r="B40" s="162" t="s">
        <v>130</v>
      </c>
      <c r="C40" s="163">
        <v>28</v>
      </c>
      <c r="D40" s="163">
        <v>22</v>
      </c>
      <c r="E40" s="163">
        <v>21</v>
      </c>
      <c r="F40" s="65"/>
      <c r="G40" s="65"/>
      <c r="H40" s="65"/>
      <c r="I40" s="65"/>
      <c r="J40" s="65"/>
      <c r="K40" s="68">
        <f t="shared" si="2"/>
        <v>71</v>
      </c>
      <c r="L40" s="71"/>
      <c r="M40" s="64"/>
      <c r="N40" s="66"/>
      <c r="O40" s="69">
        <f t="shared" si="1"/>
        <v>71</v>
      </c>
      <c r="P40" s="70"/>
      <c r="R40" s="76"/>
      <c r="V40" s="76"/>
      <c r="W40" s="77"/>
    </row>
    <row r="41" spans="1:23" s="4" customFormat="1" x14ac:dyDescent="0.25">
      <c r="A41" s="162" t="s">
        <v>131</v>
      </c>
      <c r="B41" s="162" t="s">
        <v>132</v>
      </c>
      <c r="C41" s="163">
        <v>29</v>
      </c>
      <c r="D41" s="163">
        <v>29</v>
      </c>
      <c r="E41" s="163">
        <v>30</v>
      </c>
      <c r="F41" s="65"/>
      <c r="G41" s="65"/>
      <c r="H41" s="65"/>
      <c r="I41" s="65"/>
      <c r="J41" s="65"/>
      <c r="K41" s="68">
        <f t="shared" si="2"/>
        <v>88</v>
      </c>
      <c r="L41" s="71"/>
      <c r="M41" s="64"/>
      <c r="N41" s="66"/>
      <c r="O41" s="69">
        <f t="shared" si="1"/>
        <v>88</v>
      </c>
      <c r="P41" s="70"/>
      <c r="R41" s="76"/>
      <c r="V41" s="76"/>
      <c r="W41" s="77"/>
    </row>
    <row r="42" spans="1:23" s="4" customFormat="1" x14ac:dyDescent="0.25">
      <c r="A42" s="162" t="s">
        <v>133</v>
      </c>
      <c r="B42" s="162" t="s">
        <v>134</v>
      </c>
      <c r="C42" s="163">
        <v>29</v>
      </c>
      <c r="D42" s="163">
        <v>26</v>
      </c>
      <c r="E42" s="163">
        <v>27</v>
      </c>
      <c r="F42" s="65"/>
      <c r="G42" s="65"/>
      <c r="H42" s="65"/>
      <c r="I42" s="65"/>
      <c r="J42" s="65"/>
      <c r="K42" s="68">
        <f t="shared" si="2"/>
        <v>82</v>
      </c>
      <c r="L42" s="72"/>
      <c r="M42" s="64"/>
      <c r="N42" s="66"/>
      <c r="O42" s="69">
        <f t="shared" si="1"/>
        <v>82</v>
      </c>
      <c r="P42" s="70"/>
      <c r="R42" s="76"/>
      <c r="V42" s="76"/>
      <c r="W42" s="77"/>
    </row>
    <row r="43" spans="1:23" s="4" customFormat="1" x14ac:dyDescent="0.25">
      <c r="A43" s="162" t="s">
        <v>135</v>
      </c>
      <c r="B43" s="162" t="s">
        <v>136</v>
      </c>
      <c r="C43" s="163">
        <v>28</v>
      </c>
      <c r="D43" s="163">
        <v>20</v>
      </c>
      <c r="E43" s="163">
        <v>31</v>
      </c>
      <c r="F43" s="65"/>
      <c r="G43" s="65"/>
      <c r="H43" s="65"/>
      <c r="I43" s="65"/>
      <c r="J43" s="65"/>
      <c r="K43" s="68">
        <f t="shared" si="2"/>
        <v>79</v>
      </c>
      <c r="L43" s="72"/>
      <c r="M43" s="64"/>
      <c r="N43" s="66"/>
      <c r="O43" s="69">
        <f t="shared" si="1"/>
        <v>79</v>
      </c>
      <c r="P43" s="70"/>
      <c r="R43" s="76"/>
      <c r="V43" s="76"/>
      <c r="W43" s="77"/>
    </row>
    <row r="44" spans="1:23" s="4" customFormat="1" x14ac:dyDescent="0.25">
      <c r="A44" s="162" t="s">
        <v>137</v>
      </c>
      <c r="B44" s="162" t="s">
        <v>138</v>
      </c>
      <c r="C44" s="163">
        <v>30</v>
      </c>
      <c r="D44" s="163">
        <v>30</v>
      </c>
      <c r="E44" s="163">
        <v>23</v>
      </c>
      <c r="F44" s="65"/>
      <c r="G44" s="65"/>
      <c r="H44" s="65"/>
      <c r="I44" s="65"/>
      <c r="J44" s="65"/>
      <c r="K44" s="68">
        <f t="shared" si="2"/>
        <v>83</v>
      </c>
      <c r="L44" s="72"/>
      <c r="M44" s="64"/>
      <c r="N44" s="66"/>
      <c r="O44" s="69">
        <f t="shared" si="1"/>
        <v>83</v>
      </c>
      <c r="P44" s="70"/>
      <c r="R44" s="76"/>
      <c r="V44" s="76"/>
      <c r="W44" s="77"/>
    </row>
    <row r="45" spans="1:23" s="4" customFormat="1" x14ac:dyDescent="0.25">
      <c r="A45" s="162" t="s">
        <v>139</v>
      </c>
      <c r="B45" s="162" t="s">
        <v>140</v>
      </c>
      <c r="C45" s="163">
        <v>30</v>
      </c>
      <c r="D45" s="163">
        <v>18</v>
      </c>
      <c r="E45" s="163">
        <v>21</v>
      </c>
      <c r="F45" s="65"/>
      <c r="G45" s="65"/>
      <c r="H45" s="65"/>
      <c r="I45" s="65"/>
      <c r="J45" s="65"/>
      <c r="K45" s="68">
        <f t="shared" si="2"/>
        <v>69</v>
      </c>
      <c r="L45" s="72"/>
      <c r="M45" s="64"/>
      <c r="N45" s="66"/>
      <c r="O45" s="69">
        <f t="shared" si="1"/>
        <v>69</v>
      </c>
      <c r="P45" s="70"/>
      <c r="R45" s="76"/>
      <c r="V45" s="76"/>
      <c r="W45" s="77"/>
    </row>
    <row r="46" spans="1:23" s="4" customFormat="1" x14ac:dyDescent="0.25">
      <c r="A46" s="162" t="s">
        <v>141</v>
      </c>
      <c r="B46" s="162" t="s">
        <v>142</v>
      </c>
      <c r="C46" s="163">
        <v>30</v>
      </c>
      <c r="D46" s="163">
        <v>27</v>
      </c>
      <c r="E46" s="163">
        <v>33</v>
      </c>
      <c r="F46" s="65"/>
      <c r="G46" s="65"/>
      <c r="H46" s="65"/>
      <c r="I46" s="65"/>
      <c r="J46" s="65"/>
      <c r="K46" s="68">
        <f t="shared" si="2"/>
        <v>90</v>
      </c>
      <c r="L46" s="72"/>
      <c r="M46" s="64"/>
      <c r="N46" s="66"/>
      <c r="O46" s="69">
        <f t="shared" si="1"/>
        <v>90</v>
      </c>
      <c r="P46" s="70"/>
      <c r="R46" s="76"/>
      <c r="V46" s="76"/>
      <c r="W46" s="77"/>
    </row>
    <row r="47" spans="1:23" s="4" customFormat="1" x14ac:dyDescent="0.25">
      <c r="A47" s="162" t="s">
        <v>143</v>
      </c>
      <c r="B47" s="162" t="s">
        <v>144</v>
      </c>
      <c r="C47" s="163">
        <v>26</v>
      </c>
      <c r="D47" s="163">
        <v>26</v>
      </c>
      <c r="E47" s="163">
        <v>31</v>
      </c>
      <c r="F47" s="65"/>
      <c r="G47" s="65"/>
      <c r="H47" s="65"/>
      <c r="I47" s="65"/>
      <c r="J47" s="65"/>
      <c r="K47" s="68">
        <f t="shared" si="2"/>
        <v>83</v>
      </c>
      <c r="L47" s="72"/>
      <c r="M47" s="64"/>
      <c r="N47" s="66"/>
      <c r="O47" s="69">
        <f t="shared" si="1"/>
        <v>83</v>
      </c>
      <c r="P47" s="70"/>
      <c r="R47" s="76"/>
      <c r="V47" s="76"/>
      <c r="W47" s="77"/>
    </row>
    <row r="48" spans="1:23" s="4" customFormat="1" x14ac:dyDescent="0.25">
      <c r="A48" s="162" t="s">
        <v>145</v>
      </c>
      <c r="B48" s="162" t="s">
        <v>146</v>
      </c>
      <c r="C48" s="163">
        <v>28</v>
      </c>
      <c r="D48" s="163">
        <v>20</v>
      </c>
      <c r="E48" s="163">
        <v>27</v>
      </c>
      <c r="F48" s="65"/>
      <c r="G48" s="65"/>
      <c r="H48" s="65"/>
      <c r="I48" s="65"/>
      <c r="J48" s="65"/>
      <c r="K48" s="68">
        <f t="shared" si="2"/>
        <v>75</v>
      </c>
      <c r="L48" s="64"/>
      <c r="M48" s="64"/>
      <c r="N48" s="66"/>
      <c r="O48" s="69">
        <f t="shared" si="1"/>
        <v>75</v>
      </c>
      <c r="P48" s="70"/>
      <c r="R48" s="76"/>
      <c r="V48" s="76"/>
      <c r="W48" s="77"/>
    </row>
    <row r="49" spans="1:23" s="4" customFormat="1" x14ac:dyDescent="0.25">
      <c r="A49" s="162" t="s">
        <v>147</v>
      </c>
      <c r="B49" s="162" t="s">
        <v>148</v>
      </c>
      <c r="C49" s="163">
        <v>29</v>
      </c>
      <c r="D49" s="163">
        <v>24</v>
      </c>
      <c r="E49" s="163">
        <v>24</v>
      </c>
      <c r="F49" s="65"/>
      <c r="G49" s="65"/>
      <c r="H49" s="65"/>
      <c r="I49" s="65"/>
      <c r="J49" s="65"/>
      <c r="K49" s="68">
        <f t="shared" si="2"/>
        <v>77</v>
      </c>
      <c r="L49" s="64"/>
      <c r="M49" s="64"/>
      <c r="N49" s="66"/>
      <c r="O49" s="69">
        <f t="shared" si="1"/>
        <v>77</v>
      </c>
      <c r="P49" s="70"/>
      <c r="R49" s="76"/>
      <c r="V49" s="76"/>
      <c r="W49" s="77"/>
    </row>
    <row r="50" spans="1:23" s="4" customFormat="1" x14ac:dyDescent="0.25">
      <c r="A50" s="162" t="s">
        <v>149</v>
      </c>
      <c r="B50" s="162" t="s">
        <v>150</v>
      </c>
      <c r="C50" s="163">
        <v>30</v>
      </c>
      <c r="D50" s="163">
        <v>29</v>
      </c>
      <c r="E50" s="163">
        <v>22</v>
      </c>
      <c r="F50" s="65"/>
      <c r="G50" s="65"/>
      <c r="H50" s="65"/>
      <c r="I50" s="65"/>
      <c r="J50" s="65"/>
      <c r="K50" s="68">
        <f t="shared" si="2"/>
        <v>81</v>
      </c>
      <c r="L50" s="64"/>
      <c r="M50" s="64"/>
      <c r="N50" s="66"/>
      <c r="O50" s="69">
        <f t="shared" si="1"/>
        <v>81</v>
      </c>
      <c r="P50" s="70"/>
      <c r="R50" s="76"/>
      <c r="V50" s="76"/>
      <c r="W50" s="77"/>
    </row>
    <row r="51" spans="1:23" s="4" customFormat="1" x14ac:dyDescent="0.25">
      <c r="A51" s="164" t="s">
        <v>151</v>
      </c>
      <c r="B51" s="162" t="s">
        <v>152</v>
      </c>
      <c r="C51" s="163">
        <v>26</v>
      </c>
      <c r="D51" s="163">
        <v>24</v>
      </c>
      <c r="E51" s="163">
        <v>22</v>
      </c>
      <c r="F51" s="66"/>
      <c r="G51" s="66"/>
      <c r="H51" s="66"/>
      <c r="I51" s="66"/>
      <c r="J51" s="66"/>
      <c r="K51" s="68">
        <f t="shared" si="2"/>
        <v>72</v>
      </c>
      <c r="L51" s="64"/>
      <c r="M51" s="64"/>
      <c r="N51" s="66"/>
      <c r="O51" s="69">
        <f t="shared" si="1"/>
        <v>72</v>
      </c>
      <c r="P51" s="70"/>
      <c r="V51" s="76"/>
      <c r="W51" s="77"/>
    </row>
    <row r="52" spans="1:23" s="4" customFormat="1" x14ac:dyDescent="0.25">
      <c r="A52" s="63"/>
      <c r="B52" s="63"/>
      <c r="C52" s="66"/>
      <c r="D52" s="66"/>
      <c r="E52" s="66"/>
      <c r="F52" s="66"/>
      <c r="G52" s="66"/>
      <c r="H52" s="66"/>
      <c r="I52" s="66"/>
      <c r="J52" s="66"/>
      <c r="K52" s="68"/>
      <c r="L52" s="64"/>
      <c r="M52" s="64"/>
      <c r="N52" s="66"/>
      <c r="O52" s="69"/>
      <c r="P52" s="70"/>
    </row>
    <row r="53" spans="1:23" s="4" customFormat="1" x14ac:dyDescent="0.25">
      <c r="A53" s="63"/>
      <c r="B53" s="63"/>
      <c r="C53" s="66"/>
      <c r="D53" s="66"/>
      <c r="E53" s="66"/>
      <c r="F53" s="66"/>
      <c r="G53" s="66"/>
      <c r="H53" s="66"/>
      <c r="I53" s="66"/>
      <c r="J53" s="66"/>
      <c r="K53" s="68"/>
      <c r="L53" s="64"/>
      <c r="M53" s="64"/>
      <c r="N53" s="66"/>
      <c r="O53" s="69"/>
    </row>
    <row r="54" spans="1:23" s="4" customFormat="1" x14ac:dyDescent="0.25">
      <c r="A54" s="63"/>
      <c r="B54" s="63"/>
      <c r="C54" s="66"/>
      <c r="D54" s="66"/>
      <c r="E54" s="66"/>
      <c r="F54" s="66"/>
      <c r="G54" s="66"/>
      <c r="H54" s="66"/>
      <c r="I54" s="66"/>
      <c r="J54" s="66"/>
      <c r="K54" s="68"/>
      <c r="L54" s="64"/>
      <c r="M54" s="64"/>
      <c r="N54" s="66"/>
      <c r="O54" s="69"/>
    </row>
    <row r="55" spans="1:23" s="4" customFormat="1" x14ac:dyDescent="0.25">
      <c r="A55" s="63"/>
      <c r="B55" s="63"/>
      <c r="C55" s="66"/>
      <c r="D55" s="66"/>
      <c r="E55" s="66"/>
      <c r="F55" s="66"/>
      <c r="G55" s="66"/>
      <c r="H55" s="66"/>
      <c r="I55" s="66"/>
      <c r="J55" s="66"/>
      <c r="K55" s="68"/>
      <c r="L55" s="64"/>
      <c r="M55" s="64"/>
      <c r="N55" s="66"/>
      <c r="O55" s="69"/>
    </row>
    <row r="56" spans="1:23" s="4" customFormat="1" x14ac:dyDescent="0.25">
      <c r="A56" s="63"/>
      <c r="B56" s="63"/>
      <c r="C56" s="66"/>
      <c r="D56" s="66"/>
      <c r="E56" s="66"/>
      <c r="F56" s="66"/>
      <c r="G56" s="66"/>
      <c r="H56" s="66"/>
      <c r="I56" s="66"/>
      <c r="J56" s="66"/>
      <c r="K56" s="68"/>
      <c r="L56" s="64"/>
      <c r="M56" s="64"/>
      <c r="N56" s="66"/>
      <c r="O56" s="69"/>
    </row>
    <row r="57" spans="1:23" s="4" customFormat="1" x14ac:dyDescent="0.25">
      <c r="A57" s="63"/>
      <c r="B57" s="63"/>
      <c r="C57" s="66"/>
      <c r="D57" s="66"/>
      <c r="E57" s="66"/>
      <c r="F57" s="66"/>
      <c r="G57" s="66"/>
      <c r="H57" s="66"/>
      <c r="I57" s="66"/>
      <c r="J57" s="66"/>
      <c r="K57" s="68"/>
      <c r="L57" s="64"/>
      <c r="M57" s="64"/>
      <c r="N57" s="66"/>
      <c r="O57" s="69"/>
    </row>
    <row r="58" spans="1:23" s="4" customFormat="1" x14ac:dyDescent="0.25">
      <c r="A58" s="63"/>
      <c r="B58" s="63"/>
      <c r="C58" s="66"/>
      <c r="D58" s="66"/>
      <c r="E58" s="66"/>
      <c r="F58" s="66"/>
      <c r="G58" s="66"/>
      <c r="H58" s="66"/>
      <c r="I58" s="66"/>
      <c r="J58" s="66"/>
      <c r="K58" s="68"/>
      <c r="L58" s="64"/>
      <c r="M58" s="64"/>
      <c r="N58" s="66"/>
      <c r="O58" s="69"/>
    </row>
    <row r="59" spans="1:23" s="4" customFormat="1" ht="14.25" customHeight="1" x14ac:dyDescent="0.25">
      <c r="A59" s="63"/>
      <c r="B59" s="63"/>
      <c r="C59" s="66"/>
      <c r="D59" s="66"/>
      <c r="E59" s="66"/>
      <c r="F59" s="66"/>
      <c r="G59" s="66"/>
      <c r="H59" s="66"/>
      <c r="I59" s="66"/>
      <c r="J59" s="66"/>
      <c r="K59" s="68"/>
      <c r="L59" s="64"/>
      <c r="M59" s="64"/>
      <c r="N59" s="66"/>
      <c r="O59" s="69"/>
    </row>
    <row r="60" spans="1:23" s="4" customFormat="1" x14ac:dyDescent="0.25">
      <c r="A60" s="63"/>
      <c r="B60" s="63"/>
      <c r="C60" s="66"/>
      <c r="D60" s="66"/>
      <c r="E60" s="66"/>
      <c r="F60" s="66"/>
      <c r="G60" s="66"/>
      <c r="H60" s="66"/>
      <c r="I60" s="66"/>
      <c r="J60" s="66"/>
      <c r="K60" s="68"/>
      <c r="L60" s="64"/>
      <c r="M60" s="64"/>
      <c r="N60" s="66"/>
      <c r="O60" s="69"/>
    </row>
    <row r="61" spans="1:23" s="4" customFormat="1" x14ac:dyDescent="0.25">
      <c r="A61" s="63"/>
      <c r="B61" s="63"/>
      <c r="C61" s="66"/>
      <c r="D61" s="66"/>
      <c r="E61" s="66"/>
      <c r="F61" s="66"/>
      <c r="G61" s="66"/>
      <c r="H61" s="66"/>
      <c r="I61" s="66"/>
      <c r="J61" s="66"/>
      <c r="K61" s="68"/>
      <c r="L61" s="64"/>
      <c r="M61" s="64"/>
      <c r="N61" s="66"/>
      <c r="O61" s="69"/>
    </row>
    <row r="62" spans="1:23" s="4" customFormat="1" x14ac:dyDescent="0.25">
      <c r="A62" s="63"/>
      <c r="B62" s="63"/>
      <c r="C62" s="66"/>
      <c r="D62" s="66"/>
      <c r="E62" s="66"/>
      <c r="F62" s="66"/>
      <c r="G62" s="66"/>
      <c r="H62" s="66"/>
      <c r="I62" s="66"/>
      <c r="J62" s="66"/>
      <c r="K62" s="68"/>
      <c r="L62" s="64"/>
      <c r="M62" s="64"/>
      <c r="N62" s="66"/>
      <c r="O62" s="69"/>
    </row>
    <row r="63" spans="1:23" s="4" customFormat="1" x14ac:dyDescent="0.25">
      <c r="K63" s="73"/>
      <c r="L63" s="74"/>
      <c r="M63" s="74"/>
      <c r="O63" s="75"/>
    </row>
    <row r="64" spans="1:23" s="4" customFormat="1" x14ac:dyDescent="0.25">
      <c r="K64" s="73"/>
      <c r="L64" s="74"/>
      <c r="M64" s="74"/>
      <c r="O64" s="75"/>
    </row>
    <row r="65" spans="1:15" s="4" customFormat="1" x14ac:dyDescent="0.25">
      <c r="K65" s="73"/>
      <c r="L65" s="74"/>
      <c r="M65" s="74"/>
      <c r="O65" s="75"/>
    </row>
    <row r="66" spans="1:15" s="4" customFormat="1" x14ac:dyDescent="0.25">
      <c r="A66" s="78"/>
      <c r="K66" s="73"/>
      <c r="L66" s="74"/>
      <c r="M66" s="74"/>
      <c r="O66" s="75"/>
    </row>
    <row r="67" spans="1:15" s="4" customFormat="1" x14ac:dyDescent="0.25">
      <c r="K67" s="73"/>
      <c r="L67" s="74"/>
      <c r="M67" s="74"/>
      <c r="O67" s="75"/>
    </row>
    <row r="68" spans="1:15" s="4" customFormat="1" x14ac:dyDescent="0.25">
      <c r="K68" s="73"/>
      <c r="L68" s="74"/>
      <c r="M68" s="74"/>
      <c r="O68" s="75"/>
    </row>
    <row r="69" spans="1:15" s="4" customFormat="1" x14ac:dyDescent="0.25">
      <c r="K69" s="73"/>
      <c r="L69" s="74"/>
      <c r="M69" s="74"/>
      <c r="O69" s="75"/>
    </row>
    <row r="70" spans="1:15" s="4" customFormat="1" x14ac:dyDescent="0.25">
      <c r="K70" s="73"/>
      <c r="L70" s="74"/>
      <c r="M70" s="74"/>
      <c r="O70" s="75"/>
    </row>
    <row r="71" spans="1:15" s="4" customFormat="1" x14ac:dyDescent="0.25">
      <c r="K71" s="73"/>
      <c r="L71" s="74"/>
      <c r="M71" s="74"/>
      <c r="O71" s="75"/>
    </row>
    <row r="72" spans="1:15" s="4" customFormat="1" x14ac:dyDescent="0.25">
      <c r="K72" s="73"/>
      <c r="L72" s="74"/>
      <c r="M72" s="74"/>
      <c r="O72" s="75"/>
    </row>
    <row r="73" spans="1:15" s="4" customFormat="1" x14ac:dyDescent="0.25">
      <c r="K73" s="73"/>
      <c r="L73" s="74"/>
      <c r="M73" s="74"/>
      <c r="O73" s="75"/>
    </row>
    <row r="74" spans="1:15" s="4" customFormat="1" x14ac:dyDescent="0.25">
      <c r="K74" s="73"/>
      <c r="L74" s="74"/>
      <c r="M74" s="74"/>
      <c r="O74" s="75"/>
    </row>
    <row r="75" spans="1:15" s="4" customFormat="1" x14ac:dyDescent="0.25">
      <c r="K75" s="73"/>
      <c r="L75" s="74"/>
      <c r="M75" s="74"/>
      <c r="O75" s="75"/>
    </row>
    <row r="76" spans="1:15" s="4" customFormat="1" x14ac:dyDescent="0.25">
      <c r="K76" s="73"/>
      <c r="L76" s="74"/>
      <c r="M76" s="74"/>
      <c r="O76" s="75"/>
    </row>
    <row r="77" spans="1:15" s="4" customFormat="1" x14ac:dyDescent="0.25">
      <c r="K77" s="73"/>
      <c r="L77" s="74"/>
      <c r="M77" s="74"/>
      <c r="O77" s="75"/>
    </row>
    <row r="78" spans="1:15" s="4" customFormat="1" x14ac:dyDescent="0.25">
      <c r="K78" s="73"/>
      <c r="L78" s="74"/>
      <c r="M78" s="74"/>
      <c r="O78" s="75"/>
    </row>
    <row r="79" spans="1:15" s="4" customFormat="1" x14ac:dyDescent="0.25">
      <c r="K79" s="73"/>
      <c r="L79" s="74"/>
      <c r="M79" s="74"/>
      <c r="O79" s="75"/>
    </row>
    <row r="80" spans="1:15" s="4" customFormat="1" x14ac:dyDescent="0.25">
      <c r="K80" s="73"/>
      <c r="L80" s="74"/>
      <c r="M80" s="74"/>
      <c r="O80" s="75"/>
    </row>
    <row r="81" spans="1:15" s="4" customFormat="1" x14ac:dyDescent="0.25">
      <c r="K81" s="73"/>
      <c r="L81" s="74"/>
      <c r="M81" s="74"/>
      <c r="O81" s="75"/>
    </row>
    <row r="82" spans="1:15" s="4" customFormat="1" x14ac:dyDescent="0.25">
      <c r="K82" s="73"/>
      <c r="L82" s="74"/>
      <c r="M82" s="74"/>
      <c r="O82" s="75"/>
    </row>
    <row r="83" spans="1:15" s="4" customFormat="1" x14ac:dyDescent="0.25">
      <c r="K83" s="73"/>
      <c r="L83" s="74"/>
      <c r="M83" s="74"/>
      <c r="O83" s="75"/>
    </row>
    <row r="84" spans="1:15" s="4" customFormat="1" x14ac:dyDescent="0.25">
      <c r="K84" s="73"/>
      <c r="L84" s="74"/>
      <c r="M84" s="74"/>
      <c r="O84" s="75"/>
    </row>
    <row r="85" spans="1:15" s="4" customFormat="1" x14ac:dyDescent="0.25">
      <c r="K85" s="73"/>
      <c r="L85" s="74"/>
      <c r="M85" s="74"/>
      <c r="O85" s="75"/>
    </row>
    <row r="86" spans="1:15" s="4" customFormat="1" x14ac:dyDescent="0.25">
      <c r="K86" s="73"/>
      <c r="L86" s="74"/>
      <c r="M86" s="74"/>
      <c r="O86" s="75"/>
    </row>
    <row r="87" spans="1:15" s="4" customFormat="1" x14ac:dyDescent="0.25">
      <c r="K87" s="73"/>
      <c r="L87" s="74"/>
      <c r="M87" s="74"/>
      <c r="O87" s="75"/>
    </row>
    <row r="88" spans="1:15" s="4" customFormat="1" x14ac:dyDescent="0.25">
      <c r="K88" s="73"/>
      <c r="L88" s="74"/>
      <c r="M88" s="74"/>
      <c r="O88" s="75"/>
    </row>
    <row r="89" spans="1:15" s="4" customFormat="1" x14ac:dyDescent="0.25">
      <c r="K89" s="73"/>
      <c r="L89" s="74"/>
      <c r="M89" s="74"/>
      <c r="O89" s="75"/>
    </row>
    <row r="90" spans="1:15" s="4" customFormat="1" x14ac:dyDescent="0.25">
      <c r="K90" s="73"/>
      <c r="L90" s="74"/>
      <c r="M90" s="74"/>
      <c r="O90" s="75"/>
    </row>
    <row r="91" spans="1:15" s="4" customFormat="1" x14ac:dyDescent="0.25">
      <c r="K91" s="73"/>
      <c r="L91" s="74"/>
      <c r="M91" s="74"/>
      <c r="O91" s="75"/>
    </row>
    <row r="92" spans="1:15" x14ac:dyDescent="0.25">
      <c r="A92"/>
      <c r="B92"/>
      <c r="C92" s="79"/>
      <c r="D92"/>
      <c r="E92"/>
      <c r="F92"/>
      <c r="G92"/>
      <c r="H92"/>
      <c r="I92"/>
      <c r="J92"/>
      <c r="K92" s="80"/>
      <c r="L92"/>
      <c r="M92"/>
      <c r="N92"/>
      <c r="O92" s="81"/>
    </row>
    <row r="93" spans="1:15" x14ac:dyDescent="0.25">
      <c r="A93"/>
      <c r="B93"/>
      <c r="C93" s="79"/>
      <c r="D93"/>
      <c r="E93"/>
      <c r="F93"/>
      <c r="G93"/>
      <c r="H93"/>
      <c r="I93"/>
      <c r="J93"/>
      <c r="K93" s="80"/>
      <c r="L93"/>
      <c r="M93"/>
      <c r="N93"/>
      <c r="O93" s="81"/>
    </row>
    <row r="94" spans="1:15" x14ac:dyDescent="0.25">
      <c r="A94"/>
      <c r="B94"/>
      <c r="C94" s="79"/>
      <c r="D94"/>
      <c r="E94"/>
      <c r="F94"/>
      <c r="G94"/>
      <c r="H94"/>
      <c r="I94"/>
      <c r="J94"/>
      <c r="K94" s="80"/>
      <c r="L94"/>
      <c r="M94"/>
      <c r="N94"/>
      <c r="O94" s="81"/>
    </row>
    <row r="95" spans="1:15" x14ac:dyDescent="0.25">
      <c r="A95"/>
      <c r="B95"/>
      <c r="C95" s="79"/>
      <c r="D95"/>
      <c r="E95"/>
      <c r="F95"/>
      <c r="G95"/>
      <c r="H95"/>
      <c r="I95"/>
      <c r="J95"/>
      <c r="K95" s="80"/>
      <c r="L95"/>
      <c r="M95"/>
      <c r="N95"/>
      <c r="O95" s="81"/>
    </row>
    <row r="96" spans="1:15" x14ac:dyDescent="0.25">
      <c r="A96"/>
      <c r="B96"/>
      <c r="C96" s="79"/>
      <c r="D96"/>
      <c r="E96"/>
      <c r="F96"/>
      <c r="G96"/>
      <c r="H96"/>
      <c r="I96"/>
      <c r="J96"/>
      <c r="K96" s="80"/>
      <c r="L96"/>
      <c r="M96"/>
      <c r="N96"/>
      <c r="O96" s="81"/>
    </row>
    <row r="97" spans="1:15" x14ac:dyDescent="0.25">
      <c r="A97"/>
      <c r="B97"/>
      <c r="C97" s="79"/>
      <c r="D97"/>
      <c r="E97"/>
      <c r="F97"/>
      <c r="G97"/>
      <c r="H97"/>
      <c r="I97"/>
      <c r="J97"/>
      <c r="K97" s="80"/>
      <c r="L97"/>
      <c r="M97"/>
      <c r="N97"/>
      <c r="O97" s="81"/>
    </row>
    <row r="98" spans="1:15" x14ac:dyDescent="0.25">
      <c r="A98"/>
      <c r="B98"/>
      <c r="C98" s="79"/>
      <c r="D98"/>
      <c r="E98"/>
      <c r="F98"/>
      <c r="G98"/>
      <c r="H98"/>
      <c r="I98"/>
      <c r="J98"/>
      <c r="K98" s="80"/>
      <c r="L98"/>
      <c r="M98"/>
      <c r="N98"/>
      <c r="O98" s="81"/>
    </row>
    <row r="99" spans="1:15" x14ac:dyDescent="0.25">
      <c r="A99"/>
      <c r="B99"/>
      <c r="C99" s="79"/>
      <c r="D99"/>
      <c r="E99"/>
      <c r="F99"/>
      <c r="G99"/>
      <c r="H99"/>
      <c r="I99"/>
      <c r="J99"/>
      <c r="K99" s="80"/>
      <c r="L99"/>
      <c r="M99"/>
      <c r="N99"/>
      <c r="O99" s="81"/>
    </row>
    <row r="100" spans="1:15" x14ac:dyDescent="0.25">
      <c r="A100"/>
      <c r="B100"/>
      <c r="C100" s="79"/>
      <c r="D100"/>
      <c r="E100"/>
      <c r="F100"/>
      <c r="G100"/>
      <c r="H100"/>
      <c r="I100"/>
      <c r="J100"/>
      <c r="K100" s="80"/>
      <c r="L100"/>
      <c r="M100"/>
      <c r="N100"/>
      <c r="O100" s="81"/>
    </row>
    <row r="101" spans="1:15" x14ac:dyDescent="0.25">
      <c r="A101"/>
      <c r="B101"/>
      <c r="C101" s="79"/>
      <c r="D101"/>
      <c r="E101"/>
      <c r="F101"/>
      <c r="G101"/>
      <c r="H101"/>
      <c r="I101"/>
      <c r="J101"/>
      <c r="K101" s="80"/>
      <c r="L101"/>
      <c r="M101"/>
      <c r="N101"/>
      <c r="O101" s="81"/>
    </row>
    <row r="102" spans="1:15" x14ac:dyDescent="0.25">
      <c r="A102"/>
      <c r="B102"/>
      <c r="C102" s="79"/>
      <c r="D102"/>
      <c r="E102"/>
      <c r="F102"/>
      <c r="G102"/>
      <c r="H102"/>
      <c r="I102"/>
      <c r="J102"/>
      <c r="K102" s="80"/>
      <c r="L102"/>
      <c r="M102"/>
      <c r="N102"/>
      <c r="O102" s="81"/>
    </row>
    <row r="103" spans="1:15" x14ac:dyDescent="0.25">
      <c r="A103"/>
      <c r="B103"/>
      <c r="C103" s="79"/>
      <c r="D103"/>
      <c r="E103"/>
      <c r="F103"/>
      <c r="G103"/>
      <c r="H103"/>
      <c r="I103"/>
      <c r="J103"/>
      <c r="K103" s="80"/>
      <c r="L103"/>
      <c r="M103"/>
      <c r="N103"/>
      <c r="O103" s="81"/>
    </row>
    <row r="104" spans="1:15" x14ac:dyDescent="0.25">
      <c r="A104"/>
      <c r="B104"/>
      <c r="C104" s="79"/>
      <c r="D104"/>
      <c r="E104"/>
      <c r="F104"/>
      <c r="G104"/>
      <c r="H104"/>
      <c r="I104"/>
      <c r="J104"/>
      <c r="K104" s="80"/>
      <c r="L104"/>
      <c r="M104"/>
      <c r="N104"/>
      <c r="O104" s="81"/>
    </row>
    <row r="105" spans="1:15" x14ac:dyDescent="0.25">
      <c r="A105"/>
      <c r="B105"/>
      <c r="C105" s="79"/>
      <c r="D105"/>
      <c r="E105"/>
      <c r="F105"/>
      <c r="G105"/>
      <c r="H105"/>
      <c r="I105"/>
      <c r="J105"/>
      <c r="K105" s="80"/>
      <c r="L105"/>
      <c r="M105"/>
      <c r="N105"/>
      <c r="O105" s="81"/>
    </row>
    <row r="106" spans="1:15" x14ac:dyDescent="0.25">
      <c r="A106"/>
      <c r="B106"/>
      <c r="C106" s="79"/>
      <c r="D106"/>
      <c r="E106"/>
      <c r="F106"/>
      <c r="G106"/>
      <c r="H106"/>
      <c r="I106"/>
      <c r="J106"/>
      <c r="K106" s="80"/>
      <c r="L106"/>
      <c r="M106"/>
      <c r="N106"/>
      <c r="O106" s="81"/>
    </row>
    <row r="107" spans="1:15" x14ac:dyDescent="0.25">
      <c r="A107"/>
      <c r="B107"/>
      <c r="C107" s="79"/>
      <c r="D107"/>
      <c r="E107"/>
      <c r="F107"/>
      <c r="G107"/>
      <c r="H107"/>
      <c r="I107"/>
      <c r="J107"/>
      <c r="K107" s="80"/>
      <c r="L107"/>
      <c r="M107"/>
      <c r="N107"/>
      <c r="O107" s="81"/>
    </row>
    <row r="108" spans="1:15" x14ac:dyDescent="0.25">
      <c r="A108"/>
      <c r="B108"/>
      <c r="C108" s="79"/>
      <c r="D108"/>
      <c r="E108"/>
      <c r="F108"/>
      <c r="G108"/>
      <c r="H108"/>
      <c r="I108"/>
      <c r="J108"/>
      <c r="K108" s="80"/>
      <c r="L108"/>
      <c r="M108"/>
      <c r="N108"/>
      <c r="O108" s="81"/>
    </row>
    <row r="109" spans="1:15" x14ac:dyDescent="0.25">
      <c r="A109"/>
      <c r="B109"/>
      <c r="C109" s="79"/>
      <c r="D109"/>
      <c r="E109"/>
      <c r="F109"/>
      <c r="G109"/>
      <c r="H109"/>
      <c r="I109"/>
      <c r="J109"/>
      <c r="K109" s="80"/>
      <c r="L109"/>
      <c r="M109"/>
      <c r="N109"/>
      <c r="O109" s="81"/>
    </row>
    <row r="110" spans="1:15" x14ac:dyDescent="0.25">
      <c r="A110"/>
      <c r="B110"/>
      <c r="C110" s="79"/>
      <c r="D110"/>
      <c r="E110"/>
      <c r="F110"/>
      <c r="G110"/>
      <c r="H110"/>
      <c r="I110"/>
      <c r="J110"/>
      <c r="K110" s="80"/>
      <c r="L110"/>
      <c r="M110"/>
      <c r="N110"/>
      <c r="O110" s="81"/>
    </row>
    <row r="111" spans="1:15" x14ac:dyDescent="0.25">
      <c r="A111"/>
      <c r="B111"/>
      <c r="C111" s="79"/>
      <c r="D111"/>
      <c r="E111"/>
      <c r="F111"/>
      <c r="G111"/>
      <c r="H111"/>
      <c r="I111"/>
      <c r="J111"/>
      <c r="K111" s="80"/>
      <c r="L111"/>
      <c r="M111"/>
      <c r="N111"/>
      <c r="O111" s="81"/>
    </row>
    <row r="112" spans="1:15" x14ac:dyDescent="0.25">
      <c r="A112"/>
      <c r="B112"/>
      <c r="C112" s="79"/>
      <c r="D112"/>
      <c r="E112"/>
      <c r="F112"/>
      <c r="G112"/>
      <c r="H112"/>
      <c r="I112"/>
      <c r="J112"/>
      <c r="K112" s="80"/>
      <c r="L112"/>
      <c r="M112"/>
      <c r="N112"/>
      <c r="O112" s="81"/>
    </row>
    <row r="113" spans="1:15" x14ac:dyDescent="0.25">
      <c r="A113"/>
      <c r="B113"/>
      <c r="C113" s="79"/>
      <c r="D113"/>
      <c r="E113"/>
      <c r="F113"/>
      <c r="G113"/>
      <c r="H113"/>
      <c r="I113"/>
      <c r="J113"/>
      <c r="K113" s="80"/>
      <c r="L113"/>
      <c r="M113"/>
      <c r="N113"/>
      <c r="O113" s="81"/>
    </row>
    <row r="114" spans="1:15" x14ac:dyDescent="0.25">
      <c r="A114"/>
      <c r="B114"/>
      <c r="C114" s="79"/>
      <c r="D114"/>
      <c r="E114"/>
      <c r="F114"/>
      <c r="G114"/>
      <c r="H114"/>
      <c r="I114"/>
      <c r="J114"/>
      <c r="K114" s="80"/>
      <c r="L114"/>
      <c r="M114"/>
      <c r="N114"/>
      <c r="O114" s="81"/>
    </row>
    <row r="115" spans="1:15" x14ac:dyDescent="0.25">
      <c r="A115"/>
      <c r="B115"/>
      <c r="C115" s="79"/>
      <c r="D115"/>
      <c r="E115"/>
      <c r="F115"/>
      <c r="G115"/>
      <c r="H115"/>
      <c r="I115"/>
      <c r="J115"/>
      <c r="K115" s="80"/>
      <c r="L115"/>
      <c r="M115"/>
      <c r="N115"/>
      <c r="O115" s="81"/>
    </row>
    <row r="116" spans="1:15" x14ac:dyDescent="0.25">
      <c r="A116"/>
      <c r="B116"/>
      <c r="C116" s="79"/>
      <c r="D116"/>
      <c r="E116"/>
      <c r="F116"/>
      <c r="G116"/>
      <c r="H116"/>
      <c r="I116"/>
      <c r="J116"/>
      <c r="K116" s="80"/>
      <c r="L116"/>
      <c r="M116"/>
      <c r="N116"/>
      <c r="O116" s="81"/>
    </row>
    <row r="117" spans="1:15" x14ac:dyDescent="0.25">
      <c r="A117"/>
      <c r="B117"/>
      <c r="C117" s="79"/>
      <c r="D117"/>
      <c r="E117"/>
      <c r="F117"/>
      <c r="G117"/>
      <c r="H117"/>
      <c r="I117"/>
      <c r="J117"/>
      <c r="K117" s="80"/>
      <c r="L117"/>
      <c r="M117"/>
      <c r="N117"/>
      <c r="O117" s="81"/>
    </row>
    <row r="118" spans="1:15" x14ac:dyDescent="0.25">
      <c r="A118"/>
      <c r="B118"/>
      <c r="C118" s="79"/>
      <c r="D118"/>
      <c r="E118"/>
      <c r="F118"/>
      <c r="G118"/>
      <c r="H118"/>
      <c r="I118"/>
      <c r="J118"/>
      <c r="K118" s="80"/>
      <c r="L118"/>
      <c r="M118"/>
      <c r="N118"/>
      <c r="O118" s="81"/>
    </row>
    <row r="119" spans="1:15" x14ac:dyDescent="0.25">
      <c r="A119"/>
      <c r="B119"/>
      <c r="C119" s="79"/>
      <c r="D119"/>
      <c r="E119"/>
      <c r="F119"/>
      <c r="G119"/>
      <c r="H119"/>
      <c r="I119"/>
      <c r="J119"/>
      <c r="K119" s="80"/>
      <c r="L119"/>
      <c r="M119"/>
      <c r="N119"/>
      <c r="O119" s="81"/>
    </row>
    <row r="120" spans="1:15" x14ac:dyDescent="0.25">
      <c r="A120"/>
      <c r="B120"/>
      <c r="C120" s="79"/>
      <c r="D120"/>
      <c r="E120"/>
      <c r="F120"/>
      <c r="G120"/>
      <c r="H120"/>
      <c r="I120"/>
      <c r="J120"/>
      <c r="K120" s="80"/>
      <c r="L120"/>
      <c r="M120"/>
      <c r="N120"/>
      <c r="O120" s="81"/>
    </row>
    <row r="121" spans="1:15" x14ac:dyDescent="0.25">
      <c r="A121"/>
      <c r="B121"/>
      <c r="C121" s="79"/>
      <c r="D121"/>
      <c r="E121"/>
      <c r="F121"/>
      <c r="G121"/>
      <c r="H121"/>
      <c r="I121"/>
      <c r="J121"/>
      <c r="K121" s="80"/>
      <c r="L121"/>
      <c r="M121"/>
      <c r="N121"/>
      <c r="O121" s="81"/>
    </row>
    <row r="122" spans="1:15" x14ac:dyDescent="0.25">
      <c r="A122"/>
      <c r="B122"/>
      <c r="C122" s="79"/>
      <c r="D122"/>
      <c r="E122"/>
      <c r="F122"/>
      <c r="G122"/>
      <c r="H122"/>
      <c r="I122"/>
      <c r="J122"/>
      <c r="K122" s="80"/>
      <c r="L122"/>
      <c r="M122"/>
      <c r="N122"/>
      <c r="O122" s="81"/>
    </row>
    <row r="123" spans="1:15" x14ac:dyDescent="0.25">
      <c r="A123"/>
      <c r="B123"/>
      <c r="C123" s="79"/>
      <c r="D123"/>
      <c r="E123"/>
      <c r="F123"/>
      <c r="G123"/>
      <c r="H123"/>
      <c r="I123"/>
      <c r="J123"/>
      <c r="K123" s="80"/>
      <c r="L123"/>
      <c r="M123"/>
      <c r="N123"/>
      <c r="O123" s="81"/>
    </row>
    <row r="124" spans="1:15" x14ac:dyDescent="0.25">
      <c r="A124"/>
      <c r="B124"/>
      <c r="C124" s="79"/>
      <c r="D124"/>
      <c r="E124"/>
      <c r="F124"/>
      <c r="G124"/>
      <c r="H124"/>
      <c r="I124"/>
      <c r="J124"/>
      <c r="K124" s="80"/>
      <c r="L124"/>
      <c r="M124"/>
      <c r="N124"/>
      <c r="O124" s="81"/>
    </row>
    <row r="125" spans="1:15" x14ac:dyDescent="0.25">
      <c r="A125"/>
      <c r="B125"/>
      <c r="C125" s="79"/>
      <c r="D125"/>
      <c r="E125"/>
      <c r="F125"/>
      <c r="G125"/>
      <c r="H125"/>
      <c r="I125"/>
      <c r="J125"/>
      <c r="K125" s="80"/>
      <c r="L125"/>
      <c r="M125"/>
      <c r="N125"/>
      <c r="O125" s="81"/>
    </row>
    <row r="126" spans="1:15" x14ac:dyDescent="0.25">
      <c r="A126"/>
      <c r="B126"/>
      <c r="C126" s="79"/>
      <c r="D126"/>
      <c r="E126"/>
      <c r="F126"/>
      <c r="G126"/>
      <c r="H126"/>
      <c r="I126"/>
      <c r="J126"/>
      <c r="K126" s="80"/>
      <c r="L126"/>
      <c r="M126"/>
      <c r="N126"/>
      <c r="O126" s="81"/>
    </row>
    <row r="127" spans="1:15" x14ac:dyDescent="0.25">
      <c r="A127"/>
      <c r="B127"/>
      <c r="C127" s="79"/>
      <c r="D127"/>
      <c r="E127"/>
      <c r="F127"/>
      <c r="G127"/>
      <c r="H127"/>
      <c r="I127"/>
      <c r="J127"/>
      <c r="K127" s="80"/>
      <c r="L127"/>
      <c r="M127"/>
      <c r="N127"/>
      <c r="O127" s="81"/>
    </row>
    <row r="128" spans="1:15" x14ac:dyDescent="0.25">
      <c r="A128"/>
      <c r="B128"/>
      <c r="C128" s="79"/>
      <c r="D128"/>
      <c r="E128"/>
      <c r="F128"/>
      <c r="G128"/>
      <c r="H128"/>
      <c r="I128"/>
      <c r="J128"/>
      <c r="K128" s="80"/>
      <c r="L128"/>
      <c r="M128"/>
      <c r="N128"/>
      <c r="O128" s="81"/>
    </row>
    <row r="129" spans="1:15" x14ac:dyDescent="0.25">
      <c r="A129"/>
      <c r="B129"/>
      <c r="C129" s="79"/>
      <c r="D129"/>
      <c r="E129"/>
      <c r="F129"/>
      <c r="G129"/>
      <c r="H129"/>
      <c r="I129"/>
      <c r="J129"/>
      <c r="K129" s="80"/>
      <c r="L129"/>
      <c r="M129"/>
      <c r="N129"/>
      <c r="O129" s="81"/>
    </row>
    <row r="130" spans="1:15" x14ac:dyDescent="0.25">
      <c r="A130"/>
      <c r="B130"/>
      <c r="C130" s="79"/>
      <c r="D130"/>
      <c r="E130"/>
      <c r="F130"/>
      <c r="G130"/>
      <c r="H130"/>
      <c r="I130"/>
      <c r="J130"/>
      <c r="K130" s="80"/>
      <c r="L130"/>
      <c r="M130"/>
      <c r="N130"/>
      <c r="O130" s="81"/>
    </row>
    <row r="131" spans="1:15" x14ac:dyDescent="0.25">
      <c r="A131"/>
      <c r="B131"/>
      <c r="C131" s="79"/>
      <c r="D131"/>
      <c r="E131"/>
      <c r="F131"/>
      <c r="G131"/>
      <c r="H131"/>
      <c r="I131"/>
      <c r="J131"/>
      <c r="K131" s="80"/>
      <c r="L131"/>
      <c r="M131"/>
      <c r="N131"/>
      <c r="O131" s="81"/>
    </row>
    <row r="132" spans="1:15" x14ac:dyDescent="0.25">
      <c r="A132"/>
      <c r="B132"/>
      <c r="C132" s="79"/>
      <c r="D132"/>
      <c r="E132"/>
      <c r="F132"/>
      <c r="G132"/>
      <c r="H132"/>
      <c r="I132"/>
      <c r="J132"/>
      <c r="K132" s="80"/>
      <c r="L132"/>
      <c r="M132"/>
      <c r="N132"/>
      <c r="O132" s="81"/>
    </row>
    <row r="133" spans="1:15" x14ac:dyDescent="0.25">
      <c r="A133"/>
      <c r="B133"/>
      <c r="C133" s="79"/>
      <c r="D133"/>
      <c r="E133"/>
      <c r="F133"/>
      <c r="G133"/>
      <c r="H133"/>
      <c r="I133"/>
      <c r="J133"/>
      <c r="K133" s="80"/>
      <c r="L133"/>
      <c r="M133"/>
      <c r="N133"/>
      <c r="O133" s="81"/>
    </row>
    <row r="134" spans="1:15" x14ac:dyDescent="0.25">
      <c r="A134"/>
      <c r="B134"/>
      <c r="C134" s="79"/>
      <c r="D134"/>
      <c r="E134"/>
      <c r="F134"/>
      <c r="G134"/>
      <c r="H134"/>
      <c r="I134"/>
      <c r="J134"/>
      <c r="K134" s="80"/>
      <c r="L134"/>
      <c r="M134"/>
      <c r="N134"/>
      <c r="O134" s="81"/>
    </row>
    <row r="135" spans="1:15" x14ac:dyDescent="0.25">
      <c r="A135"/>
      <c r="B135"/>
      <c r="C135" s="79"/>
      <c r="D135"/>
      <c r="E135"/>
      <c r="F135"/>
      <c r="G135"/>
      <c r="H135"/>
      <c r="I135"/>
      <c r="J135"/>
      <c r="K135" s="80"/>
      <c r="L135"/>
      <c r="M135"/>
      <c r="N135"/>
      <c r="O135" s="81"/>
    </row>
    <row r="136" spans="1:15" x14ac:dyDescent="0.25">
      <c r="A136"/>
      <c r="B136"/>
      <c r="C136" s="79"/>
      <c r="D136"/>
      <c r="E136"/>
      <c r="F136"/>
      <c r="G136"/>
      <c r="H136"/>
      <c r="I136"/>
      <c r="J136"/>
      <c r="K136" s="80"/>
      <c r="L136"/>
      <c r="M136"/>
      <c r="N136"/>
      <c r="O136" s="81"/>
    </row>
    <row r="137" spans="1:15" x14ac:dyDescent="0.25">
      <c r="A137"/>
      <c r="B137"/>
      <c r="C137" s="79"/>
      <c r="D137"/>
      <c r="E137"/>
      <c r="F137"/>
      <c r="G137"/>
      <c r="H137"/>
      <c r="I137"/>
      <c r="J137"/>
      <c r="K137" s="80"/>
      <c r="L137"/>
      <c r="M137"/>
      <c r="N137"/>
      <c r="O137" s="81"/>
    </row>
    <row r="138" spans="1:15" x14ac:dyDescent="0.25">
      <c r="A138"/>
      <c r="B138"/>
      <c r="C138" s="79"/>
      <c r="D138"/>
      <c r="E138"/>
      <c r="F138"/>
      <c r="G138"/>
      <c r="H138"/>
      <c r="I138"/>
      <c r="J138"/>
      <c r="K138" s="80"/>
      <c r="L138"/>
      <c r="M138"/>
      <c r="N138"/>
      <c r="O138" s="81"/>
    </row>
    <row r="139" spans="1:15" x14ac:dyDescent="0.25">
      <c r="A139"/>
      <c r="B139"/>
      <c r="C139" s="79"/>
      <c r="D139"/>
      <c r="E139"/>
      <c r="F139"/>
      <c r="G139"/>
      <c r="H139"/>
      <c r="I139"/>
      <c r="J139"/>
      <c r="K139" s="80"/>
      <c r="L139"/>
      <c r="M139"/>
      <c r="N139"/>
      <c r="O139" s="81"/>
    </row>
    <row r="140" spans="1:15" x14ac:dyDescent="0.25">
      <c r="A140"/>
      <c r="B140"/>
      <c r="C140" s="79"/>
      <c r="D140"/>
      <c r="E140"/>
      <c r="F140"/>
      <c r="G140"/>
      <c r="H140"/>
      <c r="I140"/>
      <c r="J140"/>
      <c r="K140" s="80"/>
      <c r="L140"/>
      <c r="M140"/>
      <c r="N140"/>
      <c r="O140" s="81"/>
    </row>
    <row r="141" spans="1:15" x14ac:dyDescent="0.25">
      <c r="A141"/>
      <c r="B141"/>
      <c r="C141" s="79"/>
      <c r="D141"/>
      <c r="E141"/>
      <c r="F141"/>
      <c r="G141"/>
      <c r="H141"/>
      <c r="I141"/>
      <c r="J141"/>
      <c r="K141" s="80"/>
      <c r="L141"/>
      <c r="M141"/>
      <c r="N141"/>
      <c r="O141" s="81"/>
    </row>
    <row r="142" spans="1:15" x14ac:dyDescent="0.25">
      <c r="A142"/>
      <c r="B142"/>
      <c r="C142" s="79"/>
      <c r="D142"/>
      <c r="E142"/>
      <c r="F142"/>
      <c r="G142"/>
      <c r="H142"/>
      <c r="I142"/>
      <c r="J142"/>
      <c r="K142" s="80"/>
      <c r="L142"/>
      <c r="M142"/>
      <c r="N142"/>
      <c r="O142" s="81"/>
    </row>
    <row r="143" spans="1:15" x14ac:dyDescent="0.25">
      <c r="A143"/>
      <c r="B143"/>
      <c r="C143" s="79"/>
      <c r="D143"/>
      <c r="E143"/>
      <c r="F143"/>
      <c r="G143"/>
      <c r="H143"/>
      <c r="I143"/>
      <c r="J143"/>
      <c r="K143" s="80"/>
      <c r="L143"/>
      <c r="M143"/>
      <c r="N143"/>
      <c r="O143" s="81"/>
    </row>
    <row r="144" spans="1:15" x14ac:dyDescent="0.25">
      <c r="A144"/>
      <c r="B144"/>
      <c r="C144" s="79"/>
      <c r="D144"/>
      <c r="E144"/>
      <c r="F144"/>
      <c r="G144"/>
      <c r="H144"/>
      <c r="I144"/>
      <c r="J144"/>
      <c r="K144" s="80"/>
      <c r="L144"/>
      <c r="M144"/>
      <c r="N144"/>
      <c r="O144" s="81"/>
    </row>
    <row r="145" spans="1:15" x14ac:dyDescent="0.25">
      <c r="A145"/>
      <c r="B145"/>
      <c r="C145" s="79"/>
      <c r="D145"/>
      <c r="E145"/>
      <c r="F145"/>
      <c r="G145"/>
      <c r="H145"/>
      <c r="I145"/>
      <c r="J145"/>
      <c r="K145" s="80"/>
      <c r="L145"/>
      <c r="M145"/>
      <c r="N145"/>
      <c r="O145" s="81"/>
    </row>
    <row r="146" spans="1:15" x14ac:dyDescent="0.25">
      <c r="A146"/>
      <c r="B146"/>
      <c r="C146" s="79"/>
      <c r="D146"/>
      <c r="E146"/>
      <c r="F146"/>
      <c r="G146"/>
      <c r="H146"/>
      <c r="I146"/>
      <c r="J146"/>
      <c r="K146" s="80"/>
      <c r="L146"/>
      <c r="M146"/>
      <c r="N146"/>
      <c r="O146" s="81"/>
    </row>
    <row r="147" spans="1:15" x14ac:dyDescent="0.25">
      <c r="A147"/>
      <c r="B147"/>
      <c r="C147" s="79"/>
      <c r="D147"/>
      <c r="E147"/>
      <c r="F147"/>
      <c r="G147"/>
      <c r="H147"/>
      <c r="I147"/>
      <c r="J147"/>
      <c r="K147" s="80"/>
      <c r="L147"/>
      <c r="M147"/>
      <c r="N147"/>
      <c r="O147" s="81"/>
    </row>
    <row r="148" spans="1:15" x14ac:dyDescent="0.25">
      <c r="A148"/>
      <c r="B148"/>
      <c r="C148" s="79"/>
      <c r="D148"/>
      <c r="E148"/>
      <c r="F148"/>
      <c r="G148"/>
      <c r="H148"/>
      <c r="I148"/>
      <c r="J148"/>
      <c r="K148" s="80"/>
      <c r="L148"/>
      <c r="M148"/>
      <c r="N148"/>
      <c r="O148" s="81"/>
    </row>
    <row r="149" spans="1:15" x14ac:dyDescent="0.25">
      <c r="A149"/>
      <c r="B149"/>
      <c r="C149" s="79"/>
      <c r="D149"/>
      <c r="E149"/>
      <c r="F149"/>
      <c r="G149"/>
      <c r="H149"/>
      <c r="I149"/>
      <c r="J149"/>
      <c r="K149" s="80"/>
      <c r="L149"/>
      <c r="M149"/>
      <c r="N149"/>
      <c r="O149" s="81"/>
    </row>
    <row r="150" spans="1:15" x14ac:dyDescent="0.25">
      <c r="A150"/>
      <c r="B150"/>
      <c r="C150" s="79"/>
      <c r="D150"/>
      <c r="E150"/>
      <c r="F150"/>
      <c r="G150"/>
      <c r="H150"/>
      <c r="I150"/>
      <c r="J150"/>
      <c r="K150" s="80"/>
      <c r="L150"/>
      <c r="M150"/>
      <c r="N150"/>
      <c r="O150" s="81"/>
    </row>
    <row r="151" spans="1:15" x14ac:dyDescent="0.25">
      <c r="A151"/>
      <c r="B151"/>
      <c r="C151" s="79"/>
      <c r="D151"/>
      <c r="E151"/>
      <c r="F151"/>
      <c r="G151"/>
      <c r="H151"/>
      <c r="I151"/>
      <c r="J151"/>
      <c r="K151" s="80"/>
      <c r="L151"/>
      <c r="M151"/>
      <c r="N151"/>
      <c r="O151" s="81"/>
    </row>
    <row r="152" spans="1:15" x14ac:dyDescent="0.25">
      <c r="A152"/>
      <c r="B152"/>
      <c r="C152" s="79"/>
      <c r="D152"/>
      <c r="E152"/>
      <c r="F152"/>
      <c r="G152"/>
      <c r="H152"/>
      <c r="I152"/>
      <c r="J152"/>
      <c r="K152" s="80"/>
      <c r="L152"/>
      <c r="M152"/>
      <c r="N152"/>
      <c r="O152" s="81"/>
    </row>
    <row r="153" spans="1:15" x14ac:dyDescent="0.25">
      <c r="A153"/>
      <c r="B153"/>
      <c r="C153" s="79"/>
      <c r="D153"/>
      <c r="E153"/>
      <c r="F153"/>
      <c r="G153"/>
      <c r="H153"/>
      <c r="I153"/>
      <c r="J153"/>
      <c r="K153" s="80"/>
      <c r="L153"/>
      <c r="M153"/>
      <c r="N153"/>
      <c r="O153" s="81"/>
    </row>
    <row r="154" spans="1:15" x14ac:dyDescent="0.25">
      <c r="A154"/>
      <c r="B154"/>
      <c r="C154" s="79"/>
      <c r="D154"/>
      <c r="E154"/>
      <c r="F154"/>
      <c r="G154"/>
      <c r="H154"/>
      <c r="I154"/>
      <c r="J154"/>
      <c r="K154" s="80"/>
      <c r="L154"/>
      <c r="M154"/>
      <c r="N154"/>
      <c r="O154" s="81"/>
    </row>
    <row r="155" spans="1:15" x14ac:dyDescent="0.25">
      <c r="A155"/>
      <c r="B155"/>
      <c r="C155" s="79"/>
      <c r="D155"/>
      <c r="E155"/>
      <c r="F155"/>
      <c r="G155"/>
      <c r="H155"/>
      <c r="I155"/>
      <c r="J155"/>
      <c r="K155" s="80"/>
      <c r="L155"/>
      <c r="M155"/>
      <c r="N155"/>
      <c r="O155" s="81"/>
    </row>
    <row r="156" spans="1:15" x14ac:dyDescent="0.25">
      <c r="A156"/>
      <c r="B156"/>
      <c r="C156" s="79"/>
      <c r="D156"/>
      <c r="E156"/>
      <c r="F156"/>
      <c r="G156"/>
      <c r="H156"/>
      <c r="I156"/>
      <c r="J156"/>
      <c r="K156" s="80"/>
      <c r="L156"/>
      <c r="M156"/>
      <c r="N156"/>
      <c r="O156" s="81"/>
    </row>
    <row r="157" spans="1:15" x14ac:dyDescent="0.25">
      <c r="A157"/>
      <c r="B157"/>
      <c r="C157" s="79"/>
      <c r="D157"/>
      <c r="E157"/>
      <c r="F157"/>
      <c r="G157"/>
      <c r="H157"/>
      <c r="I157"/>
      <c r="J157"/>
      <c r="K157" s="80"/>
      <c r="L157"/>
      <c r="M157"/>
      <c r="N157"/>
      <c r="O157" s="81"/>
    </row>
    <row r="158" spans="1:15" x14ac:dyDescent="0.25">
      <c r="A158"/>
      <c r="B158"/>
      <c r="C158" s="79"/>
      <c r="D158"/>
      <c r="E158"/>
      <c r="F158"/>
      <c r="G158"/>
      <c r="H158"/>
      <c r="I158"/>
      <c r="J158"/>
      <c r="K158" s="80"/>
      <c r="L158"/>
      <c r="M158"/>
      <c r="N158"/>
      <c r="O158" s="81"/>
    </row>
    <row r="159" spans="1:15" x14ac:dyDescent="0.25">
      <c r="A159"/>
      <c r="B159"/>
      <c r="C159" s="79"/>
      <c r="D159"/>
      <c r="E159"/>
      <c r="F159"/>
      <c r="G159"/>
      <c r="H159"/>
      <c r="I159"/>
      <c r="J159"/>
      <c r="K159" s="80"/>
      <c r="L159"/>
      <c r="M159"/>
      <c r="N159"/>
      <c r="O159" s="81"/>
    </row>
    <row r="160" spans="1:15" x14ac:dyDescent="0.25">
      <c r="A160"/>
      <c r="B160"/>
      <c r="C160" s="79"/>
      <c r="D160"/>
      <c r="E160"/>
      <c r="F160"/>
      <c r="G160"/>
      <c r="H160"/>
      <c r="I160"/>
      <c r="J160"/>
      <c r="K160" s="80"/>
      <c r="L160"/>
      <c r="M160"/>
      <c r="N160"/>
      <c r="O160" s="81"/>
    </row>
    <row r="161" spans="1:15" x14ac:dyDescent="0.25">
      <c r="A161"/>
      <c r="B161"/>
      <c r="C161" s="79"/>
      <c r="D161"/>
      <c r="E161"/>
      <c r="F161"/>
      <c r="G161"/>
      <c r="H161"/>
      <c r="I161"/>
      <c r="J161"/>
      <c r="K161" s="80"/>
      <c r="L161"/>
      <c r="M161"/>
      <c r="N161"/>
      <c r="O161" s="81"/>
    </row>
    <row r="162" spans="1:15" x14ac:dyDescent="0.25">
      <c r="A162"/>
      <c r="B162"/>
      <c r="C162" s="79"/>
      <c r="D162"/>
      <c r="E162"/>
      <c r="F162"/>
      <c r="G162"/>
      <c r="H162"/>
      <c r="I162"/>
      <c r="J162"/>
      <c r="K162" s="80"/>
      <c r="L162"/>
      <c r="M162"/>
      <c r="N162"/>
      <c r="O162" s="81"/>
    </row>
    <row r="163" spans="1:15" x14ac:dyDescent="0.25">
      <c r="A163"/>
      <c r="B163"/>
      <c r="C163" s="79"/>
      <c r="D163"/>
      <c r="E163"/>
      <c r="F163"/>
      <c r="G163"/>
      <c r="H163"/>
      <c r="I163"/>
      <c r="J163"/>
      <c r="K163" s="80"/>
      <c r="L163"/>
      <c r="M163"/>
      <c r="N163"/>
      <c r="O163" s="81"/>
    </row>
    <row r="164" spans="1:15" x14ac:dyDescent="0.25">
      <c r="A164"/>
      <c r="B164"/>
      <c r="C164" s="79"/>
      <c r="D164"/>
      <c r="E164"/>
      <c r="F164"/>
      <c r="G164"/>
      <c r="H164"/>
      <c r="I164"/>
      <c r="J164"/>
      <c r="K164" s="80"/>
      <c r="L164"/>
      <c r="M164"/>
      <c r="N164"/>
      <c r="O164" s="81"/>
    </row>
    <row r="165" spans="1:15" x14ac:dyDescent="0.25">
      <c r="A165"/>
      <c r="B165"/>
      <c r="C165" s="79"/>
      <c r="D165"/>
      <c r="E165"/>
      <c r="F165"/>
      <c r="G165"/>
      <c r="H165"/>
      <c r="I165"/>
      <c r="J165"/>
      <c r="K165" s="80"/>
      <c r="L165"/>
      <c r="M165"/>
      <c r="N165"/>
      <c r="O165" s="81"/>
    </row>
    <row r="166" spans="1:15" x14ac:dyDescent="0.25">
      <c r="A166"/>
      <c r="B166"/>
      <c r="C166" s="79"/>
      <c r="D166"/>
      <c r="E166"/>
      <c r="F166"/>
      <c r="G166"/>
      <c r="H166"/>
      <c r="I166"/>
      <c r="J166"/>
      <c r="K166" s="80"/>
      <c r="L166"/>
      <c r="M166"/>
      <c r="N166"/>
      <c r="O166" s="81"/>
    </row>
    <row r="167" spans="1:15" x14ac:dyDescent="0.25">
      <c r="A167"/>
      <c r="B167"/>
      <c r="C167" s="79"/>
      <c r="D167"/>
      <c r="E167"/>
      <c r="F167"/>
      <c r="G167"/>
      <c r="H167"/>
      <c r="I167"/>
      <c r="J167"/>
      <c r="K167" s="80"/>
      <c r="L167"/>
      <c r="M167"/>
      <c r="N167"/>
      <c r="O167" s="81"/>
    </row>
    <row r="168" spans="1:15" x14ac:dyDescent="0.25">
      <c r="A168"/>
      <c r="B168"/>
      <c r="C168" s="79"/>
      <c r="D168"/>
      <c r="E168"/>
      <c r="F168"/>
      <c r="G168"/>
      <c r="H168"/>
      <c r="I168"/>
      <c r="J168"/>
      <c r="K168" s="80"/>
      <c r="L168"/>
      <c r="M168"/>
      <c r="N168"/>
      <c r="O168" s="81"/>
    </row>
    <row r="169" spans="1:15" x14ac:dyDescent="0.25">
      <c r="A169"/>
      <c r="B169"/>
      <c r="C169" s="79"/>
      <c r="D169"/>
      <c r="E169"/>
      <c r="F169"/>
      <c r="G169"/>
      <c r="H169"/>
      <c r="I169"/>
      <c r="J169"/>
      <c r="K169" s="80"/>
      <c r="L169"/>
      <c r="M169"/>
      <c r="N169"/>
      <c r="O169" s="81"/>
    </row>
    <row r="170" spans="1:15" x14ac:dyDescent="0.25">
      <c r="A170"/>
      <c r="B170"/>
      <c r="C170" s="79"/>
      <c r="D170"/>
      <c r="E170"/>
      <c r="F170"/>
      <c r="G170"/>
      <c r="H170"/>
      <c r="I170"/>
      <c r="J170"/>
      <c r="K170" s="80"/>
      <c r="L170"/>
      <c r="M170"/>
      <c r="N170"/>
      <c r="O170" s="81"/>
    </row>
    <row r="171" spans="1:15" x14ac:dyDescent="0.25">
      <c r="A171"/>
      <c r="B171"/>
      <c r="C171" s="79"/>
      <c r="D171"/>
      <c r="E171"/>
      <c r="F171"/>
      <c r="G171"/>
      <c r="H171"/>
      <c r="I171"/>
      <c r="J171"/>
      <c r="K171" s="80"/>
      <c r="L171"/>
      <c r="M171"/>
      <c r="N171"/>
      <c r="O171" s="81"/>
    </row>
    <row r="172" spans="1:15" x14ac:dyDescent="0.25">
      <c r="A172"/>
      <c r="B172"/>
      <c r="C172" s="79"/>
      <c r="D172"/>
      <c r="E172"/>
      <c r="F172"/>
      <c r="G172"/>
      <c r="H172"/>
      <c r="I172"/>
      <c r="J172"/>
      <c r="K172" s="80"/>
      <c r="L172"/>
      <c r="M172"/>
      <c r="N172"/>
      <c r="O172" s="81"/>
    </row>
    <row r="173" spans="1:15" x14ac:dyDescent="0.25">
      <c r="A173"/>
      <c r="B173"/>
      <c r="C173" s="79"/>
      <c r="D173"/>
      <c r="E173"/>
      <c r="F173"/>
      <c r="G173"/>
      <c r="H173"/>
      <c r="I173"/>
      <c r="J173"/>
      <c r="K173" s="80"/>
      <c r="L173"/>
      <c r="M173"/>
      <c r="N173"/>
      <c r="O173" s="81"/>
    </row>
    <row r="174" spans="1:15" x14ac:dyDescent="0.25">
      <c r="A174"/>
      <c r="B174"/>
      <c r="C174" s="79"/>
      <c r="D174"/>
      <c r="E174"/>
      <c r="F174"/>
      <c r="G174"/>
      <c r="H174"/>
      <c r="I174"/>
      <c r="J174"/>
      <c r="K174" s="80"/>
      <c r="L174"/>
      <c r="M174"/>
      <c r="N174"/>
      <c r="O174" s="81"/>
    </row>
    <row r="175" spans="1:15" x14ac:dyDescent="0.25">
      <c r="A175"/>
      <c r="B175"/>
      <c r="C175" s="79"/>
      <c r="D175"/>
      <c r="E175"/>
      <c r="F175"/>
      <c r="G175"/>
      <c r="H175"/>
      <c r="I175"/>
      <c r="J175"/>
      <c r="K175" s="80"/>
      <c r="L175"/>
      <c r="M175"/>
      <c r="N175"/>
      <c r="O175" s="81"/>
    </row>
    <row r="176" spans="1:15" x14ac:dyDescent="0.25">
      <c r="A176"/>
      <c r="B176"/>
      <c r="C176" s="79"/>
      <c r="D176"/>
      <c r="E176"/>
      <c r="F176"/>
      <c r="G176"/>
      <c r="H176"/>
      <c r="I176"/>
      <c r="J176"/>
      <c r="K176" s="80"/>
      <c r="L176"/>
      <c r="M176"/>
      <c r="N176"/>
      <c r="O176" s="81"/>
    </row>
    <row r="177" spans="1:15" x14ac:dyDescent="0.25">
      <c r="A177"/>
      <c r="B177"/>
      <c r="C177" s="79"/>
      <c r="D177"/>
      <c r="E177"/>
      <c r="F177"/>
      <c r="G177"/>
      <c r="H177"/>
      <c r="I177"/>
      <c r="J177"/>
      <c r="K177" s="80"/>
      <c r="L177"/>
      <c r="M177"/>
      <c r="N177"/>
      <c r="O177" s="81"/>
    </row>
    <row r="178" spans="1:15" x14ac:dyDescent="0.25">
      <c r="A178"/>
      <c r="B178"/>
      <c r="C178" s="79"/>
      <c r="D178"/>
      <c r="E178"/>
      <c r="F178"/>
      <c r="G178"/>
      <c r="H178"/>
      <c r="I178"/>
      <c r="J178"/>
      <c r="K178" s="80"/>
      <c r="L178"/>
      <c r="M178"/>
      <c r="N178"/>
      <c r="O178" s="81"/>
    </row>
    <row r="179" spans="1:15" x14ac:dyDescent="0.25">
      <c r="A179"/>
      <c r="B179"/>
      <c r="C179" s="79"/>
      <c r="D179"/>
      <c r="E179"/>
      <c r="F179"/>
      <c r="G179"/>
      <c r="H179"/>
      <c r="I179"/>
      <c r="J179"/>
      <c r="K179" s="80"/>
      <c r="L179"/>
      <c r="M179"/>
      <c r="N179"/>
      <c r="O179" s="81"/>
    </row>
    <row r="180" spans="1:15" x14ac:dyDescent="0.25">
      <c r="A180"/>
      <c r="B180"/>
      <c r="C180" s="79"/>
      <c r="D180"/>
      <c r="E180"/>
      <c r="F180"/>
      <c r="G180"/>
      <c r="H180"/>
      <c r="I180"/>
      <c r="J180"/>
      <c r="K180" s="80"/>
      <c r="L180"/>
      <c r="M180"/>
      <c r="N180"/>
      <c r="O180" s="81"/>
    </row>
    <row r="181" spans="1:15" x14ac:dyDescent="0.25">
      <c r="A181"/>
      <c r="B181"/>
      <c r="C181" s="79"/>
      <c r="D181"/>
      <c r="E181"/>
      <c r="F181"/>
      <c r="G181"/>
      <c r="H181"/>
      <c r="I181"/>
      <c r="J181"/>
      <c r="K181" s="80"/>
      <c r="L181"/>
      <c r="M181"/>
      <c r="N181"/>
      <c r="O181" s="81"/>
    </row>
    <row r="182" spans="1:15" x14ac:dyDescent="0.25">
      <c r="A182"/>
      <c r="B182"/>
      <c r="C182" s="79"/>
      <c r="D182"/>
      <c r="E182"/>
      <c r="F182"/>
      <c r="G182"/>
      <c r="H182"/>
      <c r="I182"/>
      <c r="J182"/>
      <c r="K182" s="80"/>
      <c r="L182"/>
      <c r="M182"/>
      <c r="N182"/>
      <c r="O182" s="81"/>
    </row>
    <row r="183" spans="1:15" x14ac:dyDescent="0.25">
      <c r="A183"/>
      <c r="B183"/>
      <c r="C183" s="79"/>
      <c r="D183"/>
      <c r="E183"/>
      <c r="F183"/>
      <c r="G183"/>
      <c r="H183"/>
      <c r="I183"/>
      <c r="J183"/>
      <c r="K183" s="80"/>
      <c r="L183"/>
      <c r="M183"/>
      <c r="N183"/>
      <c r="O183" s="81"/>
    </row>
    <row r="184" spans="1:15" x14ac:dyDescent="0.25">
      <c r="A184"/>
      <c r="B184"/>
      <c r="C184" s="79"/>
      <c r="D184"/>
      <c r="E184"/>
      <c r="F184"/>
      <c r="G184"/>
      <c r="H184"/>
      <c r="I184"/>
      <c r="J184"/>
      <c r="K184" s="80"/>
      <c r="L184"/>
      <c r="M184"/>
      <c r="N184"/>
      <c r="O184" s="81"/>
    </row>
    <row r="185" spans="1:15" x14ac:dyDescent="0.25">
      <c r="A185"/>
      <c r="B185"/>
      <c r="C185" s="79"/>
      <c r="D185"/>
      <c r="E185"/>
      <c r="F185"/>
      <c r="G185"/>
      <c r="H185"/>
      <c r="I185"/>
      <c r="J185"/>
      <c r="K185" s="80"/>
      <c r="L185"/>
      <c r="M185"/>
      <c r="N185"/>
      <c r="O185" s="81"/>
    </row>
    <row r="186" spans="1:15" x14ac:dyDescent="0.25">
      <c r="A186"/>
      <c r="B186"/>
      <c r="C186" s="79"/>
      <c r="D186"/>
      <c r="E186"/>
      <c r="F186"/>
      <c r="G186"/>
      <c r="H186"/>
      <c r="I186"/>
      <c r="J186"/>
      <c r="K186" s="80"/>
      <c r="L186"/>
      <c r="M186"/>
      <c r="N186"/>
      <c r="O186" s="81"/>
    </row>
    <row r="187" spans="1:15" x14ac:dyDescent="0.25">
      <c r="A187"/>
      <c r="B187"/>
      <c r="C187" s="79"/>
      <c r="D187"/>
      <c r="E187"/>
      <c r="F187"/>
      <c r="G187"/>
      <c r="H187"/>
      <c r="I187"/>
      <c r="J187"/>
      <c r="K187" s="80"/>
      <c r="L187"/>
      <c r="M187"/>
      <c r="N187"/>
      <c r="O187" s="81"/>
    </row>
    <row r="188" spans="1:15" x14ac:dyDescent="0.25">
      <c r="A188"/>
      <c r="B188"/>
      <c r="C188" s="79"/>
      <c r="D188"/>
      <c r="E188"/>
      <c r="F188"/>
      <c r="G188"/>
      <c r="H188"/>
      <c r="I188"/>
      <c r="J188"/>
      <c r="K188" s="80"/>
      <c r="L188"/>
      <c r="M188"/>
      <c r="N188"/>
      <c r="O188" s="81"/>
    </row>
    <row r="189" spans="1:15" x14ac:dyDescent="0.25">
      <c r="A189"/>
      <c r="B189"/>
      <c r="C189" s="79"/>
      <c r="D189"/>
      <c r="E189"/>
      <c r="F189"/>
      <c r="G189"/>
      <c r="H189"/>
      <c r="I189"/>
      <c r="J189"/>
      <c r="K189" s="80"/>
      <c r="L189"/>
      <c r="M189"/>
      <c r="N189"/>
      <c r="O189" s="81"/>
    </row>
    <row r="190" spans="1:15" x14ac:dyDescent="0.25">
      <c r="A190"/>
      <c r="B190"/>
      <c r="C190" s="79"/>
      <c r="D190"/>
      <c r="E190"/>
      <c r="F190"/>
      <c r="G190"/>
      <c r="H190"/>
      <c r="I190"/>
      <c r="J190"/>
      <c r="K190" s="80"/>
      <c r="L190"/>
      <c r="M190"/>
      <c r="N190"/>
      <c r="O190" s="81"/>
    </row>
    <row r="191" spans="1:15" x14ac:dyDescent="0.25">
      <c r="A191"/>
      <c r="B191"/>
      <c r="C191" s="79"/>
      <c r="D191"/>
      <c r="E191"/>
      <c r="F191"/>
      <c r="G191"/>
      <c r="H191"/>
      <c r="I191"/>
      <c r="J191"/>
      <c r="K191" s="80"/>
      <c r="L191"/>
      <c r="M191"/>
      <c r="N191"/>
      <c r="O191" s="81"/>
    </row>
    <row r="192" spans="1:15" x14ac:dyDescent="0.25">
      <c r="A192"/>
      <c r="B192"/>
      <c r="C192" s="79"/>
      <c r="D192"/>
      <c r="E192"/>
      <c r="F192"/>
      <c r="G192"/>
      <c r="H192"/>
      <c r="I192"/>
      <c r="J192"/>
      <c r="K192" s="80"/>
      <c r="L192"/>
      <c r="M192"/>
      <c r="N192"/>
      <c r="O192" s="81"/>
    </row>
    <row r="193" spans="1:15" x14ac:dyDescent="0.25">
      <c r="A193"/>
      <c r="B193"/>
      <c r="C193" s="79"/>
      <c r="D193"/>
      <c r="E193"/>
      <c r="F193"/>
      <c r="G193"/>
      <c r="H193"/>
      <c r="I193"/>
      <c r="J193"/>
      <c r="K193" s="80"/>
      <c r="L193"/>
      <c r="M193"/>
      <c r="N193"/>
      <c r="O193" s="81"/>
    </row>
    <row r="194" spans="1:15" x14ac:dyDescent="0.25">
      <c r="A194"/>
      <c r="B194"/>
      <c r="C194" s="79"/>
      <c r="D194"/>
      <c r="E194"/>
      <c r="F194"/>
      <c r="G194"/>
      <c r="H194"/>
      <c r="I194"/>
      <c r="J194"/>
      <c r="K194" s="80"/>
      <c r="L194"/>
      <c r="M194"/>
      <c r="N194"/>
      <c r="O194" s="81"/>
    </row>
    <row r="195" spans="1:15" x14ac:dyDescent="0.25">
      <c r="A195"/>
      <c r="B195"/>
      <c r="C195" s="79"/>
      <c r="D195"/>
      <c r="E195"/>
      <c r="F195"/>
      <c r="G195"/>
      <c r="H195"/>
      <c r="I195"/>
      <c r="J195"/>
      <c r="K195" s="80"/>
      <c r="L195"/>
      <c r="M195"/>
      <c r="N195"/>
      <c r="O195" s="81"/>
    </row>
    <row r="196" spans="1:15" x14ac:dyDescent="0.25">
      <c r="A196"/>
      <c r="B196"/>
      <c r="C196" s="79"/>
      <c r="D196"/>
      <c r="E196"/>
      <c r="F196"/>
      <c r="G196"/>
      <c r="H196"/>
      <c r="I196"/>
      <c r="J196"/>
      <c r="K196" s="80"/>
      <c r="L196"/>
      <c r="M196"/>
      <c r="N196"/>
      <c r="O196" s="81"/>
    </row>
    <row r="197" spans="1:15" x14ac:dyDescent="0.25">
      <c r="A197"/>
      <c r="B197"/>
      <c r="C197" s="79"/>
      <c r="D197"/>
      <c r="E197"/>
      <c r="F197"/>
      <c r="G197"/>
      <c r="H197"/>
      <c r="I197"/>
      <c r="J197"/>
      <c r="K197" s="80"/>
      <c r="L197"/>
      <c r="M197"/>
      <c r="N197"/>
      <c r="O197" s="81"/>
    </row>
    <row r="198" spans="1:15" x14ac:dyDescent="0.25">
      <c r="A198"/>
      <c r="B198"/>
      <c r="C198" s="79"/>
      <c r="D198"/>
      <c r="E198"/>
      <c r="F198"/>
      <c r="G198"/>
      <c r="H198"/>
      <c r="I198"/>
      <c r="J198"/>
      <c r="K198" s="80"/>
      <c r="L198"/>
      <c r="M198"/>
      <c r="N198"/>
      <c r="O198" s="81"/>
    </row>
    <row r="199" spans="1:15" x14ac:dyDescent="0.25">
      <c r="A199"/>
      <c r="B199"/>
      <c r="C199" s="79"/>
      <c r="D199"/>
      <c r="E199"/>
      <c r="F199"/>
      <c r="G199"/>
      <c r="H199"/>
      <c r="I199"/>
      <c r="J199"/>
      <c r="K199" s="80"/>
      <c r="L199"/>
      <c r="M199"/>
      <c r="N199"/>
      <c r="O199" s="81"/>
    </row>
    <row r="200" spans="1:15" x14ac:dyDescent="0.25">
      <c r="A200"/>
      <c r="B200"/>
      <c r="C200" s="79"/>
      <c r="D200"/>
      <c r="E200"/>
      <c r="F200"/>
      <c r="G200"/>
      <c r="H200"/>
      <c r="I200"/>
      <c r="J200"/>
      <c r="K200" s="80"/>
      <c r="L200"/>
      <c r="M200"/>
      <c r="N200"/>
      <c r="O200" s="81"/>
    </row>
    <row r="201" spans="1:15" x14ac:dyDescent="0.25">
      <c r="A201"/>
      <c r="B201"/>
      <c r="C201" s="79"/>
      <c r="D201"/>
      <c r="E201"/>
      <c r="F201"/>
      <c r="G201"/>
      <c r="H201"/>
      <c r="I201"/>
      <c r="J201"/>
      <c r="K201" s="80"/>
      <c r="L201"/>
      <c r="M201"/>
      <c r="N201"/>
      <c r="O201" s="81"/>
    </row>
    <row r="202" spans="1:15" x14ac:dyDescent="0.25">
      <c r="A202"/>
      <c r="B202"/>
      <c r="C202" s="79"/>
      <c r="D202"/>
      <c r="E202"/>
      <c r="F202"/>
      <c r="G202"/>
      <c r="H202"/>
      <c r="I202"/>
      <c r="J202"/>
      <c r="K202" s="80"/>
      <c r="L202"/>
      <c r="M202"/>
      <c r="N202"/>
      <c r="O202" s="81"/>
    </row>
    <row r="203" spans="1:15" x14ac:dyDescent="0.25">
      <c r="A203"/>
      <c r="B203"/>
      <c r="C203" s="79"/>
      <c r="D203"/>
      <c r="E203"/>
      <c r="F203"/>
      <c r="G203"/>
      <c r="H203"/>
      <c r="I203"/>
      <c r="J203"/>
      <c r="K203" s="80"/>
      <c r="L203"/>
      <c r="M203"/>
      <c r="N203"/>
      <c r="O203" s="81"/>
    </row>
    <row r="204" spans="1:15" x14ac:dyDescent="0.25">
      <c r="A204"/>
      <c r="B204"/>
      <c r="C204" s="79"/>
      <c r="D204"/>
      <c r="E204"/>
      <c r="F204"/>
      <c r="G204"/>
      <c r="H204"/>
      <c r="I204"/>
      <c r="J204"/>
      <c r="K204" s="80"/>
      <c r="L204"/>
      <c r="M204"/>
      <c r="N204"/>
      <c r="O204" s="81"/>
    </row>
    <row r="205" spans="1:15" x14ac:dyDescent="0.25">
      <c r="A205"/>
      <c r="B205"/>
      <c r="C205" s="79"/>
      <c r="D205"/>
      <c r="E205"/>
      <c r="F205"/>
      <c r="G205"/>
      <c r="H205"/>
      <c r="I205"/>
      <c r="J205"/>
      <c r="K205" s="80"/>
      <c r="L205"/>
      <c r="M205"/>
      <c r="N205"/>
      <c r="O205" s="81"/>
    </row>
    <row r="206" spans="1:15" x14ac:dyDescent="0.25">
      <c r="A206"/>
      <c r="B206"/>
      <c r="C206" s="79"/>
      <c r="D206"/>
      <c r="E206"/>
      <c r="F206"/>
      <c r="G206"/>
      <c r="H206"/>
      <c r="I206"/>
      <c r="J206"/>
      <c r="K206" s="80"/>
      <c r="L206"/>
      <c r="M206"/>
      <c r="N206"/>
      <c r="O206" s="81"/>
    </row>
    <row r="207" spans="1:15" x14ac:dyDescent="0.25">
      <c r="A207"/>
      <c r="B207"/>
      <c r="C207" s="79"/>
      <c r="D207"/>
      <c r="E207"/>
      <c r="F207"/>
      <c r="G207"/>
      <c r="H207"/>
      <c r="I207"/>
      <c r="J207"/>
      <c r="K207" s="80"/>
      <c r="L207"/>
      <c r="M207"/>
      <c r="N207"/>
      <c r="O207" s="81"/>
    </row>
    <row r="208" spans="1:15" x14ac:dyDescent="0.25">
      <c r="A208"/>
      <c r="B208"/>
      <c r="C208" s="79"/>
      <c r="D208"/>
      <c r="E208"/>
      <c r="F208"/>
      <c r="G208"/>
      <c r="H208"/>
      <c r="I208"/>
      <c r="J208"/>
      <c r="K208" s="80"/>
      <c r="L208"/>
      <c r="M208"/>
      <c r="N208"/>
      <c r="O208" s="81"/>
    </row>
    <row r="209" spans="1:15" x14ac:dyDescent="0.25">
      <c r="A209"/>
      <c r="B209"/>
      <c r="C209" s="79"/>
      <c r="D209"/>
      <c r="E209"/>
      <c r="F209"/>
      <c r="G209"/>
      <c r="H209"/>
      <c r="I209"/>
      <c r="J209"/>
      <c r="K209" s="80"/>
      <c r="L209"/>
      <c r="M209"/>
      <c r="N209"/>
      <c r="O209" s="81"/>
    </row>
    <row r="210" spans="1:15" x14ac:dyDescent="0.25">
      <c r="A210"/>
      <c r="B210"/>
      <c r="C210" s="79"/>
      <c r="D210"/>
      <c r="E210"/>
      <c r="F210"/>
      <c r="G210"/>
      <c r="H210"/>
      <c r="I210"/>
      <c r="J210"/>
      <c r="K210" s="80"/>
      <c r="L210"/>
      <c r="M210"/>
      <c r="N210"/>
      <c r="O210" s="81"/>
    </row>
    <row r="211" spans="1:15" x14ac:dyDescent="0.25">
      <c r="A211"/>
      <c r="B211"/>
      <c r="C211" s="79"/>
      <c r="D211"/>
      <c r="E211"/>
      <c r="F211"/>
      <c r="G211"/>
      <c r="H211"/>
      <c r="I211"/>
      <c r="J211"/>
      <c r="K211" s="80"/>
      <c r="L211"/>
      <c r="M211"/>
      <c r="N211"/>
      <c r="O211" s="81"/>
    </row>
    <row r="212" spans="1:15" x14ac:dyDescent="0.25">
      <c r="A212"/>
      <c r="B212"/>
      <c r="C212" s="79"/>
      <c r="D212"/>
      <c r="E212"/>
      <c r="F212"/>
      <c r="G212"/>
      <c r="H212"/>
      <c r="I212"/>
      <c r="J212"/>
      <c r="K212" s="80"/>
      <c r="L212"/>
      <c r="M212"/>
      <c r="N212"/>
      <c r="O212" s="81"/>
    </row>
    <row r="213" spans="1:15" x14ac:dyDescent="0.25">
      <c r="A213"/>
      <c r="B213"/>
      <c r="C213" s="79"/>
      <c r="D213"/>
      <c r="E213"/>
      <c r="F213"/>
      <c r="G213"/>
      <c r="H213"/>
      <c r="I213"/>
      <c r="J213"/>
      <c r="K213" s="80"/>
      <c r="L213"/>
      <c r="M213"/>
      <c r="N213"/>
      <c r="O213" s="81"/>
    </row>
    <row r="214" spans="1:15" x14ac:dyDescent="0.25">
      <c r="A214"/>
      <c r="B214"/>
      <c r="C214" s="79"/>
      <c r="D214"/>
      <c r="E214"/>
      <c r="F214"/>
      <c r="G214"/>
      <c r="H214"/>
      <c r="I214"/>
      <c r="J214"/>
      <c r="K214" s="80"/>
      <c r="L214"/>
      <c r="M214"/>
      <c r="N214"/>
      <c r="O214" s="81"/>
    </row>
    <row r="215" spans="1:15" x14ac:dyDescent="0.25">
      <c r="A215"/>
      <c r="B215"/>
      <c r="C215" s="79"/>
      <c r="D215"/>
      <c r="E215"/>
      <c r="F215"/>
      <c r="G215"/>
      <c r="H215"/>
      <c r="I215"/>
      <c r="J215"/>
      <c r="K215" s="80"/>
      <c r="L215"/>
      <c r="M215"/>
      <c r="N215"/>
      <c r="O215" s="81"/>
    </row>
    <row r="216" spans="1:15" x14ac:dyDescent="0.25">
      <c r="A216"/>
      <c r="B216"/>
      <c r="C216" s="79"/>
      <c r="D216"/>
      <c r="E216"/>
      <c r="F216"/>
      <c r="G216"/>
      <c r="H216"/>
      <c r="I216"/>
      <c r="J216"/>
      <c r="K216" s="80"/>
      <c r="L216"/>
      <c r="M216"/>
      <c r="N216"/>
      <c r="O216" s="81"/>
    </row>
    <row r="217" spans="1:15" x14ac:dyDescent="0.25">
      <c r="A217"/>
      <c r="B217"/>
      <c r="C217" s="79"/>
      <c r="D217"/>
      <c r="E217"/>
      <c r="F217"/>
      <c r="G217"/>
      <c r="H217"/>
      <c r="I217"/>
      <c r="J217"/>
      <c r="K217" s="80"/>
      <c r="L217"/>
      <c r="M217"/>
      <c r="N217"/>
      <c r="O217" s="81"/>
    </row>
    <row r="218" spans="1:15" x14ac:dyDescent="0.25">
      <c r="A218"/>
      <c r="B218"/>
      <c r="C218" s="79"/>
      <c r="D218"/>
      <c r="E218"/>
      <c r="F218"/>
      <c r="G218"/>
      <c r="H218"/>
      <c r="I218"/>
      <c r="J218"/>
      <c r="K218" s="80"/>
      <c r="L218"/>
      <c r="M218"/>
      <c r="N218"/>
      <c r="O218" s="81"/>
    </row>
    <row r="219" spans="1:15" x14ac:dyDescent="0.25">
      <c r="A219"/>
      <c r="B219"/>
      <c r="C219" s="79"/>
      <c r="D219"/>
      <c r="E219"/>
      <c r="F219"/>
      <c r="G219"/>
      <c r="H219"/>
      <c r="I219"/>
      <c r="J219"/>
      <c r="K219" s="80"/>
      <c r="L219"/>
      <c r="M219"/>
      <c r="N219"/>
      <c r="O219" s="81"/>
    </row>
    <row r="220" spans="1:15" x14ac:dyDescent="0.25">
      <c r="A220"/>
      <c r="B220"/>
      <c r="C220" s="79"/>
      <c r="D220"/>
      <c r="E220"/>
      <c r="F220"/>
      <c r="G220"/>
      <c r="H220"/>
      <c r="I220"/>
      <c r="J220"/>
      <c r="K220" s="80"/>
      <c r="L220"/>
      <c r="M220"/>
      <c r="N220"/>
      <c r="O220" s="81"/>
    </row>
    <row r="221" spans="1:15" x14ac:dyDescent="0.25">
      <c r="A221"/>
      <c r="B221"/>
      <c r="C221" s="79"/>
      <c r="D221"/>
      <c r="E221"/>
      <c r="F221"/>
      <c r="G221"/>
      <c r="H221"/>
      <c r="I221"/>
      <c r="J221"/>
      <c r="K221" s="80"/>
      <c r="L221"/>
      <c r="M221"/>
      <c r="N221"/>
      <c r="O221" s="81"/>
    </row>
    <row r="222" spans="1:15" x14ac:dyDescent="0.25">
      <c r="A222"/>
      <c r="B222"/>
      <c r="C222" s="79"/>
      <c r="D222"/>
      <c r="E222"/>
      <c r="F222"/>
      <c r="G222"/>
      <c r="H222"/>
      <c r="I222"/>
      <c r="J222"/>
      <c r="K222" s="80"/>
      <c r="L222"/>
      <c r="M222"/>
      <c r="N222"/>
      <c r="O222" s="81"/>
    </row>
    <row r="223" spans="1:15" x14ac:dyDescent="0.25">
      <c r="A223"/>
      <c r="B223"/>
      <c r="C223" s="79"/>
      <c r="D223"/>
      <c r="E223"/>
      <c r="F223"/>
      <c r="G223"/>
      <c r="H223"/>
      <c r="I223"/>
      <c r="J223"/>
      <c r="K223" s="80"/>
      <c r="L223"/>
      <c r="M223"/>
      <c r="N223"/>
      <c r="O223" s="81"/>
    </row>
    <row r="224" spans="1:15" x14ac:dyDescent="0.25">
      <c r="A224"/>
      <c r="B224"/>
      <c r="C224" s="79"/>
      <c r="D224"/>
      <c r="E224"/>
      <c r="F224"/>
      <c r="G224"/>
      <c r="H224"/>
      <c r="I224"/>
      <c r="J224"/>
      <c r="K224" s="80"/>
      <c r="L224"/>
      <c r="M224"/>
      <c r="N224"/>
      <c r="O224" s="81"/>
    </row>
    <row r="225" spans="1:15" x14ac:dyDescent="0.25">
      <c r="A225"/>
      <c r="B225"/>
      <c r="C225" s="79"/>
      <c r="D225"/>
      <c r="E225"/>
      <c r="F225"/>
      <c r="G225"/>
      <c r="H225"/>
      <c r="I225"/>
      <c r="J225"/>
      <c r="K225" s="80"/>
      <c r="L225"/>
      <c r="M225"/>
      <c r="N225"/>
      <c r="O225" s="81"/>
    </row>
    <row r="226" spans="1:15" x14ac:dyDescent="0.25">
      <c r="A226"/>
      <c r="B226"/>
      <c r="C226" s="79"/>
      <c r="D226"/>
      <c r="E226"/>
      <c r="F226"/>
      <c r="G226"/>
      <c r="H226"/>
      <c r="I226"/>
      <c r="J226"/>
      <c r="K226" s="80"/>
      <c r="L226"/>
      <c r="M226"/>
      <c r="N226"/>
      <c r="O226" s="81"/>
    </row>
    <row r="227" spans="1:15" x14ac:dyDescent="0.25">
      <c r="A227"/>
      <c r="B227"/>
      <c r="C227" s="79"/>
      <c r="D227"/>
      <c r="E227"/>
      <c r="F227"/>
      <c r="G227"/>
      <c r="H227"/>
      <c r="I227"/>
      <c r="J227"/>
      <c r="K227" s="80"/>
      <c r="L227"/>
      <c r="M227"/>
      <c r="N227"/>
      <c r="O227" s="81"/>
    </row>
    <row r="228" spans="1:15" x14ac:dyDescent="0.25">
      <c r="A228"/>
      <c r="B228"/>
      <c r="C228" s="79"/>
      <c r="D228"/>
      <c r="E228"/>
      <c r="F228"/>
      <c r="G228"/>
      <c r="H228"/>
      <c r="I228"/>
      <c r="J228"/>
      <c r="K228" s="80"/>
      <c r="L228"/>
      <c r="M228"/>
      <c r="N228"/>
      <c r="O228" s="81"/>
    </row>
    <row r="229" spans="1:15" x14ac:dyDescent="0.25">
      <c r="A229"/>
      <c r="B229"/>
      <c r="C229" s="79"/>
      <c r="D229"/>
      <c r="E229"/>
      <c r="F229"/>
      <c r="G229"/>
      <c r="H229"/>
      <c r="I229"/>
      <c r="J229"/>
      <c r="K229" s="80"/>
      <c r="L229"/>
      <c r="M229"/>
      <c r="N229"/>
      <c r="O229" s="81"/>
    </row>
    <row r="230" spans="1:15" x14ac:dyDescent="0.25">
      <c r="A230"/>
      <c r="B230"/>
      <c r="C230" s="79"/>
      <c r="D230"/>
      <c r="E230"/>
      <c r="F230"/>
      <c r="G230"/>
      <c r="H230"/>
      <c r="I230"/>
      <c r="J230"/>
      <c r="K230" s="80"/>
      <c r="L230"/>
      <c r="M230"/>
      <c r="N230"/>
      <c r="O230" s="81"/>
    </row>
    <row r="231" spans="1:15" x14ac:dyDescent="0.25">
      <c r="A231"/>
      <c r="B231"/>
      <c r="C231" s="79"/>
      <c r="D231"/>
      <c r="E231"/>
      <c r="F231"/>
      <c r="G231"/>
      <c r="H231"/>
      <c r="I231"/>
      <c r="J231"/>
      <c r="K231" s="80"/>
      <c r="L231"/>
      <c r="M231"/>
      <c r="N231"/>
      <c r="O231" s="81"/>
    </row>
    <row r="232" spans="1:15" x14ac:dyDescent="0.25">
      <c r="A232"/>
      <c r="B232"/>
      <c r="C232" s="79"/>
      <c r="D232"/>
      <c r="E232"/>
      <c r="F232"/>
      <c r="G232"/>
      <c r="H232"/>
      <c r="I232"/>
      <c r="J232"/>
      <c r="K232" s="80"/>
      <c r="L232"/>
      <c r="M232"/>
      <c r="N232"/>
      <c r="O232" s="81"/>
    </row>
  </sheetData>
  <mergeCells count="7">
    <mergeCell ref="N1:N2"/>
    <mergeCell ref="O1:O2"/>
    <mergeCell ref="C1:J1"/>
    <mergeCell ref="A1:A2"/>
    <mergeCell ref="B1:B2"/>
    <mergeCell ref="L1:L2"/>
    <mergeCell ref="M1:M2"/>
  </mergeCells>
  <phoneticPr fontId="17" type="noConversion"/>
  <conditionalFormatting sqref="A1:B1 A63:B91">
    <cfRule type="cellIs" dxfId="9" priority="1" stopIfTrue="1" operator="between">
      <formula>39.5</formula>
      <formula>59.4</formula>
    </cfRule>
    <cfRule type="cellIs" dxfId="8" priority="2" stopIfTrue="1" operator="lessThan">
      <formula>39.5</formula>
    </cfRule>
  </conditionalFormatting>
  <pageMargins left="0.7" right="0.7" top="0.75" bottom="0.75" header="0.3" footer="0.3"/>
  <pageSetup paperSize="9" orientation="landscape" horizontalDpi="300" verticalDpi="300"/>
  <headerFooter scaleWithDoc="0" alignWithMargins="0"/>
  <ignoredErrors>
    <ignoredError sqref="K3:K36 O3:O4 O5:O36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5"/>
  <sheetViews>
    <sheetView workbookViewId="0">
      <selection activeCell="N27" sqref="N27"/>
    </sheetView>
  </sheetViews>
  <sheetFormatPr defaultColWidth="9" defaultRowHeight="15" x14ac:dyDescent="0.25"/>
  <sheetData>
    <row r="1" spans="1:12" ht="21" x14ac:dyDescent="0.4">
      <c r="A1" s="180" t="s">
        <v>153</v>
      </c>
      <c r="B1" s="181"/>
      <c r="C1" s="180"/>
      <c r="D1" s="180"/>
      <c r="E1" s="180"/>
      <c r="F1" s="180"/>
      <c r="G1" s="180"/>
    </row>
    <row r="2" spans="1:12" x14ac:dyDescent="0.25">
      <c r="A2" s="40" t="s">
        <v>14</v>
      </c>
      <c r="B2" s="41"/>
      <c r="C2" s="42" t="s">
        <v>154</v>
      </c>
      <c r="D2" s="43" t="s">
        <v>155</v>
      </c>
      <c r="E2" s="44" t="s">
        <v>156</v>
      </c>
      <c r="F2" s="45" t="s">
        <v>157</v>
      </c>
      <c r="G2" s="43" t="s">
        <v>158</v>
      </c>
    </row>
    <row r="3" spans="1:12" ht="15.5" x14ac:dyDescent="0.25">
      <c r="A3" s="46">
        <f>NumOfStudent</f>
        <v>49</v>
      </c>
      <c r="B3" s="47"/>
      <c r="C3" s="48">
        <f ca="1">COUNTIF(OFFSET(成绩!O3,0,0,NumOfStudent,1),"&gt;=89.5")</f>
        <v>5</v>
      </c>
      <c r="D3" s="49">
        <f ca="1">COUNTIF(OFFSET(成绩!O3,0,0,NumOfStudent,1),"&gt;=79.5")-COUNTIF(OFFSET(成绩!O3,0,0,NumOfStudent,1),"&gt;=89.5")</f>
        <v>14</v>
      </c>
      <c r="E3" s="50">
        <f ca="1">COUNTIF(OFFSET(成绩!O3,0,0,NumOfStudent,1),"&gt;=69.5")-COUNTIF(OFFSET(成绩!O3,0,0,NumOfStudent,1),"&gt;=79.5")</f>
        <v>17</v>
      </c>
      <c r="F3" s="51">
        <f ca="1">COUNTIF(OFFSET(成绩!O3,0,0,NumOfStudent,1),"&gt;=59.5")-COUNTIF(OFFSET(成绩!O3,0,0,NumOfStudent,1),"&gt;=69.5")</f>
        <v>7</v>
      </c>
      <c r="G3" s="50">
        <f ca="1">A3-SUM(C3:F3)</f>
        <v>6</v>
      </c>
    </row>
    <row r="4" spans="1:12" ht="15.5" x14ac:dyDescent="0.25">
      <c r="A4" s="52"/>
      <c r="B4" s="47"/>
      <c r="C4" s="53">
        <f ca="1">C3/A3</f>
        <v>0.10204081632653061</v>
      </c>
      <c r="D4" s="54">
        <f ca="1">D3/A3</f>
        <v>0.2857142857142857</v>
      </c>
      <c r="E4" s="54">
        <f ca="1">E3/A3</f>
        <v>0.34693877551020408</v>
      </c>
      <c r="F4" s="55">
        <f ca="1">F3/A3</f>
        <v>0.14285714285714285</v>
      </c>
      <c r="G4" s="56">
        <f ca="1">G3/A3</f>
        <v>0.12244897959183673</v>
      </c>
    </row>
    <row r="5" spans="1:12" x14ac:dyDescent="0.25">
      <c r="L5" s="57"/>
    </row>
  </sheetData>
  <sheetProtection sheet="1" objects="1" scenarios="1"/>
  <mergeCells count="1">
    <mergeCell ref="A1:G1"/>
  </mergeCells>
  <phoneticPr fontId="17" type="noConversion"/>
  <pageMargins left="0.7" right="0.7" top="0.75" bottom="0.75" header="0.3" footer="0.3"/>
  <pageSetup paperSize="9" orientation="portrait" horizontalDpi="300" verticalDpi="300"/>
  <headerFooter scaleWithDoc="0"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66"/>
  <sheetViews>
    <sheetView showZeros="0" topLeftCell="A25" workbookViewId="0">
      <selection activeCell="H28" sqref="H28"/>
    </sheetView>
  </sheetViews>
  <sheetFormatPr defaultColWidth="9" defaultRowHeight="15" x14ac:dyDescent="0.25"/>
  <cols>
    <col min="1" max="1" width="13.75" customWidth="1"/>
    <col min="2" max="10" width="10.75" customWidth="1"/>
    <col min="13" max="13" width="13.25" customWidth="1"/>
  </cols>
  <sheetData>
    <row r="1" spans="1:13" ht="21" x14ac:dyDescent="0.4">
      <c r="A1" s="182" t="s">
        <v>159</v>
      </c>
      <c r="B1" s="182"/>
      <c r="C1" s="182"/>
      <c r="D1" s="182"/>
      <c r="E1" s="182"/>
      <c r="F1" s="182"/>
      <c r="G1" s="182"/>
      <c r="H1" s="182"/>
      <c r="I1" s="182"/>
      <c r="J1" s="182"/>
    </row>
    <row r="2" spans="1:13" ht="34.9" customHeight="1" x14ac:dyDescent="0.25">
      <c r="A2" s="36" t="s">
        <v>48</v>
      </c>
      <c r="B2" s="36" t="s">
        <v>49</v>
      </c>
      <c r="C2" s="30" t="str">
        <f>T(考试基本信息!A11)</f>
        <v>课程目标1</v>
      </c>
      <c r="D2" s="30" t="str">
        <f>T(考试基本信息!A12)</f>
        <v>课程目标2</v>
      </c>
      <c r="E2" s="30" t="str">
        <f>T(考试基本信息!A13)</f>
        <v>课程目标3</v>
      </c>
      <c r="F2" s="30" t="str">
        <f>T(考试基本信息!A14)</f>
        <v>课程目标4</v>
      </c>
      <c r="G2" s="30" t="str">
        <f>T(考试基本信息!A15)</f>
        <v/>
      </c>
      <c r="H2" s="30" t="str">
        <f>T(考试基本信息!A16)</f>
        <v/>
      </c>
      <c r="I2" s="30" t="str">
        <f>T(考试基本信息!A17)</f>
        <v/>
      </c>
      <c r="J2" s="36" t="s">
        <v>160</v>
      </c>
    </row>
    <row r="3" spans="1:13" x14ac:dyDescent="0.25">
      <c r="A3" s="37" t="str">
        <f>成绩!$A3</f>
        <v>201824100345</v>
      </c>
      <c r="B3" s="37" t="str">
        <f>成绩!$B3</f>
        <v>王文博</v>
      </c>
      <c r="C3" s="34">
        <f ca="1">SUMPRODUCT(成绩!$C3:$J3,OFFSET(CO_FESP,0,0,1,8))*INDEX(EF_SP,1)+SUMPRODUCT(成绩!$L3:$N3,OFFSET(CO_OSP,0,0,1,3),OFFSET(EF_SP,0,1,1,3))</f>
        <v>23.4</v>
      </c>
      <c r="D3" s="34">
        <f ca="1">SUMPRODUCT(成绩!$C3:$J3,OFFSET(CO_FESP,1,0,1,8))*INDEX(EF_SP,1)+SUMPRODUCT(成绩!$L3:$N3,OFFSET(CO_OSP,1,0,1,3),OFFSET(EF_SP,0,1,1,3))</f>
        <v>16</v>
      </c>
      <c r="E3" s="34">
        <f ca="1">SUMPRODUCT(成绩!$C3:$J3,OFFSET(CO_FESP,2,0,1,8))*INDEX(EF_SP,1)+SUMPRODUCT(成绩!$L3:$N3,OFFSET(CO_OSP,2,0,1,3),OFFSET(EF_SP,0,1,1,3))</f>
        <v>23.4</v>
      </c>
      <c r="F3" s="34">
        <f ca="1">SUMPRODUCT(成绩!$C3:$J3,OFFSET(CO_FESP,3,0,1,8))*INDEX(EF_SP,1)+SUMPRODUCT(成绩!$L3:$N3,OFFSET(CO_OSP,3,0,1,3),OFFSET(EF_SP,0,1,1,3))</f>
        <v>15.2</v>
      </c>
      <c r="G3" s="34">
        <f ca="1">SUMPRODUCT(成绩!$C3:$J3,OFFSET(CO_FESP,4,0,1,8))*INDEX(EF_SP,1)+SUMPRODUCT(成绩!$L3:$N3,OFFSET(CO_OSP,4,0,1,3),OFFSET(EF_SP,0,1,1,3))</f>
        <v>0</v>
      </c>
      <c r="H3" s="34">
        <f ca="1">SUMPRODUCT(成绩!$C3:$J3,OFFSET(CO_FESP,5,0,1,8))*INDEX(EF_SP,1)+SUMPRODUCT(成绩!$L3:$N3,OFFSET(CO_OSP,5,0,1,3),OFFSET(EF_SP,0,1,1,3))</f>
        <v>0</v>
      </c>
      <c r="I3" s="34">
        <f ca="1">SUMPRODUCT(成绩!$C3:$J3,OFFSET(CO_FESP,6,0,1,8))*INDEX(EF_SP,1)+SUMPRODUCT(成绩!$L3:$N3,OFFSET(CO_OSP,6,0,1,3),OFFSET(EF_SP,0,1,1,3))</f>
        <v>0</v>
      </c>
      <c r="J3" s="38">
        <f ca="1">SUM(C3:I3)</f>
        <v>78</v>
      </c>
    </row>
    <row r="4" spans="1:13" x14ac:dyDescent="0.25">
      <c r="A4" s="37" t="str">
        <f>成绩!$A4</f>
        <v>201824100546</v>
      </c>
      <c r="B4" s="37" t="str">
        <f>成绩!$B4</f>
        <v>王鸿楠</v>
      </c>
      <c r="C4" s="34">
        <f ca="1">SUMPRODUCT(成绩!$C4:$J4,OFFSET(CO_FESP,0,0,1,8))*INDEX(EF_SP,1)+SUMPRODUCT(成绩!$L4:$N4,OFFSET(CO_OSP,0,0,1,3),OFFSET(EF_SP,0,1,1,3))</f>
        <v>21.9</v>
      </c>
      <c r="D4" s="34">
        <f ca="1">SUMPRODUCT(成绩!$C4:$J4,OFFSET(CO_FESP,1,0,1,8))*INDEX(EF_SP,1)+SUMPRODUCT(成绩!$L4:$N4,OFFSET(CO_OSP,1,0,1,3),OFFSET(EF_SP,0,1,1,3))</f>
        <v>15.899999999999999</v>
      </c>
      <c r="E4" s="34">
        <f ca="1">SUMPRODUCT(成绩!$C4:$J4,OFFSET(CO_FESP,2,0,1,8))*INDEX(EF_SP,1)+SUMPRODUCT(成绩!$L4:$N4,OFFSET(CO_OSP,2,0,1,3),OFFSET(EF_SP,0,1,1,3))</f>
        <v>21.9</v>
      </c>
      <c r="F4" s="34">
        <f ca="1">SUMPRODUCT(成绩!$C4:$J4,OFFSET(CO_FESP,3,0,1,8))*INDEX(EF_SP,1)+SUMPRODUCT(成绩!$L4:$N4,OFFSET(CO_OSP,3,0,1,3),OFFSET(EF_SP,0,1,1,3))</f>
        <v>13.299999999999999</v>
      </c>
      <c r="G4" s="34">
        <f ca="1">SUMPRODUCT(成绩!$C4:$J4,OFFSET(CO_FESP,4,0,1,8))*INDEX(EF_SP,1)+SUMPRODUCT(成绩!$L4:$N4,OFFSET(CO_OSP,4,0,1,3),OFFSET(EF_SP,0,1,1,3))</f>
        <v>0</v>
      </c>
      <c r="H4" s="34">
        <f ca="1">SUMPRODUCT(成绩!$C4:$J4,OFFSET(CO_FESP,5,0,1,8))*INDEX(EF_SP,1)+SUMPRODUCT(成绩!$L4:$N4,OFFSET(CO_OSP,5,0,1,3),OFFSET(EF_SP,0,1,1,3))</f>
        <v>0</v>
      </c>
      <c r="I4" s="34">
        <f ca="1">SUMPRODUCT(成绩!$C4:$J4,OFFSET(CO_FESP,6,0,1,8))*INDEX(EF_SP,1)+SUMPRODUCT(成绩!$L4:$N4,OFFSET(CO_OSP,6,0,1,3),OFFSET(EF_SP,0,1,1,3))</f>
        <v>0</v>
      </c>
      <c r="J4" s="38">
        <f t="shared" ref="J4:J62" ca="1" si="0">SUM(C4:I4)</f>
        <v>73</v>
      </c>
    </row>
    <row r="5" spans="1:13" x14ac:dyDescent="0.25">
      <c r="A5" s="37" t="str">
        <f>成绩!$A5</f>
        <v>201824100524</v>
      </c>
      <c r="B5" s="37" t="str">
        <f>成绩!$B5</f>
        <v>李世林</v>
      </c>
      <c r="C5" s="34">
        <f ca="1">SUMPRODUCT(成绩!$C5:$J5,OFFSET(CO_FESP,0,0,1,8))*INDEX(EF_SP,1)+SUMPRODUCT(成绩!$L5:$N5,OFFSET(CO_OSP,0,0,1,3),OFFSET(EF_SP,0,1,1,3))</f>
        <v>20.399999999999999</v>
      </c>
      <c r="D5" s="34">
        <f ca="1">SUMPRODUCT(成绩!$C5:$J5,OFFSET(CO_FESP,1,0,1,8))*INDEX(EF_SP,1)+SUMPRODUCT(成绩!$L5:$N5,OFFSET(CO_OSP,1,0,1,3),OFFSET(EF_SP,0,1,1,3))</f>
        <v>14.7</v>
      </c>
      <c r="E5" s="34">
        <f ca="1">SUMPRODUCT(成绩!$C5:$J5,OFFSET(CO_FESP,2,0,1,8))*INDEX(EF_SP,1)+SUMPRODUCT(成绩!$L5:$N5,OFFSET(CO_OSP,2,0,1,3),OFFSET(EF_SP,0,1,1,3))</f>
        <v>20.399999999999999</v>
      </c>
      <c r="F5" s="34">
        <f ca="1">SUMPRODUCT(成绩!$C5:$J5,OFFSET(CO_FESP,3,0,1,8))*INDEX(EF_SP,1)+SUMPRODUCT(成绩!$L5:$N5,OFFSET(CO_OSP,3,0,1,3),OFFSET(EF_SP,0,1,1,3))</f>
        <v>12.5</v>
      </c>
      <c r="G5" s="34">
        <f ca="1">SUMPRODUCT(成绩!$C5:$J5,OFFSET(CO_FESP,4,0,1,8))*INDEX(EF_SP,1)+SUMPRODUCT(成绩!$L5:$N5,OFFSET(CO_OSP,4,0,1,3),OFFSET(EF_SP,0,1,1,3))</f>
        <v>0</v>
      </c>
      <c r="H5" s="34">
        <f ca="1">SUMPRODUCT(成绩!$C5:$J5,OFFSET(CO_FESP,5,0,1,8))*INDEX(EF_SP,1)+SUMPRODUCT(成绩!$L5:$N5,OFFSET(CO_OSP,5,0,1,3),OFFSET(EF_SP,0,1,1,3))</f>
        <v>0</v>
      </c>
      <c r="I5" s="34">
        <f ca="1">SUMPRODUCT(成绩!$C5:$J5,OFFSET(CO_FESP,6,0,1,8))*INDEX(EF_SP,1)+SUMPRODUCT(成绩!$L5:$N5,OFFSET(CO_OSP,6,0,1,3),OFFSET(EF_SP,0,1,1,3))</f>
        <v>0</v>
      </c>
      <c r="J5" s="38">
        <f t="shared" ca="1" si="0"/>
        <v>68</v>
      </c>
      <c r="M5" s="28"/>
    </row>
    <row r="6" spans="1:13" x14ac:dyDescent="0.25">
      <c r="A6" s="37" t="str">
        <f>成绩!$A6</f>
        <v>201824100553</v>
      </c>
      <c r="B6" s="37" t="str">
        <f>成绩!$B6</f>
        <v>徐冰莹</v>
      </c>
      <c r="C6" s="34">
        <f ca="1">SUMPRODUCT(成绩!$C6:$J6,OFFSET(CO_FESP,0,0,1,8))*INDEX(EF_SP,1)+SUMPRODUCT(成绩!$L6:$N6,OFFSET(CO_OSP,0,0,1,3),OFFSET(EF_SP,0,1,1,3))</f>
        <v>21</v>
      </c>
      <c r="D6" s="34">
        <f ca="1">SUMPRODUCT(成绩!$C6:$J6,OFFSET(CO_FESP,1,0,1,8))*INDEX(EF_SP,1)+SUMPRODUCT(成绩!$L6:$N6,OFFSET(CO_OSP,1,0,1,3),OFFSET(EF_SP,0,1,1,3))</f>
        <v>15.3</v>
      </c>
      <c r="E6" s="34">
        <f ca="1">SUMPRODUCT(成绩!$C6:$J6,OFFSET(CO_FESP,2,0,1,8))*INDEX(EF_SP,1)+SUMPRODUCT(成绩!$L6:$N6,OFFSET(CO_OSP,2,0,1,3),OFFSET(EF_SP,0,1,1,3))</f>
        <v>21</v>
      </c>
      <c r="F6" s="34">
        <f ca="1">SUMPRODUCT(成绩!$C6:$J6,OFFSET(CO_FESP,3,0,1,8))*INDEX(EF_SP,1)+SUMPRODUCT(成绩!$L6:$N6,OFFSET(CO_OSP,3,0,1,3),OFFSET(EF_SP,0,1,1,3))</f>
        <v>12.7</v>
      </c>
      <c r="G6" s="34">
        <f ca="1">SUMPRODUCT(成绩!$C6:$J6,OFFSET(CO_FESP,4,0,1,8))*INDEX(EF_SP,1)+SUMPRODUCT(成绩!$L6:$N6,OFFSET(CO_OSP,4,0,1,3),OFFSET(EF_SP,0,1,1,3))</f>
        <v>0</v>
      </c>
      <c r="H6" s="34">
        <f ca="1">SUMPRODUCT(成绩!$C6:$J6,OFFSET(CO_FESP,5,0,1,8))*INDEX(EF_SP,1)+SUMPRODUCT(成绩!$L6:$N6,OFFSET(CO_OSP,5,0,1,3),OFFSET(EF_SP,0,1,1,3))</f>
        <v>0</v>
      </c>
      <c r="I6" s="34">
        <f ca="1">SUMPRODUCT(成绩!$C6:$J6,OFFSET(CO_FESP,6,0,1,8))*INDEX(EF_SP,1)+SUMPRODUCT(成绩!$L6:$N6,OFFSET(CO_OSP,6,0,1,3),OFFSET(EF_SP,0,1,1,3))</f>
        <v>0</v>
      </c>
      <c r="J6" s="38">
        <f t="shared" ca="1" si="0"/>
        <v>70</v>
      </c>
      <c r="M6" s="28"/>
    </row>
    <row r="7" spans="1:13" x14ac:dyDescent="0.25">
      <c r="A7" s="37" t="str">
        <f>成绩!$A7</f>
        <v>201824100842</v>
      </c>
      <c r="B7" s="37" t="str">
        <f>成绩!$B7</f>
        <v>王晓</v>
      </c>
      <c r="C7" s="34">
        <f ca="1">SUMPRODUCT(成绩!$C7:$J7,OFFSET(CO_FESP,0,0,1,8))*INDEX(EF_SP,1)+SUMPRODUCT(成绩!$L7:$N7,OFFSET(CO_OSP,0,0,1,3),OFFSET(EF_SP,0,1,1,3))</f>
        <v>26.1</v>
      </c>
      <c r="D7" s="34">
        <f ca="1">SUMPRODUCT(成绩!$C7:$J7,OFFSET(CO_FESP,1,0,1,8))*INDEX(EF_SP,1)+SUMPRODUCT(成绩!$L7:$N7,OFFSET(CO_OSP,1,0,1,3),OFFSET(EF_SP,0,1,1,3))</f>
        <v>17.100000000000001</v>
      </c>
      <c r="E7" s="34">
        <f ca="1">SUMPRODUCT(成绩!$C7:$J7,OFFSET(CO_FESP,2,0,1,8))*INDEX(EF_SP,1)+SUMPRODUCT(成绩!$L7:$N7,OFFSET(CO_OSP,2,0,1,3),OFFSET(EF_SP,0,1,1,3))</f>
        <v>26.1</v>
      </c>
      <c r="F7" s="34">
        <f ca="1">SUMPRODUCT(成绩!$C7:$J7,OFFSET(CO_FESP,3,0,1,8))*INDEX(EF_SP,1)+SUMPRODUCT(成绩!$L7:$N7,OFFSET(CO_OSP,3,0,1,3),OFFSET(EF_SP,0,1,1,3))</f>
        <v>17.7</v>
      </c>
      <c r="G7" s="34">
        <f ca="1">SUMPRODUCT(成绩!$C7:$J7,OFFSET(CO_FESP,4,0,1,8))*INDEX(EF_SP,1)+SUMPRODUCT(成绩!$L7:$N7,OFFSET(CO_OSP,4,0,1,3),OFFSET(EF_SP,0,1,1,3))</f>
        <v>0</v>
      </c>
      <c r="H7" s="34">
        <f ca="1">SUMPRODUCT(成绩!$C7:$J7,OFFSET(CO_FESP,5,0,1,8))*INDEX(EF_SP,1)+SUMPRODUCT(成绩!$L7:$N7,OFFSET(CO_OSP,5,0,1,3),OFFSET(EF_SP,0,1,1,3))</f>
        <v>0</v>
      </c>
      <c r="I7" s="34">
        <f ca="1">SUMPRODUCT(成绩!$C7:$J7,OFFSET(CO_FESP,6,0,1,8))*INDEX(EF_SP,1)+SUMPRODUCT(成绩!$L7:$N7,OFFSET(CO_OSP,6,0,1,3),OFFSET(EF_SP,0,1,1,3))</f>
        <v>0</v>
      </c>
      <c r="J7" s="38">
        <f t="shared" ca="1" si="0"/>
        <v>87.000000000000014</v>
      </c>
      <c r="M7" s="28"/>
    </row>
    <row r="8" spans="1:13" x14ac:dyDescent="0.25">
      <c r="A8" s="37" t="str">
        <f>成绩!$A8</f>
        <v>201824100155</v>
      </c>
      <c r="B8" s="37" t="str">
        <f>成绩!$B8</f>
        <v>杨好</v>
      </c>
      <c r="C8" s="34">
        <f ca="1">SUMPRODUCT(成绩!$C8:$J8,OFFSET(CO_FESP,0,0,1,8))*INDEX(EF_SP,1)+SUMPRODUCT(成绩!$L8:$N8,OFFSET(CO_OSP,0,0,1,3),OFFSET(EF_SP,0,1,1,3))</f>
        <v>20.099999999999998</v>
      </c>
      <c r="D8" s="34">
        <f ca="1">SUMPRODUCT(成绩!$C8:$J8,OFFSET(CO_FESP,1,0,1,8))*INDEX(EF_SP,1)+SUMPRODUCT(成绩!$L8:$N8,OFFSET(CO_OSP,1,0,1,3),OFFSET(EF_SP,0,1,1,3))</f>
        <v>14.4</v>
      </c>
      <c r="E8" s="34">
        <f ca="1">SUMPRODUCT(成绩!$C8:$J8,OFFSET(CO_FESP,2,0,1,8))*INDEX(EF_SP,1)+SUMPRODUCT(成绩!$L8:$N8,OFFSET(CO_OSP,2,0,1,3),OFFSET(EF_SP,0,1,1,3))</f>
        <v>20.099999999999998</v>
      </c>
      <c r="F8" s="34">
        <f ca="1">SUMPRODUCT(成绩!$C8:$J8,OFFSET(CO_FESP,3,0,1,8))*INDEX(EF_SP,1)+SUMPRODUCT(成绩!$L8:$N8,OFFSET(CO_OSP,3,0,1,3),OFFSET(EF_SP,0,1,1,3))</f>
        <v>12.400000000000002</v>
      </c>
      <c r="G8" s="34">
        <f ca="1">SUMPRODUCT(成绩!$C8:$J8,OFFSET(CO_FESP,4,0,1,8))*INDEX(EF_SP,1)+SUMPRODUCT(成绩!$L8:$N8,OFFSET(CO_OSP,4,0,1,3),OFFSET(EF_SP,0,1,1,3))</f>
        <v>0</v>
      </c>
      <c r="H8" s="34">
        <f ca="1">SUMPRODUCT(成绩!$C8:$J8,OFFSET(CO_FESP,5,0,1,8))*INDEX(EF_SP,1)+SUMPRODUCT(成绩!$L8:$N8,OFFSET(CO_OSP,5,0,1,3),OFFSET(EF_SP,0,1,1,3))</f>
        <v>0</v>
      </c>
      <c r="I8" s="34">
        <f ca="1">SUMPRODUCT(成绩!$C8:$J8,OFFSET(CO_FESP,6,0,1,8))*INDEX(EF_SP,1)+SUMPRODUCT(成绩!$L8:$N8,OFFSET(CO_OSP,6,0,1,3),OFFSET(EF_SP,0,1,1,3))</f>
        <v>0</v>
      </c>
      <c r="J8" s="38">
        <f t="shared" ca="1" si="0"/>
        <v>67</v>
      </c>
      <c r="M8" s="28"/>
    </row>
    <row r="9" spans="1:13" x14ac:dyDescent="0.25">
      <c r="A9" s="37" t="str">
        <f>成绩!$A9</f>
        <v>201824100342</v>
      </c>
      <c r="B9" s="37" t="str">
        <f>成绩!$B9</f>
        <v>王汝嘉</v>
      </c>
      <c r="C9" s="34">
        <f ca="1">SUMPRODUCT(成绩!$C9:$J9,OFFSET(CO_FESP,0,0,1,8))*INDEX(EF_SP,1)+SUMPRODUCT(成绩!$L9:$N9,OFFSET(CO_OSP,0,0,1,3),OFFSET(EF_SP,0,1,1,3))</f>
        <v>23.4</v>
      </c>
      <c r="D9" s="34">
        <f ca="1">SUMPRODUCT(成绩!$C9:$J9,OFFSET(CO_FESP,1,0,1,8))*INDEX(EF_SP,1)+SUMPRODUCT(成绩!$L9:$N9,OFFSET(CO_OSP,1,0,1,3),OFFSET(EF_SP,0,1,1,3))</f>
        <v>15.700000000000001</v>
      </c>
      <c r="E9" s="34">
        <f ca="1">SUMPRODUCT(成绩!$C9:$J9,OFFSET(CO_FESP,2,0,1,8))*INDEX(EF_SP,1)+SUMPRODUCT(成绩!$L9:$N9,OFFSET(CO_OSP,2,0,1,3),OFFSET(EF_SP,0,1,1,3))</f>
        <v>23.4</v>
      </c>
      <c r="F9" s="34">
        <f ca="1">SUMPRODUCT(成绩!$C9:$J9,OFFSET(CO_FESP,3,0,1,8))*INDEX(EF_SP,1)+SUMPRODUCT(成绩!$L9:$N9,OFFSET(CO_OSP,3,0,1,3),OFFSET(EF_SP,0,1,1,3))</f>
        <v>15.5</v>
      </c>
      <c r="G9" s="34">
        <f ca="1">SUMPRODUCT(成绩!$C9:$J9,OFFSET(CO_FESP,4,0,1,8))*INDEX(EF_SP,1)+SUMPRODUCT(成绩!$L9:$N9,OFFSET(CO_OSP,4,0,1,3),OFFSET(EF_SP,0,1,1,3))</f>
        <v>0</v>
      </c>
      <c r="H9" s="34">
        <f ca="1">SUMPRODUCT(成绩!$C9:$J9,OFFSET(CO_FESP,5,0,1,8))*INDEX(EF_SP,1)+SUMPRODUCT(成绩!$L9:$N9,OFFSET(CO_OSP,5,0,1,3),OFFSET(EF_SP,0,1,1,3))</f>
        <v>0</v>
      </c>
      <c r="I9" s="34">
        <f ca="1">SUMPRODUCT(成绩!$C9:$J9,OFFSET(CO_FESP,6,0,1,8))*INDEX(EF_SP,1)+SUMPRODUCT(成绩!$L9:$N9,OFFSET(CO_OSP,6,0,1,3),OFFSET(EF_SP,0,1,1,3))</f>
        <v>0</v>
      </c>
      <c r="J9" s="38">
        <f t="shared" ca="1" si="0"/>
        <v>78</v>
      </c>
      <c r="M9" s="28"/>
    </row>
    <row r="10" spans="1:13" x14ac:dyDescent="0.25">
      <c r="A10" s="37" t="str">
        <f>成绩!$A10</f>
        <v>201824100640</v>
      </c>
      <c r="B10" s="37" t="str">
        <f>成绩!$B10</f>
        <v>王梦瑶</v>
      </c>
      <c r="C10" s="34">
        <f ca="1">SUMPRODUCT(成绩!$C10:$J10,OFFSET(CO_FESP,0,0,1,8))*INDEX(EF_SP,1)+SUMPRODUCT(成绩!$L10:$N10,OFFSET(CO_OSP,0,0,1,3),OFFSET(EF_SP,0,1,1,3))</f>
        <v>24</v>
      </c>
      <c r="D10" s="34">
        <f ca="1">SUMPRODUCT(成绩!$C10:$J10,OFFSET(CO_FESP,1,0,1,8))*INDEX(EF_SP,1)+SUMPRODUCT(成绩!$L10:$N10,OFFSET(CO_OSP,1,0,1,3),OFFSET(EF_SP,0,1,1,3))</f>
        <v>16.399999999999999</v>
      </c>
      <c r="E10" s="34">
        <f ca="1">SUMPRODUCT(成绩!$C10:$J10,OFFSET(CO_FESP,2,0,1,8))*INDEX(EF_SP,1)+SUMPRODUCT(成绩!$L10:$N10,OFFSET(CO_OSP,2,0,1,3),OFFSET(EF_SP,0,1,1,3))</f>
        <v>24</v>
      </c>
      <c r="F10" s="34">
        <f ca="1">SUMPRODUCT(成绩!$C10:$J10,OFFSET(CO_FESP,3,0,1,8))*INDEX(EF_SP,1)+SUMPRODUCT(成绩!$L10:$N10,OFFSET(CO_OSP,3,0,1,3),OFFSET(EF_SP,0,1,1,3))</f>
        <v>15.600000000000001</v>
      </c>
      <c r="G10" s="34">
        <f ca="1">SUMPRODUCT(成绩!$C10:$J10,OFFSET(CO_FESP,4,0,1,8))*INDEX(EF_SP,1)+SUMPRODUCT(成绩!$L10:$N10,OFFSET(CO_OSP,4,0,1,3),OFFSET(EF_SP,0,1,1,3))</f>
        <v>0</v>
      </c>
      <c r="H10" s="34">
        <f ca="1">SUMPRODUCT(成绩!$C10:$J10,OFFSET(CO_FESP,5,0,1,8))*INDEX(EF_SP,1)+SUMPRODUCT(成绩!$L10:$N10,OFFSET(CO_OSP,5,0,1,3),OFFSET(EF_SP,0,1,1,3))</f>
        <v>0</v>
      </c>
      <c r="I10" s="34">
        <f ca="1">SUMPRODUCT(成绩!$C10:$J10,OFFSET(CO_FESP,6,0,1,8))*INDEX(EF_SP,1)+SUMPRODUCT(成绩!$L10:$N10,OFFSET(CO_OSP,6,0,1,3),OFFSET(EF_SP,0,1,1,3))</f>
        <v>0</v>
      </c>
      <c r="J10" s="38">
        <f t="shared" ca="1" si="0"/>
        <v>80</v>
      </c>
      <c r="M10" s="28"/>
    </row>
    <row r="11" spans="1:13" x14ac:dyDescent="0.25">
      <c r="A11" s="37" t="str">
        <f>成绩!$A11</f>
        <v>201824100512</v>
      </c>
      <c r="B11" s="37" t="str">
        <f>成绩!$B11</f>
        <v>郭晓澎</v>
      </c>
      <c r="C11" s="34">
        <f ca="1">SUMPRODUCT(成绩!$C11:$J11,OFFSET(CO_FESP,0,0,1,8))*INDEX(EF_SP,1)+SUMPRODUCT(成绩!$L11:$N11,OFFSET(CO_OSP,0,0,1,3),OFFSET(EF_SP,0,1,1,3))</f>
        <v>22.8</v>
      </c>
      <c r="D11" s="34">
        <f ca="1">SUMPRODUCT(成绩!$C11:$J11,OFFSET(CO_FESP,1,0,1,8))*INDEX(EF_SP,1)+SUMPRODUCT(成绩!$L11:$N11,OFFSET(CO_OSP,1,0,1,3),OFFSET(EF_SP,0,1,1,3))</f>
        <v>15.700000000000001</v>
      </c>
      <c r="E11" s="34">
        <f ca="1">SUMPRODUCT(成绩!$C11:$J11,OFFSET(CO_FESP,2,0,1,8))*INDEX(EF_SP,1)+SUMPRODUCT(成绩!$L11:$N11,OFFSET(CO_OSP,2,0,1,3),OFFSET(EF_SP,0,1,1,3))</f>
        <v>22.8</v>
      </c>
      <c r="F11" s="34">
        <f ca="1">SUMPRODUCT(成绩!$C11:$J11,OFFSET(CO_FESP,3,0,1,8))*INDEX(EF_SP,1)+SUMPRODUCT(成绩!$L11:$N11,OFFSET(CO_OSP,3,0,1,3),OFFSET(EF_SP,0,1,1,3))</f>
        <v>14.7</v>
      </c>
      <c r="G11" s="34">
        <f ca="1">SUMPRODUCT(成绩!$C11:$J11,OFFSET(CO_FESP,4,0,1,8))*INDEX(EF_SP,1)+SUMPRODUCT(成绩!$L11:$N11,OFFSET(CO_OSP,4,0,1,3),OFFSET(EF_SP,0,1,1,3))</f>
        <v>0</v>
      </c>
      <c r="H11" s="34">
        <f ca="1">SUMPRODUCT(成绩!$C11:$J11,OFFSET(CO_FESP,5,0,1,8))*INDEX(EF_SP,1)+SUMPRODUCT(成绩!$L11:$N11,OFFSET(CO_OSP,5,0,1,3),OFFSET(EF_SP,0,1,1,3))</f>
        <v>0</v>
      </c>
      <c r="I11" s="34">
        <f ca="1">SUMPRODUCT(成绩!$C11:$J11,OFFSET(CO_FESP,6,0,1,8))*INDEX(EF_SP,1)+SUMPRODUCT(成绩!$L11:$N11,OFFSET(CO_OSP,6,0,1,3),OFFSET(EF_SP,0,1,1,3))</f>
        <v>0</v>
      </c>
      <c r="J11" s="38">
        <f t="shared" ca="1" si="0"/>
        <v>76</v>
      </c>
      <c r="M11" s="28"/>
    </row>
    <row r="12" spans="1:13" x14ac:dyDescent="0.25">
      <c r="A12" s="37" t="str">
        <f>成绩!$A12</f>
        <v>201824100851</v>
      </c>
      <c r="B12" s="37" t="str">
        <f>成绩!$B12</f>
        <v>杨易文</v>
      </c>
      <c r="C12" s="34">
        <f ca="1">SUMPRODUCT(成绩!$C12:$J12,OFFSET(CO_FESP,0,0,1,8))*INDEX(EF_SP,1)+SUMPRODUCT(成绩!$L12:$N12,OFFSET(CO_OSP,0,0,1,3),OFFSET(EF_SP,0,1,1,3))</f>
        <v>28.5</v>
      </c>
      <c r="D12" s="34">
        <f ca="1">SUMPRODUCT(成绩!$C12:$J12,OFFSET(CO_FESP,1,0,1,8))*INDEX(EF_SP,1)+SUMPRODUCT(成绩!$L12:$N12,OFFSET(CO_OSP,1,0,1,3),OFFSET(EF_SP,0,1,1,3))</f>
        <v>18</v>
      </c>
      <c r="E12" s="34">
        <f ca="1">SUMPRODUCT(成绩!$C12:$J12,OFFSET(CO_FESP,2,0,1,8))*INDEX(EF_SP,1)+SUMPRODUCT(成绩!$L12:$N12,OFFSET(CO_OSP,2,0,1,3),OFFSET(EF_SP,0,1,1,3))</f>
        <v>28.5</v>
      </c>
      <c r="F12" s="34">
        <f ca="1">SUMPRODUCT(成绩!$C12:$J12,OFFSET(CO_FESP,3,0,1,8))*INDEX(EF_SP,1)+SUMPRODUCT(成绩!$L12:$N12,OFFSET(CO_OSP,3,0,1,3),OFFSET(EF_SP,0,1,1,3))</f>
        <v>20</v>
      </c>
      <c r="G12" s="34">
        <f ca="1">SUMPRODUCT(成绩!$C12:$J12,OFFSET(CO_FESP,4,0,1,8))*INDEX(EF_SP,1)+SUMPRODUCT(成绩!$L12:$N12,OFFSET(CO_OSP,4,0,1,3),OFFSET(EF_SP,0,1,1,3))</f>
        <v>0</v>
      </c>
      <c r="H12" s="34">
        <f ca="1">SUMPRODUCT(成绩!$C12:$J12,OFFSET(CO_FESP,5,0,1,8))*INDEX(EF_SP,1)+SUMPRODUCT(成绩!$L12:$N12,OFFSET(CO_OSP,5,0,1,3),OFFSET(EF_SP,0,1,1,3))</f>
        <v>0</v>
      </c>
      <c r="I12" s="34">
        <f ca="1">SUMPRODUCT(成绩!$C12:$J12,OFFSET(CO_FESP,6,0,1,8))*INDEX(EF_SP,1)+SUMPRODUCT(成绩!$L12:$N12,OFFSET(CO_OSP,6,0,1,3),OFFSET(EF_SP,0,1,1,3))</f>
        <v>0</v>
      </c>
      <c r="J12" s="38">
        <f t="shared" ca="1" si="0"/>
        <v>95</v>
      </c>
      <c r="M12" s="28"/>
    </row>
    <row r="13" spans="1:13" x14ac:dyDescent="0.25">
      <c r="A13" s="37" t="str">
        <f>成绩!$A13</f>
        <v>201824100313</v>
      </c>
      <c r="B13" s="37" t="str">
        <f>成绩!$B13</f>
        <v>费宣烨</v>
      </c>
      <c r="C13" s="34">
        <f ca="1">SUMPRODUCT(成绩!$C13:$J13,OFFSET(CO_FESP,0,0,1,8))*INDEX(EF_SP,1)+SUMPRODUCT(成绩!$L13:$N13,OFFSET(CO_OSP,0,0,1,3),OFFSET(EF_SP,0,1,1,3))</f>
        <v>22.5</v>
      </c>
      <c r="D13" s="34">
        <f ca="1">SUMPRODUCT(成绩!$C13:$J13,OFFSET(CO_FESP,1,0,1,8))*INDEX(EF_SP,1)+SUMPRODUCT(成绩!$L13:$N13,OFFSET(CO_OSP,1,0,1,3),OFFSET(EF_SP,0,1,1,3))</f>
        <v>15.7</v>
      </c>
      <c r="E13" s="34">
        <f ca="1">SUMPRODUCT(成绩!$C13:$J13,OFFSET(CO_FESP,2,0,1,8))*INDEX(EF_SP,1)+SUMPRODUCT(成绩!$L13:$N13,OFFSET(CO_OSP,2,0,1,3),OFFSET(EF_SP,0,1,1,3))</f>
        <v>22.5</v>
      </c>
      <c r="F13" s="34">
        <f ca="1">SUMPRODUCT(成绩!$C13:$J13,OFFSET(CO_FESP,3,0,1,8))*INDEX(EF_SP,1)+SUMPRODUCT(成绩!$L13:$N13,OFFSET(CO_OSP,3,0,1,3),OFFSET(EF_SP,0,1,1,3))</f>
        <v>14.3</v>
      </c>
      <c r="G13" s="34">
        <f ca="1">SUMPRODUCT(成绩!$C13:$J13,OFFSET(CO_FESP,4,0,1,8))*INDEX(EF_SP,1)+SUMPRODUCT(成绩!$L13:$N13,OFFSET(CO_OSP,4,0,1,3),OFFSET(EF_SP,0,1,1,3))</f>
        <v>0</v>
      </c>
      <c r="H13" s="34">
        <f ca="1">SUMPRODUCT(成绩!$C13:$J13,OFFSET(CO_FESP,5,0,1,8))*INDEX(EF_SP,1)+SUMPRODUCT(成绩!$L13:$N13,OFFSET(CO_OSP,5,0,1,3),OFFSET(EF_SP,0,1,1,3))</f>
        <v>0</v>
      </c>
      <c r="I13" s="34">
        <f ca="1">SUMPRODUCT(成绩!$C13:$J13,OFFSET(CO_FESP,6,0,1,8))*INDEX(EF_SP,1)+SUMPRODUCT(成绩!$L13:$N13,OFFSET(CO_OSP,6,0,1,3),OFFSET(EF_SP,0,1,1,3))</f>
        <v>0</v>
      </c>
      <c r="J13" s="38">
        <f t="shared" ca="1" si="0"/>
        <v>75</v>
      </c>
      <c r="M13" s="28"/>
    </row>
    <row r="14" spans="1:13" x14ac:dyDescent="0.25">
      <c r="A14" s="37" t="str">
        <f>成绩!$A14</f>
        <v>201824100559</v>
      </c>
      <c r="B14" s="37" t="str">
        <f>成绩!$B14</f>
        <v>展闯</v>
      </c>
      <c r="C14" s="34">
        <f ca="1">SUMPRODUCT(成绩!$C14:$J14,OFFSET(CO_FESP,0,0,1,8))*INDEX(EF_SP,1)+SUMPRODUCT(成绩!$L14:$N14,OFFSET(CO_OSP,0,0,1,3),OFFSET(EF_SP,0,1,1,3))</f>
        <v>21.9</v>
      </c>
      <c r="D14" s="34">
        <f ca="1">SUMPRODUCT(成绩!$C14:$J14,OFFSET(CO_FESP,1,0,1,8))*INDEX(EF_SP,1)+SUMPRODUCT(成绩!$L14:$N14,OFFSET(CO_OSP,1,0,1,3),OFFSET(EF_SP,0,1,1,3))</f>
        <v>16</v>
      </c>
      <c r="E14" s="34">
        <f ca="1">SUMPRODUCT(成绩!$C14:$J14,OFFSET(CO_FESP,2,0,1,8))*INDEX(EF_SP,1)+SUMPRODUCT(成绩!$L14:$N14,OFFSET(CO_OSP,2,0,1,3),OFFSET(EF_SP,0,1,1,3))</f>
        <v>21.9</v>
      </c>
      <c r="F14" s="34">
        <f ca="1">SUMPRODUCT(成绩!$C14:$J14,OFFSET(CO_FESP,3,0,1,8))*INDEX(EF_SP,1)+SUMPRODUCT(成绩!$L14:$N14,OFFSET(CO_OSP,3,0,1,3),OFFSET(EF_SP,0,1,1,3))</f>
        <v>13.200000000000001</v>
      </c>
      <c r="G14" s="34">
        <f ca="1">SUMPRODUCT(成绩!$C14:$J14,OFFSET(CO_FESP,4,0,1,8))*INDEX(EF_SP,1)+SUMPRODUCT(成绩!$L14:$N14,OFFSET(CO_OSP,4,0,1,3),OFFSET(EF_SP,0,1,1,3))</f>
        <v>0</v>
      </c>
      <c r="H14" s="34">
        <f ca="1">SUMPRODUCT(成绩!$C14:$J14,OFFSET(CO_FESP,5,0,1,8))*INDEX(EF_SP,1)+SUMPRODUCT(成绩!$L14:$N14,OFFSET(CO_OSP,5,0,1,3),OFFSET(EF_SP,0,1,1,3))</f>
        <v>0</v>
      </c>
      <c r="I14" s="34">
        <f ca="1">SUMPRODUCT(成绩!$C14:$J14,OFFSET(CO_FESP,6,0,1,8))*INDEX(EF_SP,1)+SUMPRODUCT(成绩!$L14:$N14,OFFSET(CO_OSP,6,0,1,3),OFFSET(EF_SP,0,1,1,3))</f>
        <v>0</v>
      </c>
      <c r="J14" s="38">
        <f t="shared" ca="1" si="0"/>
        <v>73</v>
      </c>
      <c r="M14" s="28"/>
    </row>
    <row r="15" spans="1:13" x14ac:dyDescent="0.25">
      <c r="A15" s="37" t="str">
        <f>成绩!$A15</f>
        <v>201824100856</v>
      </c>
      <c r="B15" s="37" t="str">
        <f>成绩!$B15</f>
        <v>张雅琪</v>
      </c>
      <c r="C15" s="34">
        <f ca="1">SUMPRODUCT(成绩!$C15:$J15,OFFSET(CO_FESP,0,0,1,8))*INDEX(EF_SP,1)+SUMPRODUCT(成绩!$L15:$N15,OFFSET(CO_OSP,0,0,1,3),OFFSET(EF_SP,0,1,1,3))</f>
        <v>21.9</v>
      </c>
      <c r="D15" s="34">
        <f ca="1">SUMPRODUCT(成绩!$C15:$J15,OFFSET(CO_FESP,1,0,1,8))*INDEX(EF_SP,1)+SUMPRODUCT(成绩!$L15:$N15,OFFSET(CO_OSP,1,0,1,3),OFFSET(EF_SP,0,1,1,3))</f>
        <v>15.200000000000001</v>
      </c>
      <c r="E15" s="34">
        <f ca="1">SUMPRODUCT(成绩!$C15:$J15,OFFSET(CO_FESP,2,0,1,8))*INDEX(EF_SP,1)+SUMPRODUCT(成绩!$L15:$N15,OFFSET(CO_OSP,2,0,1,3),OFFSET(EF_SP,0,1,1,3))</f>
        <v>21.9</v>
      </c>
      <c r="F15" s="34">
        <f ca="1">SUMPRODUCT(成绩!$C15:$J15,OFFSET(CO_FESP,3,0,1,8))*INDEX(EF_SP,1)+SUMPRODUCT(成绩!$L15:$N15,OFFSET(CO_OSP,3,0,1,3),OFFSET(EF_SP,0,1,1,3))</f>
        <v>14</v>
      </c>
      <c r="G15" s="34">
        <f ca="1">SUMPRODUCT(成绩!$C15:$J15,OFFSET(CO_FESP,4,0,1,8))*INDEX(EF_SP,1)+SUMPRODUCT(成绩!$L15:$N15,OFFSET(CO_OSP,4,0,1,3),OFFSET(EF_SP,0,1,1,3))</f>
        <v>0</v>
      </c>
      <c r="H15" s="34">
        <f ca="1">SUMPRODUCT(成绩!$C15:$J15,OFFSET(CO_FESP,5,0,1,8))*INDEX(EF_SP,1)+SUMPRODUCT(成绩!$L15:$N15,OFFSET(CO_OSP,5,0,1,3),OFFSET(EF_SP,0,1,1,3))</f>
        <v>0</v>
      </c>
      <c r="I15" s="34">
        <f ca="1">SUMPRODUCT(成绩!$C15:$J15,OFFSET(CO_FESP,6,0,1,8))*INDEX(EF_SP,1)+SUMPRODUCT(成绩!$L15:$N15,OFFSET(CO_OSP,6,0,1,3),OFFSET(EF_SP,0,1,1,3))</f>
        <v>0</v>
      </c>
      <c r="J15" s="38">
        <f t="shared" ca="1" si="0"/>
        <v>73</v>
      </c>
      <c r="M15" s="28"/>
    </row>
    <row r="16" spans="1:13" x14ac:dyDescent="0.25">
      <c r="A16" s="37" t="str">
        <f>成绩!$A16</f>
        <v>201824100339</v>
      </c>
      <c r="B16" s="37" t="str">
        <f>成绩!$B16</f>
        <v>唐正强</v>
      </c>
      <c r="C16" s="34">
        <f ca="1">SUMPRODUCT(成绩!$C16:$J16,OFFSET(CO_FESP,0,0,1,8))*INDEX(EF_SP,1)+SUMPRODUCT(成绩!$L16:$N16,OFFSET(CO_OSP,0,0,1,3),OFFSET(EF_SP,0,1,1,3))</f>
        <v>17.700000000000003</v>
      </c>
      <c r="D16" s="34">
        <f ca="1">SUMPRODUCT(成绩!$C16:$J16,OFFSET(CO_FESP,1,0,1,8))*INDEX(EF_SP,1)+SUMPRODUCT(成绩!$L16:$N16,OFFSET(CO_OSP,1,0,1,3),OFFSET(EF_SP,0,1,1,3))</f>
        <v>13.400000000000002</v>
      </c>
      <c r="E16" s="34">
        <f ca="1">SUMPRODUCT(成绩!$C16:$J16,OFFSET(CO_FESP,2,0,1,8))*INDEX(EF_SP,1)+SUMPRODUCT(成绩!$L16:$N16,OFFSET(CO_OSP,2,0,1,3),OFFSET(EF_SP,0,1,1,3))</f>
        <v>17.700000000000003</v>
      </c>
      <c r="F16" s="34">
        <f ca="1">SUMPRODUCT(成绩!$C16:$J16,OFFSET(CO_FESP,3,0,1,8))*INDEX(EF_SP,1)+SUMPRODUCT(成绩!$L16:$N16,OFFSET(CO_OSP,3,0,1,3),OFFSET(EF_SP,0,1,1,3))</f>
        <v>10.199999999999999</v>
      </c>
      <c r="G16" s="34">
        <f ca="1">SUMPRODUCT(成绩!$C16:$J16,OFFSET(CO_FESP,4,0,1,8))*INDEX(EF_SP,1)+SUMPRODUCT(成绩!$L16:$N16,OFFSET(CO_OSP,4,0,1,3),OFFSET(EF_SP,0,1,1,3))</f>
        <v>0</v>
      </c>
      <c r="H16" s="34">
        <f ca="1">SUMPRODUCT(成绩!$C16:$J16,OFFSET(CO_FESP,5,0,1,8))*INDEX(EF_SP,1)+SUMPRODUCT(成绩!$L16:$N16,OFFSET(CO_OSP,5,0,1,3),OFFSET(EF_SP,0,1,1,3))</f>
        <v>0</v>
      </c>
      <c r="I16" s="34">
        <f ca="1">SUMPRODUCT(成绩!$C16:$J16,OFFSET(CO_FESP,6,0,1,8))*INDEX(EF_SP,1)+SUMPRODUCT(成绩!$L16:$N16,OFFSET(CO_OSP,6,0,1,3),OFFSET(EF_SP,0,1,1,3))</f>
        <v>0</v>
      </c>
      <c r="J16" s="38">
        <f t="shared" ca="1" si="0"/>
        <v>59.000000000000014</v>
      </c>
      <c r="M16" s="28"/>
    </row>
    <row r="17" spans="1:13" x14ac:dyDescent="0.25">
      <c r="A17" s="37" t="str">
        <f>成绩!$A17</f>
        <v>201824100460</v>
      </c>
      <c r="B17" s="37" t="str">
        <f>成绩!$B17</f>
        <v>周李龙</v>
      </c>
      <c r="C17" s="34">
        <f ca="1">SUMPRODUCT(成绩!$C17:$J17,OFFSET(CO_FESP,0,0,1,8))*INDEX(EF_SP,1)+SUMPRODUCT(成绩!$L17:$N17,OFFSET(CO_OSP,0,0,1,3),OFFSET(EF_SP,0,1,1,3))</f>
        <v>16.5</v>
      </c>
      <c r="D17" s="34">
        <f ca="1">SUMPRODUCT(成绩!$C17:$J17,OFFSET(CO_FESP,1,0,1,8))*INDEX(EF_SP,1)+SUMPRODUCT(成绩!$L17:$N17,OFFSET(CO_OSP,1,0,1,3),OFFSET(EF_SP,0,1,1,3))</f>
        <v>13.299999999999999</v>
      </c>
      <c r="E17" s="34">
        <f ca="1">SUMPRODUCT(成绩!$C17:$J17,OFFSET(CO_FESP,2,0,1,8))*INDEX(EF_SP,1)+SUMPRODUCT(成绩!$L17:$N17,OFFSET(CO_OSP,2,0,1,3),OFFSET(EF_SP,0,1,1,3))</f>
        <v>16.5</v>
      </c>
      <c r="F17" s="34">
        <f ca="1">SUMPRODUCT(成绩!$C17:$J17,OFFSET(CO_FESP,3,0,1,8))*INDEX(EF_SP,1)+SUMPRODUCT(成绩!$L17:$N17,OFFSET(CO_OSP,3,0,1,3),OFFSET(EF_SP,0,1,1,3))</f>
        <v>8.6999999999999993</v>
      </c>
      <c r="G17" s="34">
        <f ca="1">SUMPRODUCT(成绩!$C17:$J17,OFFSET(CO_FESP,4,0,1,8))*INDEX(EF_SP,1)+SUMPRODUCT(成绩!$L17:$N17,OFFSET(CO_OSP,4,0,1,3),OFFSET(EF_SP,0,1,1,3))</f>
        <v>0</v>
      </c>
      <c r="H17" s="34">
        <f ca="1">SUMPRODUCT(成绩!$C17:$J17,OFFSET(CO_FESP,5,0,1,8))*INDEX(EF_SP,1)+SUMPRODUCT(成绩!$L17:$N17,OFFSET(CO_OSP,5,0,1,3),OFFSET(EF_SP,0,1,1,3))</f>
        <v>0</v>
      </c>
      <c r="I17" s="34">
        <f ca="1">SUMPRODUCT(成绩!$C17:$J17,OFFSET(CO_FESP,6,0,1,8))*INDEX(EF_SP,1)+SUMPRODUCT(成绩!$L17:$N17,OFFSET(CO_OSP,6,0,1,3),OFFSET(EF_SP,0,1,1,3))</f>
        <v>0</v>
      </c>
      <c r="J17" s="38">
        <f t="shared" ca="1" si="0"/>
        <v>55</v>
      </c>
      <c r="M17" s="28"/>
    </row>
    <row r="18" spans="1:13" x14ac:dyDescent="0.25">
      <c r="A18" s="37" t="str">
        <f>成绩!$A18</f>
        <v>201824100601</v>
      </c>
      <c r="B18" s="37" t="str">
        <f>成绩!$B18</f>
        <v>白耀庭</v>
      </c>
      <c r="C18" s="34">
        <f ca="1">SUMPRODUCT(成绩!$C18:$J18,OFFSET(CO_FESP,0,0,1,8))*INDEX(EF_SP,1)+SUMPRODUCT(成绩!$L18:$N18,OFFSET(CO_OSP,0,0,1,3),OFFSET(EF_SP,0,1,1,3))</f>
        <v>18.899999999999999</v>
      </c>
      <c r="D18" s="34">
        <f ca="1">SUMPRODUCT(成绩!$C18:$J18,OFFSET(CO_FESP,1,0,1,8))*INDEX(EF_SP,1)+SUMPRODUCT(成绩!$L18:$N18,OFFSET(CO_OSP,1,0,1,3),OFFSET(EF_SP,0,1,1,3))</f>
        <v>14</v>
      </c>
      <c r="E18" s="34">
        <f ca="1">SUMPRODUCT(成绩!$C18:$J18,OFFSET(CO_FESP,2,0,1,8))*INDEX(EF_SP,1)+SUMPRODUCT(成绩!$L18:$N18,OFFSET(CO_OSP,2,0,1,3),OFFSET(EF_SP,0,1,1,3))</f>
        <v>18.899999999999999</v>
      </c>
      <c r="F18" s="34">
        <f ca="1">SUMPRODUCT(成绩!$C18:$J18,OFFSET(CO_FESP,3,0,1,8))*INDEX(EF_SP,1)+SUMPRODUCT(成绩!$L18:$N18,OFFSET(CO_OSP,3,0,1,3),OFFSET(EF_SP,0,1,1,3))</f>
        <v>11.200000000000001</v>
      </c>
      <c r="G18" s="34">
        <f ca="1">SUMPRODUCT(成绩!$C18:$J18,OFFSET(CO_FESP,4,0,1,8))*INDEX(EF_SP,1)+SUMPRODUCT(成绩!$L18:$N18,OFFSET(CO_OSP,4,0,1,3),OFFSET(EF_SP,0,1,1,3))</f>
        <v>0</v>
      </c>
      <c r="H18" s="34">
        <f ca="1">SUMPRODUCT(成绩!$C18:$J18,OFFSET(CO_FESP,5,0,1,8))*INDEX(EF_SP,1)+SUMPRODUCT(成绩!$L18:$N18,OFFSET(CO_OSP,5,0,1,3),OFFSET(EF_SP,0,1,1,3))</f>
        <v>0</v>
      </c>
      <c r="I18" s="34">
        <f ca="1">SUMPRODUCT(成绩!$C18:$J18,OFFSET(CO_FESP,6,0,1,8))*INDEX(EF_SP,1)+SUMPRODUCT(成绩!$L18:$N18,OFFSET(CO_OSP,6,0,1,3),OFFSET(EF_SP,0,1,1,3))</f>
        <v>0</v>
      </c>
      <c r="J18" s="38">
        <f t="shared" ca="1" si="0"/>
        <v>63</v>
      </c>
      <c r="M18" s="28"/>
    </row>
    <row r="19" spans="1:13" x14ac:dyDescent="0.25">
      <c r="A19" s="37" t="str">
        <f>成绩!$A19</f>
        <v>201824100120</v>
      </c>
      <c r="B19" s="37" t="str">
        <f>成绩!$B19</f>
        <v>黄增宇</v>
      </c>
      <c r="C19" s="34">
        <f ca="1">SUMPRODUCT(成绩!$C19:$J19,OFFSET(CO_FESP,0,0,1,8))*INDEX(EF_SP,1)+SUMPRODUCT(成绩!$L19:$N19,OFFSET(CO_OSP,0,0,1,3),OFFSET(EF_SP,0,1,1,3))</f>
        <v>24</v>
      </c>
      <c r="D19" s="34">
        <f ca="1">SUMPRODUCT(成绩!$C19:$J19,OFFSET(CO_FESP,1,0,1,8))*INDEX(EF_SP,1)+SUMPRODUCT(成绩!$L19:$N19,OFFSET(CO_OSP,1,0,1,3),OFFSET(EF_SP,0,1,1,3))</f>
        <v>16.7</v>
      </c>
      <c r="E19" s="34">
        <f ca="1">SUMPRODUCT(成绩!$C19:$J19,OFFSET(CO_FESP,2,0,1,8))*INDEX(EF_SP,1)+SUMPRODUCT(成绩!$L19:$N19,OFFSET(CO_OSP,2,0,1,3),OFFSET(EF_SP,0,1,1,3))</f>
        <v>24</v>
      </c>
      <c r="F19" s="34">
        <f ca="1">SUMPRODUCT(成绩!$C19:$J19,OFFSET(CO_FESP,3,0,1,8))*INDEX(EF_SP,1)+SUMPRODUCT(成绩!$L19:$N19,OFFSET(CO_OSP,3,0,1,3),OFFSET(EF_SP,0,1,1,3))</f>
        <v>15.3</v>
      </c>
      <c r="G19" s="34">
        <f ca="1">SUMPRODUCT(成绩!$C19:$J19,OFFSET(CO_FESP,4,0,1,8))*INDEX(EF_SP,1)+SUMPRODUCT(成绩!$L19:$N19,OFFSET(CO_OSP,4,0,1,3),OFFSET(EF_SP,0,1,1,3))</f>
        <v>0</v>
      </c>
      <c r="H19" s="34">
        <f ca="1">SUMPRODUCT(成绩!$C19:$J19,OFFSET(CO_FESP,5,0,1,8))*INDEX(EF_SP,1)+SUMPRODUCT(成绩!$L19:$N19,OFFSET(CO_OSP,5,0,1,3),OFFSET(EF_SP,0,1,1,3))</f>
        <v>0</v>
      </c>
      <c r="I19" s="34">
        <f ca="1">SUMPRODUCT(成绩!$C19:$J19,OFFSET(CO_FESP,6,0,1,8))*INDEX(EF_SP,1)+SUMPRODUCT(成绩!$L19:$N19,OFFSET(CO_OSP,6,0,1,3),OFFSET(EF_SP,0,1,1,3))</f>
        <v>0</v>
      </c>
      <c r="J19" s="38">
        <f t="shared" ca="1" si="0"/>
        <v>80</v>
      </c>
      <c r="M19" s="28"/>
    </row>
    <row r="20" spans="1:13" x14ac:dyDescent="0.25">
      <c r="A20" s="37" t="str">
        <f>成绩!$A20</f>
        <v>201824100805</v>
      </c>
      <c r="B20" s="37" t="str">
        <f>成绩!$B20</f>
        <v>程可</v>
      </c>
      <c r="C20" s="34">
        <f ca="1">SUMPRODUCT(成绩!$C20:$J20,OFFSET(CO_FESP,0,0,1,8))*INDEX(EF_SP,1)+SUMPRODUCT(成绩!$L20:$N20,OFFSET(CO_OSP,0,0,1,3),OFFSET(EF_SP,0,1,1,3))</f>
        <v>16.8</v>
      </c>
      <c r="D20" s="34">
        <f ca="1">SUMPRODUCT(成绩!$C20:$J20,OFFSET(CO_FESP,1,0,1,8))*INDEX(EF_SP,1)+SUMPRODUCT(成绩!$L20:$N20,OFFSET(CO_OSP,1,0,1,3),OFFSET(EF_SP,0,1,1,3))</f>
        <v>13</v>
      </c>
      <c r="E20" s="34">
        <f ca="1">SUMPRODUCT(成绩!$C20:$J20,OFFSET(CO_FESP,2,0,1,8))*INDEX(EF_SP,1)+SUMPRODUCT(成绩!$L20:$N20,OFFSET(CO_OSP,2,0,1,3),OFFSET(EF_SP,0,1,1,3))</f>
        <v>16.8</v>
      </c>
      <c r="F20" s="34">
        <f ca="1">SUMPRODUCT(成绩!$C20:$J20,OFFSET(CO_FESP,3,0,1,8))*INDEX(EF_SP,1)+SUMPRODUCT(成绩!$L20:$N20,OFFSET(CO_OSP,3,0,1,3),OFFSET(EF_SP,0,1,1,3))</f>
        <v>9.4</v>
      </c>
      <c r="G20" s="34">
        <f ca="1">SUMPRODUCT(成绩!$C20:$J20,OFFSET(CO_FESP,4,0,1,8))*INDEX(EF_SP,1)+SUMPRODUCT(成绩!$L20:$N20,OFFSET(CO_OSP,4,0,1,3),OFFSET(EF_SP,0,1,1,3))</f>
        <v>0</v>
      </c>
      <c r="H20" s="34">
        <f ca="1">SUMPRODUCT(成绩!$C20:$J20,OFFSET(CO_FESP,5,0,1,8))*INDEX(EF_SP,1)+SUMPRODUCT(成绩!$L20:$N20,OFFSET(CO_OSP,5,0,1,3),OFFSET(EF_SP,0,1,1,3))</f>
        <v>0</v>
      </c>
      <c r="I20" s="34">
        <f ca="1">SUMPRODUCT(成绩!$C20:$J20,OFFSET(CO_FESP,6,0,1,8))*INDEX(EF_SP,1)+SUMPRODUCT(成绩!$L20:$N20,OFFSET(CO_OSP,6,0,1,3),OFFSET(EF_SP,0,1,1,3))</f>
        <v>0</v>
      </c>
      <c r="J20" s="38">
        <f t="shared" ca="1" si="0"/>
        <v>56</v>
      </c>
      <c r="M20" s="28"/>
    </row>
    <row r="21" spans="1:13" x14ac:dyDescent="0.25">
      <c r="A21" s="37" t="str">
        <f>成绩!$A21</f>
        <v>201824100849</v>
      </c>
      <c r="B21" s="37" t="str">
        <f>成绩!$B21</f>
        <v>许文洲</v>
      </c>
      <c r="C21" s="34">
        <f ca="1">SUMPRODUCT(成绩!$C21:$J21,OFFSET(CO_FESP,0,0,1,8))*INDEX(EF_SP,1)+SUMPRODUCT(成绩!$L21:$N21,OFFSET(CO_OSP,0,0,1,3),OFFSET(EF_SP,0,1,1,3))</f>
        <v>14.100000000000001</v>
      </c>
      <c r="D21" s="34">
        <f ca="1">SUMPRODUCT(成绩!$C21:$J21,OFFSET(CO_FESP,1,0,1,8))*INDEX(EF_SP,1)+SUMPRODUCT(成绩!$L21:$N21,OFFSET(CO_OSP,1,0,1,3),OFFSET(EF_SP,0,1,1,3))</f>
        <v>11.6</v>
      </c>
      <c r="E21" s="34">
        <f ca="1">SUMPRODUCT(成绩!$C21:$J21,OFFSET(CO_FESP,2,0,1,8))*INDEX(EF_SP,1)+SUMPRODUCT(成绩!$L21:$N21,OFFSET(CO_OSP,2,0,1,3),OFFSET(EF_SP,0,1,1,3))</f>
        <v>14.100000000000001</v>
      </c>
      <c r="F21" s="34">
        <f ca="1">SUMPRODUCT(成绩!$C21:$J21,OFFSET(CO_FESP,3,0,1,8))*INDEX(EF_SP,1)+SUMPRODUCT(成绩!$L21:$N21,OFFSET(CO_OSP,3,0,1,3),OFFSET(EF_SP,0,1,1,3))</f>
        <v>7.2</v>
      </c>
      <c r="G21" s="34">
        <f ca="1">SUMPRODUCT(成绩!$C21:$J21,OFFSET(CO_FESP,4,0,1,8))*INDEX(EF_SP,1)+SUMPRODUCT(成绩!$L21:$N21,OFFSET(CO_OSP,4,0,1,3),OFFSET(EF_SP,0,1,1,3))</f>
        <v>0</v>
      </c>
      <c r="H21" s="34">
        <f ca="1">SUMPRODUCT(成绩!$C21:$J21,OFFSET(CO_FESP,5,0,1,8))*INDEX(EF_SP,1)+SUMPRODUCT(成绩!$L21:$N21,OFFSET(CO_OSP,5,0,1,3),OFFSET(EF_SP,0,1,1,3))</f>
        <v>0</v>
      </c>
      <c r="I21" s="34">
        <f ca="1">SUMPRODUCT(成绩!$C21:$J21,OFFSET(CO_FESP,6,0,1,8))*INDEX(EF_SP,1)+SUMPRODUCT(成绩!$L21:$N21,OFFSET(CO_OSP,6,0,1,3),OFFSET(EF_SP,0,1,1,3))</f>
        <v>0</v>
      </c>
      <c r="J21" s="38">
        <f t="shared" ca="1" si="0"/>
        <v>47.000000000000007</v>
      </c>
      <c r="M21" s="28"/>
    </row>
    <row r="22" spans="1:13" x14ac:dyDescent="0.25">
      <c r="A22" s="37" t="str">
        <f>成绩!$A22</f>
        <v>201824100317</v>
      </c>
      <c r="B22" s="37" t="str">
        <f>成绩!$B22</f>
        <v>郭星男</v>
      </c>
      <c r="C22" s="34">
        <f ca="1">SUMPRODUCT(成绩!$C22:$J22,OFFSET(CO_FESP,0,0,1,8))*INDEX(EF_SP,1)+SUMPRODUCT(成绩!$L22:$N22,OFFSET(CO_OSP,0,0,1,3),OFFSET(EF_SP,0,1,1,3))</f>
        <v>25.799999999999997</v>
      </c>
      <c r="D22" s="34">
        <f ca="1">SUMPRODUCT(成绩!$C22:$J22,OFFSET(CO_FESP,1,0,1,8))*INDEX(EF_SP,1)+SUMPRODUCT(成绩!$L22:$N22,OFFSET(CO_OSP,1,0,1,3),OFFSET(EF_SP,0,1,1,3))</f>
        <v>17</v>
      </c>
      <c r="E22" s="34">
        <f ca="1">SUMPRODUCT(成绩!$C22:$J22,OFFSET(CO_FESP,2,0,1,8))*INDEX(EF_SP,1)+SUMPRODUCT(成绩!$L22:$N22,OFFSET(CO_OSP,2,0,1,3),OFFSET(EF_SP,0,1,1,3))</f>
        <v>25.799999999999997</v>
      </c>
      <c r="F22" s="34">
        <f ca="1">SUMPRODUCT(成绩!$C22:$J22,OFFSET(CO_FESP,3,0,1,8))*INDEX(EF_SP,1)+SUMPRODUCT(成绩!$L22:$N22,OFFSET(CO_OSP,3,0,1,3),OFFSET(EF_SP,0,1,1,3))</f>
        <v>17.399999999999999</v>
      </c>
      <c r="G22" s="34">
        <f ca="1">SUMPRODUCT(成绩!$C22:$J22,OFFSET(CO_FESP,4,0,1,8))*INDEX(EF_SP,1)+SUMPRODUCT(成绩!$L22:$N22,OFFSET(CO_OSP,4,0,1,3),OFFSET(EF_SP,0,1,1,3))</f>
        <v>0</v>
      </c>
      <c r="H22" s="34">
        <f ca="1">SUMPRODUCT(成绩!$C22:$J22,OFFSET(CO_FESP,5,0,1,8))*INDEX(EF_SP,1)+SUMPRODUCT(成绩!$L22:$N22,OFFSET(CO_OSP,5,0,1,3),OFFSET(EF_SP,0,1,1,3))</f>
        <v>0</v>
      </c>
      <c r="I22" s="34">
        <f ca="1">SUMPRODUCT(成绩!$C22:$J22,OFFSET(CO_FESP,6,0,1,8))*INDEX(EF_SP,1)+SUMPRODUCT(成绩!$L22:$N22,OFFSET(CO_OSP,6,0,1,3),OFFSET(EF_SP,0,1,1,3))</f>
        <v>0</v>
      </c>
      <c r="J22" s="38">
        <f t="shared" ca="1" si="0"/>
        <v>86</v>
      </c>
      <c r="M22" s="28"/>
    </row>
    <row r="23" spans="1:13" x14ac:dyDescent="0.25">
      <c r="A23" s="37" t="str">
        <f>成绩!$A23</f>
        <v>201824100464</v>
      </c>
      <c r="B23" s="37" t="str">
        <f>成绩!$B23</f>
        <v>左昊广</v>
      </c>
      <c r="C23" s="34">
        <f ca="1">SUMPRODUCT(成绩!$C23:$J23,OFFSET(CO_FESP,0,0,1,8))*INDEX(EF_SP,1)+SUMPRODUCT(成绩!$L23:$N23,OFFSET(CO_OSP,0,0,1,3),OFFSET(EF_SP,0,1,1,3))</f>
        <v>23.7</v>
      </c>
      <c r="D23" s="34">
        <f ca="1">SUMPRODUCT(成绩!$C23:$J23,OFFSET(CO_FESP,1,0,1,8))*INDEX(EF_SP,1)+SUMPRODUCT(成绩!$L23:$N23,OFFSET(CO_OSP,1,0,1,3),OFFSET(EF_SP,0,1,1,3))</f>
        <v>15.9</v>
      </c>
      <c r="E23" s="34">
        <f ca="1">SUMPRODUCT(成绩!$C23:$J23,OFFSET(CO_FESP,2,0,1,8))*INDEX(EF_SP,1)+SUMPRODUCT(成绩!$L23:$N23,OFFSET(CO_OSP,2,0,1,3),OFFSET(EF_SP,0,1,1,3))</f>
        <v>23.7</v>
      </c>
      <c r="F23" s="34">
        <f ca="1">SUMPRODUCT(成绩!$C23:$J23,OFFSET(CO_FESP,3,0,1,8))*INDEX(EF_SP,1)+SUMPRODUCT(成绩!$L23:$N23,OFFSET(CO_OSP,3,0,1,3),OFFSET(EF_SP,0,1,1,3))</f>
        <v>15.7</v>
      </c>
      <c r="G23" s="34">
        <f ca="1">SUMPRODUCT(成绩!$C23:$J23,OFFSET(CO_FESP,4,0,1,8))*INDEX(EF_SP,1)+SUMPRODUCT(成绩!$L23:$N23,OFFSET(CO_OSP,4,0,1,3),OFFSET(EF_SP,0,1,1,3))</f>
        <v>0</v>
      </c>
      <c r="H23" s="34">
        <f ca="1">SUMPRODUCT(成绩!$C23:$J23,OFFSET(CO_FESP,5,0,1,8))*INDEX(EF_SP,1)+SUMPRODUCT(成绩!$L23:$N23,OFFSET(CO_OSP,5,0,1,3),OFFSET(EF_SP,0,1,1,3))</f>
        <v>0</v>
      </c>
      <c r="I23" s="34">
        <f ca="1">SUMPRODUCT(成绩!$C23:$J23,OFFSET(CO_FESP,6,0,1,8))*INDEX(EF_SP,1)+SUMPRODUCT(成绩!$L23:$N23,OFFSET(CO_OSP,6,0,1,3),OFFSET(EF_SP,0,1,1,3))</f>
        <v>0</v>
      </c>
      <c r="J23" s="38">
        <f t="shared" ca="1" si="0"/>
        <v>79</v>
      </c>
      <c r="M23" s="28"/>
    </row>
    <row r="24" spans="1:13" x14ac:dyDescent="0.25">
      <c r="A24" s="37" t="str">
        <f>成绩!$A24</f>
        <v>201824100505</v>
      </c>
      <c r="B24" s="37" t="str">
        <f>成绩!$B24</f>
        <v>杜豫湘</v>
      </c>
      <c r="C24" s="34">
        <f ca="1">SUMPRODUCT(成绩!$C24:$J24,OFFSET(CO_FESP,0,0,1,8))*INDEX(EF_SP,1)+SUMPRODUCT(成绩!$L24:$N24,OFFSET(CO_OSP,0,0,1,3),OFFSET(EF_SP,0,1,1,3))</f>
        <v>20.399999999999999</v>
      </c>
      <c r="D24" s="34">
        <f ca="1">SUMPRODUCT(成绩!$C24:$J24,OFFSET(CO_FESP,1,0,1,8))*INDEX(EF_SP,1)+SUMPRODUCT(成绩!$L24:$N24,OFFSET(CO_OSP,1,0,1,3),OFFSET(EF_SP,0,1,1,3))</f>
        <v>15</v>
      </c>
      <c r="E24" s="34">
        <f ca="1">SUMPRODUCT(成绩!$C24:$J24,OFFSET(CO_FESP,2,0,1,8))*INDEX(EF_SP,1)+SUMPRODUCT(成绩!$L24:$N24,OFFSET(CO_OSP,2,0,1,3),OFFSET(EF_SP,0,1,1,3))</f>
        <v>20.399999999999999</v>
      </c>
      <c r="F24" s="34">
        <f ca="1">SUMPRODUCT(成绩!$C24:$J24,OFFSET(CO_FESP,3,0,1,8))*INDEX(EF_SP,1)+SUMPRODUCT(成绩!$L24:$N24,OFFSET(CO_OSP,3,0,1,3),OFFSET(EF_SP,0,1,1,3))</f>
        <v>12.200000000000001</v>
      </c>
      <c r="G24" s="34">
        <f ca="1">SUMPRODUCT(成绩!$C24:$J24,OFFSET(CO_FESP,4,0,1,8))*INDEX(EF_SP,1)+SUMPRODUCT(成绩!$L24:$N24,OFFSET(CO_OSP,4,0,1,3),OFFSET(EF_SP,0,1,1,3))</f>
        <v>0</v>
      </c>
      <c r="H24" s="34">
        <f ca="1">SUMPRODUCT(成绩!$C24:$J24,OFFSET(CO_FESP,5,0,1,8))*INDEX(EF_SP,1)+SUMPRODUCT(成绩!$L24:$N24,OFFSET(CO_OSP,5,0,1,3),OFFSET(EF_SP,0,1,1,3))</f>
        <v>0</v>
      </c>
      <c r="I24" s="34">
        <f ca="1">SUMPRODUCT(成绩!$C24:$J24,OFFSET(CO_FESP,6,0,1,8))*INDEX(EF_SP,1)+SUMPRODUCT(成绩!$L24:$N24,OFFSET(CO_OSP,6,0,1,3),OFFSET(EF_SP,0,1,1,3))</f>
        <v>0</v>
      </c>
      <c r="J24" s="38">
        <f t="shared" ca="1" si="0"/>
        <v>68</v>
      </c>
    </row>
    <row r="25" spans="1:13" x14ac:dyDescent="0.25">
      <c r="A25" s="37" t="str">
        <f>成绩!$A25</f>
        <v>201824100116</v>
      </c>
      <c r="B25" s="37" t="str">
        <f>成绩!$B25</f>
        <v>郝伟科</v>
      </c>
      <c r="C25" s="34">
        <f ca="1">SUMPRODUCT(成绩!$C25:$J25,OFFSET(CO_FESP,0,0,1,8))*INDEX(EF_SP,1)+SUMPRODUCT(成绩!$L25:$N25,OFFSET(CO_OSP,0,0,1,3),OFFSET(EF_SP,0,1,1,3))</f>
        <v>21.9</v>
      </c>
      <c r="D25" s="34">
        <f ca="1">SUMPRODUCT(成绩!$C25:$J25,OFFSET(CO_FESP,1,0,1,8))*INDEX(EF_SP,1)+SUMPRODUCT(成绩!$L25:$N25,OFFSET(CO_OSP,1,0,1,3),OFFSET(EF_SP,0,1,1,3))</f>
        <v>14.899999999999999</v>
      </c>
      <c r="E25" s="34">
        <f ca="1">SUMPRODUCT(成绩!$C25:$J25,OFFSET(CO_FESP,2,0,1,8))*INDEX(EF_SP,1)+SUMPRODUCT(成绩!$L25:$N25,OFFSET(CO_OSP,2,0,1,3),OFFSET(EF_SP,0,1,1,3))</f>
        <v>21.9</v>
      </c>
      <c r="F25" s="34">
        <f ca="1">SUMPRODUCT(成绩!$C25:$J25,OFFSET(CO_FESP,3,0,1,8))*INDEX(EF_SP,1)+SUMPRODUCT(成绩!$L25:$N25,OFFSET(CO_OSP,3,0,1,3),OFFSET(EF_SP,0,1,1,3))</f>
        <v>14.3</v>
      </c>
      <c r="G25" s="34">
        <f ca="1">SUMPRODUCT(成绩!$C25:$J25,OFFSET(CO_FESP,4,0,1,8))*INDEX(EF_SP,1)+SUMPRODUCT(成绩!$L25:$N25,OFFSET(CO_OSP,4,0,1,3),OFFSET(EF_SP,0,1,1,3))</f>
        <v>0</v>
      </c>
      <c r="H25" s="34">
        <f ca="1">SUMPRODUCT(成绩!$C25:$J25,OFFSET(CO_FESP,5,0,1,8))*INDEX(EF_SP,1)+SUMPRODUCT(成绩!$L25:$N25,OFFSET(CO_OSP,5,0,1,3),OFFSET(EF_SP,0,1,1,3))</f>
        <v>0</v>
      </c>
      <c r="I25" s="34">
        <f ca="1">SUMPRODUCT(成绩!$C25:$J25,OFFSET(CO_FESP,6,0,1,8))*INDEX(EF_SP,1)+SUMPRODUCT(成绩!$L25:$N25,OFFSET(CO_OSP,6,0,1,3),OFFSET(EF_SP,0,1,1,3))</f>
        <v>0</v>
      </c>
      <c r="J25" s="38">
        <f t="shared" ca="1" si="0"/>
        <v>73</v>
      </c>
    </row>
    <row r="26" spans="1:13" x14ac:dyDescent="0.25">
      <c r="A26" s="37" t="str">
        <f>成绩!$A26</f>
        <v>201824100109</v>
      </c>
      <c r="B26" s="37" t="str">
        <f>成绩!$B26</f>
        <v>成佳伟</v>
      </c>
      <c r="C26" s="34">
        <f ca="1">SUMPRODUCT(成绩!$C26:$J26,OFFSET(CO_FESP,0,0,1,8))*INDEX(EF_SP,1)+SUMPRODUCT(成绩!$L26:$N26,OFFSET(CO_OSP,0,0,1,3),OFFSET(EF_SP,0,1,1,3))</f>
        <v>28.2</v>
      </c>
      <c r="D26" s="34">
        <f ca="1">SUMPRODUCT(成绩!$C26:$J26,OFFSET(CO_FESP,1,0,1,8))*INDEX(EF_SP,1)+SUMPRODUCT(成绩!$L26:$N26,OFFSET(CO_OSP,1,0,1,3),OFFSET(EF_SP,0,1,1,3))</f>
        <v>18.399999999999999</v>
      </c>
      <c r="E26" s="34">
        <f ca="1">SUMPRODUCT(成绩!$C26:$J26,OFFSET(CO_FESP,2,0,1,8))*INDEX(EF_SP,1)+SUMPRODUCT(成绩!$L26:$N26,OFFSET(CO_OSP,2,0,1,3),OFFSET(EF_SP,0,1,1,3))</f>
        <v>28.2</v>
      </c>
      <c r="F26" s="34">
        <f ca="1">SUMPRODUCT(成绩!$C26:$J26,OFFSET(CO_FESP,3,0,1,8))*INDEX(EF_SP,1)+SUMPRODUCT(成绩!$L26:$N26,OFFSET(CO_OSP,3,0,1,3),OFFSET(EF_SP,0,1,1,3))</f>
        <v>19.2</v>
      </c>
      <c r="G26" s="34">
        <f ca="1">SUMPRODUCT(成绩!$C26:$J26,OFFSET(CO_FESP,4,0,1,8))*INDEX(EF_SP,1)+SUMPRODUCT(成绩!$L26:$N26,OFFSET(CO_OSP,4,0,1,3),OFFSET(EF_SP,0,1,1,3))</f>
        <v>0</v>
      </c>
      <c r="H26" s="34">
        <f ca="1">SUMPRODUCT(成绩!$C26:$J26,OFFSET(CO_FESP,5,0,1,8))*INDEX(EF_SP,1)+SUMPRODUCT(成绩!$L26:$N26,OFFSET(CO_OSP,5,0,1,3),OFFSET(EF_SP,0,1,1,3))</f>
        <v>0</v>
      </c>
      <c r="I26" s="34">
        <f ca="1">SUMPRODUCT(成绩!$C26:$J26,OFFSET(CO_FESP,6,0,1,8))*INDEX(EF_SP,1)+SUMPRODUCT(成绩!$L26:$N26,OFFSET(CO_OSP,6,0,1,3),OFFSET(EF_SP,0,1,1,3))</f>
        <v>0</v>
      </c>
      <c r="J26" s="38">
        <f t="shared" ca="1" si="0"/>
        <v>94</v>
      </c>
    </row>
    <row r="27" spans="1:13" x14ac:dyDescent="0.25">
      <c r="A27" s="37" t="str">
        <f>成绩!$A27</f>
        <v>201824100720</v>
      </c>
      <c r="B27" s="37" t="str">
        <f>成绩!$B27</f>
        <v>李越强</v>
      </c>
      <c r="C27" s="34">
        <f ca="1">SUMPRODUCT(成绩!$C27:$J27,OFFSET(CO_FESP,0,0,1,8))*INDEX(EF_SP,1)+SUMPRODUCT(成绩!$L27:$N27,OFFSET(CO_OSP,0,0,1,3),OFFSET(EF_SP,0,1,1,3))</f>
        <v>28.799999999999997</v>
      </c>
      <c r="D27" s="34">
        <f ca="1">SUMPRODUCT(成绩!$C27:$J27,OFFSET(CO_FESP,1,0,1,8))*INDEX(EF_SP,1)+SUMPRODUCT(成绩!$L27:$N27,OFFSET(CO_OSP,1,0,1,3),OFFSET(EF_SP,0,1,1,3))</f>
        <v>18.399999999999999</v>
      </c>
      <c r="E27" s="34">
        <f ca="1">SUMPRODUCT(成绩!$C27:$J27,OFFSET(CO_FESP,2,0,1,8))*INDEX(EF_SP,1)+SUMPRODUCT(成绩!$L27:$N27,OFFSET(CO_OSP,2,0,1,3),OFFSET(EF_SP,0,1,1,3))</f>
        <v>28.799999999999997</v>
      </c>
      <c r="F27" s="34">
        <f ca="1">SUMPRODUCT(成绩!$C27:$J27,OFFSET(CO_FESP,3,0,1,8))*INDEX(EF_SP,1)+SUMPRODUCT(成绩!$L27:$N27,OFFSET(CO_OSP,3,0,1,3),OFFSET(EF_SP,0,1,1,3))</f>
        <v>20</v>
      </c>
      <c r="G27" s="34">
        <f ca="1">SUMPRODUCT(成绩!$C27:$J27,OFFSET(CO_FESP,4,0,1,8))*INDEX(EF_SP,1)+SUMPRODUCT(成绩!$L27:$N27,OFFSET(CO_OSP,4,0,1,3),OFFSET(EF_SP,0,1,1,3))</f>
        <v>0</v>
      </c>
      <c r="H27" s="34">
        <f ca="1">SUMPRODUCT(成绩!$C27:$J27,OFFSET(CO_FESP,5,0,1,8))*INDEX(EF_SP,1)+SUMPRODUCT(成绩!$L27:$N27,OFFSET(CO_OSP,5,0,1,3),OFFSET(EF_SP,0,1,1,3))</f>
        <v>0</v>
      </c>
      <c r="I27" s="34">
        <f ca="1">SUMPRODUCT(成绩!$C27:$J27,OFFSET(CO_FESP,6,0,1,8))*INDEX(EF_SP,1)+SUMPRODUCT(成绩!$L27:$N27,OFFSET(CO_OSP,6,0,1,3),OFFSET(EF_SP,0,1,1,3))</f>
        <v>0</v>
      </c>
      <c r="J27" s="38">
        <f t="shared" ca="1" si="0"/>
        <v>96</v>
      </c>
    </row>
    <row r="28" spans="1:13" x14ac:dyDescent="0.25">
      <c r="A28" s="37" t="str">
        <f>成绩!$A28</f>
        <v>201824100261</v>
      </c>
      <c r="B28" s="37" t="str">
        <f>成绩!$B28</f>
        <v>张耀华</v>
      </c>
      <c r="C28" s="34">
        <f ca="1">SUMPRODUCT(成绩!$C28:$J28,OFFSET(CO_FESP,0,0,1,8))*INDEX(EF_SP,1)+SUMPRODUCT(成绩!$L28:$N28,OFFSET(CO_OSP,0,0,1,3),OFFSET(EF_SP,0,1,1,3))</f>
        <v>17.399999999999999</v>
      </c>
      <c r="D28" s="34">
        <f ca="1">SUMPRODUCT(成绩!$C28:$J28,OFFSET(CO_FESP,1,0,1,8))*INDEX(EF_SP,1)+SUMPRODUCT(成绩!$L28:$N28,OFFSET(CO_OSP,1,0,1,3),OFFSET(EF_SP,0,1,1,3))</f>
        <v>13</v>
      </c>
      <c r="E28" s="34">
        <f ca="1">SUMPRODUCT(成绩!$C28:$J28,OFFSET(CO_FESP,2,0,1,8))*INDEX(EF_SP,1)+SUMPRODUCT(成绩!$L28:$N28,OFFSET(CO_OSP,2,0,1,3),OFFSET(EF_SP,0,1,1,3))</f>
        <v>17.399999999999999</v>
      </c>
      <c r="F28" s="34">
        <f ca="1">SUMPRODUCT(成绩!$C28:$J28,OFFSET(CO_FESP,3,0,1,8))*INDEX(EF_SP,1)+SUMPRODUCT(成绩!$L28:$N28,OFFSET(CO_OSP,3,0,1,3),OFFSET(EF_SP,0,1,1,3))</f>
        <v>10.200000000000001</v>
      </c>
      <c r="G28" s="34">
        <f ca="1">SUMPRODUCT(成绩!$C28:$J28,OFFSET(CO_FESP,4,0,1,8))*INDEX(EF_SP,1)+SUMPRODUCT(成绩!$L28:$N28,OFFSET(CO_OSP,4,0,1,3),OFFSET(EF_SP,0,1,1,3))</f>
        <v>0</v>
      </c>
      <c r="H28" s="34">
        <f ca="1">SUMPRODUCT(成绩!$C28:$J28,OFFSET(CO_FESP,5,0,1,8))*INDEX(EF_SP,1)+SUMPRODUCT(成绩!$L28:$N28,OFFSET(CO_OSP,5,0,1,3),OFFSET(EF_SP,0,1,1,3))</f>
        <v>0</v>
      </c>
      <c r="I28" s="34">
        <f ca="1">SUMPRODUCT(成绩!$C28:$J28,OFFSET(CO_FESP,6,0,1,8))*INDEX(EF_SP,1)+SUMPRODUCT(成绩!$L28:$N28,OFFSET(CO_OSP,6,0,1,3),OFFSET(EF_SP,0,1,1,3))</f>
        <v>0</v>
      </c>
      <c r="J28" s="38">
        <f t="shared" ca="1" si="0"/>
        <v>58</v>
      </c>
    </row>
    <row r="29" spans="1:13" x14ac:dyDescent="0.25">
      <c r="A29" s="37" t="str">
        <f>成绩!$A29</f>
        <v>201824100848</v>
      </c>
      <c r="B29" s="37" t="str">
        <f>成绩!$B29</f>
        <v>徐林浩</v>
      </c>
      <c r="C29" s="34">
        <f ca="1">SUMPRODUCT(成绩!$C29:$J29,OFFSET(CO_FESP,0,0,1,8))*INDEX(EF_SP,1)+SUMPRODUCT(成绩!$L29:$N29,OFFSET(CO_OSP,0,0,1,3),OFFSET(EF_SP,0,1,1,3))</f>
        <v>25.200000000000003</v>
      </c>
      <c r="D29" s="34">
        <f ca="1">SUMPRODUCT(成绩!$C29:$J29,OFFSET(CO_FESP,1,0,1,8))*INDEX(EF_SP,1)+SUMPRODUCT(成绩!$L29:$N29,OFFSET(CO_OSP,1,0,1,3),OFFSET(EF_SP,0,1,1,3))</f>
        <v>17.100000000000001</v>
      </c>
      <c r="E29" s="34">
        <f ca="1">SUMPRODUCT(成绩!$C29:$J29,OFFSET(CO_FESP,2,0,1,8))*INDEX(EF_SP,1)+SUMPRODUCT(成绩!$L29:$N29,OFFSET(CO_OSP,2,0,1,3),OFFSET(EF_SP,0,1,1,3))</f>
        <v>25.200000000000003</v>
      </c>
      <c r="F29" s="34">
        <f ca="1">SUMPRODUCT(成绩!$C29:$J29,OFFSET(CO_FESP,3,0,1,8))*INDEX(EF_SP,1)+SUMPRODUCT(成绩!$L29:$N29,OFFSET(CO_OSP,3,0,1,3),OFFSET(EF_SP,0,1,1,3))</f>
        <v>16.5</v>
      </c>
      <c r="G29" s="34">
        <f ca="1">SUMPRODUCT(成绩!$C29:$J29,OFFSET(CO_FESP,4,0,1,8))*INDEX(EF_SP,1)+SUMPRODUCT(成绩!$L29:$N29,OFFSET(CO_OSP,4,0,1,3),OFFSET(EF_SP,0,1,1,3))</f>
        <v>0</v>
      </c>
      <c r="H29" s="34">
        <f ca="1">SUMPRODUCT(成绩!$C29:$J29,OFFSET(CO_FESP,5,0,1,8))*INDEX(EF_SP,1)+SUMPRODUCT(成绩!$L29:$N29,OFFSET(CO_OSP,5,0,1,3),OFFSET(EF_SP,0,1,1,3))</f>
        <v>0</v>
      </c>
      <c r="I29" s="34">
        <f ca="1">SUMPRODUCT(成绩!$C29:$J29,OFFSET(CO_FESP,6,0,1,8))*INDEX(EF_SP,1)+SUMPRODUCT(成绩!$L29:$N29,OFFSET(CO_OSP,6,0,1,3),OFFSET(EF_SP,0,1,1,3))</f>
        <v>0</v>
      </c>
      <c r="J29" s="38">
        <f t="shared" ca="1" si="0"/>
        <v>84</v>
      </c>
    </row>
    <row r="30" spans="1:13" x14ac:dyDescent="0.25">
      <c r="A30" s="37" t="str">
        <f>成绩!$A30</f>
        <v>201824100437</v>
      </c>
      <c r="B30" s="37" t="str">
        <f>成绩!$B30</f>
        <v>王佩瑶</v>
      </c>
      <c r="C30" s="34">
        <f ca="1">SUMPRODUCT(成绩!$C30:$J30,OFFSET(CO_FESP,0,0,1,8))*INDEX(EF_SP,1)+SUMPRODUCT(成绩!$L30:$N30,OFFSET(CO_OSP,0,0,1,3),OFFSET(EF_SP,0,1,1,3))</f>
        <v>25.799999999999997</v>
      </c>
      <c r="D30" s="34">
        <f ca="1">SUMPRODUCT(成绩!$C30:$J30,OFFSET(CO_FESP,1,0,1,8))*INDEX(EF_SP,1)+SUMPRODUCT(成绩!$L30:$N30,OFFSET(CO_OSP,1,0,1,3),OFFSET(EF_SP,0,1,1,3))</f>
        <v>17.3</v>
      </c>
      <c r="E30" s="34">
        <f ca="1">SUMPRODUCT(成绩!$C30:$J30,OFFSET(CO_FESP,2,0,1,8))*INDEX(EF_SP,1)+SUMPRODUCT(成绩!$L30:$N30,OFFSET(CO_OSP,2,0,1,3),OFFSET(EF_SP,0,1,1,3))</f>
        <v>25.799999999999997</v>
      </c>
      <c r="F30" s="34">
        <f ca="1">SUMPRODUCT(成绩!$C30:$J30,OFFSET(CO_FESP,3,0,1,8))*INDEX(EF_SP,1)+SUMPRODUCT(成绩!$L30:$N30,OFFSET(CO_OSP,3,0,1,3),OFFSET(EF_SP,0,1,1,3))</f>
        <v>17.100000000000001</v>
      </c>
      <c r="G30" s="34">
        <f ca="1">SUMPRODUCT(成绩!$C30:$J30,OFFSET(CO_FESP,4,0,1,8))*INDEX(EF_SP,1)+SUMPRODUCT(成绩!$L30:$N30,OFFSET(CO_OSP,4,0,1,3),OFFSET(EF_SP,0,1,1,3))</f>
        <v>0</v>
      </c>
      <c r="H30" s="34">
        <f ca="1">SUMPRODUCT(成绩!$C30:$J30,OFFSET(CO_FESP,5,0,1,8))*INDEX(EF_SP,1)+SUMPRODUCT(成绩!$L30:$N30,OFFSET(CO_OSP,5,0,1,3),OFFSET(EF_SP,0,1,1,3))</f>
        <v>0</v>
      </c>
      <c r="I30" s="34">
        <f ca="1">SUMPRODUCT(成绩!$C30:$J30,OFFSET(CO_FESP,6,0,1,8))*INDEX(EF_SP,1)+SUMPRODUCT(成绩!$L30:$N30,OFFSET(CO_OSP,6,0,1,3),OFFSET(EF_SP,0,1,1,3))</f>
        <v>0</v>
      </c>
      <c r="J30" s="38">
        <f t="shared" ca="1" si="0"/>
        <v>86</v>
      </c>
    </row>
    <row r="31" spans="1:13" x14ac:dyDescent="0.25">
      <c r="A31" s="37" t="str">
        <f>成绩!$A31</f>
        <v>201824100740</v>
      </c>
      <c r="B31" s="37" t="str">
        <f>成绩!$B31</f>
        <v>王祉杰</v>
      </c>
      <c r="C31" s="34">
        <f ca="1">SUMPRODUCT(成绩!$C31:$J31,OFFSET(CO_FESP,0,0,1,8))*INDEX(EF_SP,1)+SUMPRODUCT(成绩!$L31:$N31,OFFSET(CO_OSP,0,0,1,3),OFFSET(EF_SP,0,1,1,3))</f>
        <v>20.7</v>
      </c>
      <c r="D31" s="34">
        <f ca="1">SUMPRODUCT(成绩!$C31:$J31,OFFSET(CO_FESP,1,0,1,8))*INDEX(EF_SP,1)+SUMPRODUCT(成绩!$L31:$N31,OFFSET(CO_OSP,1,0,1,3),OFFSET(EF_SP,0,1,1,3))</f>
        <v>14.600000000000001</v>
      </c>
      <c r="E31" s="34">
        <f ca="1">SUMPRODUCT(成绩!$C31:$J31,OFFSET(CO_FESP,2,0,1,8))*INDEX(EF_SP,1)+SUMPRODUCT(成绩!$L31:$N31,OFFSET(CO_OSP,2,0,1,3),OFFSET(EF_SP,0,1,1,3))</f>
        <v>20.7</v>
      </c>
      <c r="F31" s="34">
        <f ca="1">SUMPRODUCT(成绩!$C31:$J31,OFFSET(CO_FESP,3,0,1,8))*INDEX(EF_SP,1)+SUMPRODUCT(成绩!$L31:$N31,OFFSET(CO_OSP,3,0,1,3),OFFSET(EF_SP,0,1,1,3))</f>
        <v>13</v>
      </c>
      <c r="G31" s="34">
        <f ca="1">SUMPRODUCT(成绩!$C31:$J31,OFFSET(CO_FESP,4,0,1,8))*INDEX(EF_SP,1)+SUMPRODUCT(成绩!$L31:$N31,OFFSET(CO_OSP,4,0,1,3),OFFSET(EF_SP,0,1,1,3))</f>
        <v>0</v>
      </c>
      <c r="H31" s="34">
        <f ca="1">SUMPRODUCT(成绩!$C31:$J31,OFFSET(CO_FESP,5,0,1,8))*INDEX(EF_SP,1)+SUMPRODUCT(成绩!$L31:$N31,OFFSET(CO_OSP,5,0,1,3),OFFSET(EF_SP,0,1,1,3))</f>
        <v>0</v>
      </c>
      <c r="I31" s="34">
        <f ca="1">SUMPRODUCT(成绩!$C31:$J31,OFFSET(CO_FESP,6,0,1,8))*INDEX(EF_SP,1)+SUMPRODUCT(成绩!$L31:$N31,OFFSET(CO_OSP,6,0,1,3),OFFSET(EF_SP,0,1,1,3))</f>
        <v>0</v>
      </c>
      <c r="J31" s="38">
        <f t="shared" ca="1" si="0"/>
        <v>69</v>
      </c>
    </row>
    <row r="32" spans="1:13" x14ac:dyDescent="0.25">
      <c r="A32" s="37" t="str">
        <f>成绩!$A32</f>
        <v>201824100621</v>
      </c>
      <c r="B32" s="37" t="str">
        <f>成绩!$B32</f>
        <v>刘家祥</v>
      </c>
      <c r="C32" s="34">
        <f ca="1">SUMPRODUCT(成绩!$C32:$J32,OFFSET(CO_FESP,0,0,1,8))*INDEX(EF_SP,1)+SUMPRODUCT(成绩!$L32:$N32,OFFSET(CO_OSP,0,0,1,3),OFFSET(EF_SP,0,1,1,3))</f>
        <v>17.999999999999996</v>
      </c>
      <c r="D32" s="34">
        <f ca="1">SUMPRODUCT(成绩!$C32:$J32,OFFSET(CO_FESP,1,0,1,8))*INDEX(EF_SP,1)+SUMPRODUCT(成绩!$L32:$N32,OFFSET(CO_OSP,1,0,1,3),OFFSET(EF_SP,0,1,1,3))</f>
        <v>14.100000000000001</v>
      </c>
      <c r="E32" s="34">
        <f ca="1">SUMPRODUCT(成绩!$C32:$J32,OFFSET(CO_FESP,2,0,1,8))*INDEX(EF_SP,1)+SUMPRODUCT(成绩!$L32:$N32,OFFSET(CO_OSP,2,0,1,3),OFFSET(EF_SP,0,1,1,3))</f>
        <v>17.999999999999996</v>
      </c>
      <c r="F32" s="34">
        <f ca="1">SUMPRODUCT(成绩!$C32:$J32,OFFSET(CO_FESP,3,0,1,8))*INDEX(EF_SP,1)+SUMPRODUCT(成绩!$L32:$N32,OFFSET(CO_OSP,3,0,1,3),OFFSET(EF_SP,0,1,1,3))</f>
        <v>9.9</v>
      </c>
      <c r="G32" s="34">
        <f ca="1">SUMPRODUCT(成绩!$C32:$J32,OFFSET(CO_FESP,4,0,1,8))*INDEX(EF_SP,1)+SUMPRODUCT(成绩!$L32:$N32,OFFSET(CO_OSP,4,0,1,3),OFFSET(EF_SP,0,1,1,3))</f>
        <v>0</v>
      </c>
      <c r="H32" s="34">
        <f ca="1">SUMPRODUCT(成绩!$C32:$J32,OFFSET(CO_FESP,5,0,1,8))*INDEX(EF_SP,1)+SUMPRODUCT(成绩!$L32:$N32,OFFSET(CO_OSP,5,0,1,3),OFFSET(EF_SP,0,1,1,3))</f>
        <v>0</v>
      </c>
      <c r="I32" s="34">
        <f ca="1">SUMPRODUCT(成绩!$C32:$J32,OFFSET(CO_FESP,6,0,1,8))*INDEX(EF_SP,1)+SUMPRODUCT(成绩!$L32:$N32,OFFSET(CO_OSP,6,0,1,3),OFFSET(EF_SP,0,1,1,3))</f>
        <v>0</v>
      </c>
      <c r="J32" s="38">
        <f t="shared" ca="1" si="0"/>
        <v>59.999999999999993</v>
      </c>
    </row>
    <row r="33" spans="1:10" x14ac:dyDescent="0.25">
      <c r="A33" s="37" t="str">
        <f>成绩!$A33</f>
        <v>201832060133</v>
      </c>
      <c r="B33" s="37" t="str">
        <f>成绩!$B33</f>
        <v>张珊瑜</v>
      </c>
      <c r="C33" s="34">
        <f ca="1">SUMPRODUCT(成绩!$C33:$J33,OFFSET(CO_FESP,0,0,1,8))*INDEX(EF_SP,1)+SUMPRODUCT(成绩!$L33:$N33,OFFSET(CO_OSP,0,0,1,3),OFFSET(EF_SP,0,1,1,3))</f>
        <v>16.5</v>
      </c>
      <c r="D33" s="34">
        <f ca="1">SUMPRODUCT(成绩!$C33:$J33,OFFSET(CO_FESP,1,0,1,8))*INDEX(EF_SP,1)+SUMPRODUCT(成绩!$L33:$N33,OFFSET(CO_OSP,1,0,1,3),OFFSET(EF_SP,0,1,1,3))</f>
        <v>12.099999999999998</v>
      </c>
      <c r="E33" s="34">
        <f ca="1">SUMPRODUCT(成绩!$C33:$J33,OFFSET(CO_FESP,2,0,1,8))*INDEX(EF_SP,1)+SUMPRODUCT(成绩!$L33:$N33,OFFSET(CO_OSP,2,0,1,3),OFFSET(EF_SP,0,1,1,3))</f>
        <v>16.5</v>
      </c>
      <c r="F33" s="34">
        <f ca="1">SUMPRODUCT(成绩!$C33:$J33,OFFSET(CO_FESP,3,0,1,8))*INDEX(EF_SP,1)+SUMPRODUCT(成绩!$L33:$N33,OFFSET(CO_OSP,3,0,1,3),OFFSET(EF_SP,0,1,1,3))</f>
        <v>9.9</v>
      </c>
      <c r="G33" s="34">
        <f ca="1">SUMPRODUCT(成绩!$C33:$J33,OFFSET(CO_FESP,4,0,1,8))*INDEX(EF_SP,1)+SUMPRODUCT(成绩!$L33:$N33,OFFSET(CO_OSP,4,0,1,3),OFFSET(EF_SP,0,1,1,3))</f>
        <v>0</v>
      </c>
      <c r="H33" s="34">
        <f ca="1">SUMPRODUCT(成绩!$C33:$J33,OFFSET(CO_FESP,5,0,1,8))*INDEX(EF_SP,1)+SUMPRODUCT(成绩!$L33:$N33,OFFSET(CO_OSP,5,0,1,3),OFFSET(EF_SP,0,1,1,3))</f>
        <v>0</v>
      </c>
      <c r="I33" s="34">
        <f ca="1">SUMPRODUCT(成绩!$C33:$J33,OFFSET(CO_FESP,6,0,1,8))*INDEX(EF_SP,1)+SUMPRODUCT(成绩!$L33:$N33,OFFSET(CO_OSP,6,0,1,3),OFFSET(EF_SP,0,1,1,3))</f>
        <v>0</v>
      </c>
      <c r="J33" s="38">
        <f t="shared" ca="1" si="0"/>
        <v>54.999999999999993</v>
      </c>
    </row>
    <row r="34" spans="1:10" x14ac:dyDescent="0.25">
      <c r="A34" s="37" t="str">
        <f>成绩!$A34</f>
        <v>201824100416</v>
      </c>
      <c r="B34" s="37" t="str">
        <f>成绩!$B34</f>
        <v>霍情情</v>
      </c>
      <c r="C34" s="34">
        <f ca="1">SUMPRODUCT(成绩!$C34:$J34,OFFSET(CO_FESP,0,0,1,8))*INDEX(EF_SP,1)+SUMPRODUCT(成绩!$L34:$N34,OFFSET(CO_OSP,0,0,1,3),OFFSET(EF_SP,0,1,1,3))</f>
        <v>25.2</v>
      </c>
      <c r="D34" s="34">
        <f ca="1">SUMPRODUCT(成绩!$C34:$J34,OFFSET(CO_FESP,1,0,1,8))*INDEX(EF_SP,1)+SUMPRODUCT(成绩!$L34:$N34,OFFSET(CO_OSP,1,0,1,3),OFFSET(EF_SP,0,1,1,3))</f>
        <v>17.3</v>
      </c>
      <c r="E34" s="34">
        <f ca="1">SUMPRODUCT(成绩!$C34:$J34,OFFSET(CO_FESP,2,0,1,8))*INDEX(EF_SP,1)+SUMPRODUCT(成绩!$L34:$N34,OFFSET(CO_OSP,2,0,1,3),OFFSET(EF_SP,0,1,1,3))</f>
        <v>25.2</v>
      </c>
      <c r="F34" s="34">
        <f ca="1">SUMPRODUCT(成绩!$C34:$J34,OFFSET(CO_FESP,3,0,1,8))*INDEX(EF_SP,1)+SUMPRODUCT(成绩!$L34:$N34,OFFSET(CO_OSP,3,0,1,3),OFFSET(EF_SP,0,1,1,3))</f>
        <v>16.3</v>
      </c>
      <c r="G34" s="34">
        <f ca="1">SUMPRODUCT(成绩!$C34:$J34,OFFSET(CO_FESP,4,0,1,8))*INDEX(EF_SP,1)+SUMPRODUCT(成绩!$L34:$N34,OFFSET(CO_OSP,4,0,1,3),OFFSET(EF_SP,0,1,1,3))</f>
        <v>0</v>
      </c>
      <c r="H34" s="34">
        <f ca="1">SUMPRODUCT(成绩!$C34:$J34,OFFSET(CO_FESP,5,0,1,8))*INDEX(EF_SP,1)+SUMPRODUCT(成绩!$L34:$N34,OFFSET(CO_OSP,5,0,1,3),OFFSET(EF_SP,0,1,1,3))</f>
        <v>0</v>
      </c>
      <c r="I34" s="34">
        <f ca="1">SUMPRODUCT(成绩!$C34:$J34,OFFSET(CO_FESP,6,0,1,8))*INDEX(EF_SP,1)+SUMPRODUCT(成绩!$L34:$N34,OFFSET(CO_OSP,6,0,1,3),OFFSET(EF_SP,0,1,1,3))</f>
        <v>0</v>
      </c>
      <c r="J34" s="38">
        <f t="shared" ca="1" si="0"/>
        <v>84</v>
      </c>
    </row>
    <row r="35" spans="1:10" x14ac:dyDescent="0.25">
      <c r="A35" s="37" t="str">
        <f>成绩!$A35</f>
        <v>201824100632</v>
      </c>
      <c r="B35" s="37" t="str">
        <f>成绩!$B35</f>
        <v>孙逸晨</v>
      </c>
      <c r="C35" s="34">
        <f ca="1">SUMPRODUCT(成绩!$C35:$J35,OFFSET(CO_FESP,0,0,1,8))*INDEX(EF_SP,1)+SUMPRODUCT(成绩!$L35:$N35,OFFSET(CO_OSP,0,0,1,3),OFFSET(EF_SP,0,1,1,3))</f>
        <v>27.6</v>
      </c>
      <c r="D35" s="34">
        <f ca="1">SUMPRODUCT(成绩!$C35:$J35,OFFSET(CO_FESP,1,0,1,8))*INDEX(EF_SP,1)+SUMPRODUCT(成绩!$L35:$N35,OFFSET(CO_OSP,1,0,1,3),OFFSET(EF_SP,0,1,1,3))</f>
        <v>18</v>
      </c>
      <c r="E35" s="34">
        <f ca="1">SUMPRODUCT(成绩!$C35:$J35,OFFSET(CO_FESP,2,0,1,8))*INDEX(EF_SP,1)+SUMPRODUCT(成绩!$L35:$N35,OFFSET(CO_OSP,2,0,1,3),OFFSET(EF_SP,0,1,1,3))</f>
        <v>27.6</v>
      </c>
      <c r="F35" s="34">
        <f ca="1">SUMPRODUCT(成绩!$C35:$J35,OFFSET(CO_FESP,3,0,1,8))*INDEX(EF_SP,1)+SUMPRODUCT(成绩!$L35:$N35,OFFSET(CO_OSP,3,0,1,3),OFFSET(EF_SP,0,1,1,3))</f>
        <v>18.8</v>
      </c>
      <c r="G35" s="34">
        <f ca="1">SUMPRODUCT(成绩!$C35:$J35,OFFSET(CO_FESP,4,0,1,8))*INDEX(EF_SP,1)+SUMPRODUCT(成绩!$L35:$N35,OFFSET(CO_OSP,4,0,1,3),OFFSET(EF_SP,0,1,1,3))</f>
        <v>0</v>
      </c>
      <c r="H35" s="34">
        <f ca="1">SUMPRODUCT(成绩!$C35:$J35,OFFSET(CO_FESP,5,0,1,8))*INDEX(EF_SP,1)+SUMPRODUCT(成绩!$L35:$N35,OFFSET(CO_OSP,5,0,1,3),OFFSET(EF_SP,0,1,1,3))</f>
        <v>0</v>
      </c>
      <c r="I35" s="34">
        <f ca="1">SUMPRODUCT(成绩!$C35:$J35,OFFSET(CO_FESP,6,0,1,8))*INDEX(EF_SP,1)+SUMPRODUCT(成绩!$L35:$N35,OFFSET(CO_OSP,6,0,1,3),OFFSET(EF_SP,0,1,1,3))</f>
        <v>0</v>
      </c>
      <c r="J35" s="38">
        <f t="shared" ca="1" si="0"/>
        <v>92</v>
      </c>
    </row>
    <row r="36" spans="1:10" x14ac:dyDescent="0.25">
      <c r="A36" s="37" t="str">
        <f>成绩!$A36</f>
        <v>201824100663</v>
      </c>
      <c r="B36" s="37" t="str">
        <f>成绩!$B36</f>
        <v>赵钰琨</v>
      </c>
      <c r="C36" s="34">
        <f ca="1">SUMPRODUCT(成绩!$C36:$J36,OFFSET(CO_FESP,0,0,1,8))*INDEX(EF_SP,1)+SUMPRODUCT(成绩!$L36:$N36,OFFSET(CO_OSP,0,0,1,3),OFFSET(EF_SP,0,1,1,3))</f>
        <v>26.1</v>
      </c>
      <c r="D36" s="34">
        <f ca="1">SUMPRODUCT(成绩!$C36:$J36,OFFSET(CO_FESP,1,0,1,8))*INDEX(EF_SP,1)+SUMPRODUCT(成绩!$L36:$N36,OFFSET(CO_OSP,1,0,1,3),OFFSET(EF_SP,0,1,1,3))</f>
        <v>16.600000000000001</v>
      </c>
      <c r="E36" s="34">
        <f ca="1">SUMPRODUCT(成绩!$C36:$J36,OFFSET(CO_FESP,2,0,1,8))*INDEX(EF_SP,1)+SUMPRODUCT(成绩!$L36:$N36,OFFSET(CO_OSP,2,0,1,3),OFFSET(EF_SP,0,1,1,3))</f>
        <v>26.1</v>
      </c>
      <c r="F36" s="34">
        <f ca="1">SUMPRODUCT(成绩!$C36:$J36,OFFSET(CO_FESP,3,0,1,8))*INDEX(EF_SP,1)+SUMPRODUCT(成绩!$L36:$N36,OFFSET(CO_OSP,3,0,1,3),OFFSET(EF_SP,0,1,1,3))</f>
        <v>18.2</v>
      </c>
      <c r="G36" s="34">
        <f ca="1">SUMPRODUCT(成绩!$C36:$J36,OFFSET(CO_FESP,4,0,1,8))*INDEX(EF_SP,1)+SUMPRODUCT(成绩!$L36:$N36,OFFSET(CO_OSP,4,0,1,3),OFFSET(EF_SP,0,1,1,3))</f>
        <v>0</v>
      </c>
      <c r="H36" s="34">
        <f ca="1">SUMPRODUCT(成绩!$C36:$J36,OFFSET(CO_FESP,5,0,1,8))*INDEX(EF_SP,1)+SUMPRODUCT(成绩!$L36:$N36,OFFSET(CO_OSP,5,0,1,3),OFFSET(EF_SP,0,1,1,3))</f>
        <v>0</v>
      </c>
      <c r="I36" s="34">
        <f ca="1">SUMPRODUCT(成绩!$C36:$J36,OFFSET(CO_FESP,6,0,1,8))*INDEX(EF_SP,1)+SUMPRODUCT(成绩!$L36:$N36,OFFSET(CO_OSP,6,0,1,3),OFFSET(EF_SP,0,1,1,3))</f>
        <v>0</v>
      </c>
      <c r="J36" s="38">
        <f t="shared" ca="1" si="0"/>
        <v>87.000000000000014</v>
      </c>
    </row>
    <row r="37" spans="1:10" x14ac:dyDescent="0.25">
      <c r="A37" s="37" t="str">
        <f>成绩!$A37</f>
        <v>201824100127</v>
      </c>
      <c r="B37" s="37" t="str">
        <f>成绩!$B37</f>
        <v>李林逸</v>
      </c>
      <c r="C37" s="34">
        <f ca="1">SUMPRODUCT(成绩!$C37:$J37,OFFSET(CO_FESP,0,0,1,8))*INDEX(EF_SP,1)+SUMPRODUCT(成绩!$L37:$N37,OFFSET(CO_OSP,0,0,1,3),OFFSET(EF_SP,0,1,1,3))</f>
        <v>23.4</v>
      </c>
      <c r="D37" s="34">
        <f ca="1">SUMPRODUCT(成绩!$C37:$J37,OFFSET(CO_FESP,1,0,1,8))*INDEX(EF_SP,1)+SUMPRODUCT(成绩!$L37:$N37,OFFSET(CO_OSP,1,0,1,3),OFFSET(EF_SP,0,1,1,3))</f>
        <v>16.100000000000001</v>
      </c>
      <c r="E37" s="34">
        <f ca="1">SUMPRODUCT(成绩!$C37:$J37,OFFSET(CO_FESP,2,0,1,8))*INDEX(EF_SP,1)+SUMPRODUCT(成绩!$L37:$N37,OFFSET(CO_OSP,2,0,1,3),OFFSET(EF_SP,0,1,1,3))</f>
        <v>23.4</v>
      </c>
      <c r="F37" s="34">
        <f ca="1">SUMPRODUCT(成绩!$C37:$J37,OFFSET(CO_FESP,3,0,1,8))*INDEX(EF_SP,1)+SUMPRODUCT(成绩!$L37:$N37,OFFSET(CO_OSP,3,0,1,3),OFFSET(EF_SP,0,1,1,3))</f>
        <v>15.1</v>
      </c>
      <c r="G37" s="34">
        <f ca="1">SUMPRODUCT(成绩!$C37:$J37,OFFSET(CO_FESP,4,0,1,8))*INDEX(EF_SP,1)+SUMPRODUCT(成绩!$L37:$N37,OFFSET(CO_OSP,4,0,1,3),OFFSET(EF_SP,0,1,1,3))</f>
        <v>0</v>
      </c>
      <c r="H37" s="34">
        <f ca="1">SUMPRODUCT(成绩!$C37:$J37,OFFSET(CO_FESP,5,0,1,8))*INDEX(EF_SP,1)+SUMPRODUCT(成绩!$L37:$N37,OFFSET(CO_OSP,5,0,1,3),OFFSET(EF_SP,0,1,1,3))</f>
        <v>0</v>
      </c>
      <c r="I37" s="34">
        <f ca="1">SUMPRODUCT(成绩!$C37:$J37,OFFSET(CO_FESP,6,0,1,8))*INDEX(EF_SP,1)+SUMPRODUCT(成绩!$L37:$N37,OFFSET(CO_OSP,6,0,1,3),OFFSET(EF_SP,0,1,1,3))</f>
        <v>0</v>
      </c>
      <c r="J37" s="38">
        <f t="shared" ca="1" si="0"/>
        <v>78</v>
      </c>
    </row>
    <row r="38" spans="1:10" x14ac:dyDescent="0.25">
      <c r="A38" s="37" t="str">
        <f>成绩!$A38</f>
        <v>201824100228</v>
      </c>
      <c r="B38" s="37" t="str">
        <f>成绩!$B38</f>
        <v>刘和平</v>
      </c>
      <c r="C38" s="34">
        <f ca="1">SUMPRODUCT(成绩!$C38:$J38,OFFSET(CO_FESP,0,0,1,8))*INDEX(EF_SP,1)+SUMPRODUCT(成绩!$L38:$N38,OFFSET(CO_OSP,0,0,1,3),OFFSET(EF_SP,0,1,1,3))</f>
        <v>26.1</v>
      </c>
      <c r="D38" s="34">
        <f ca="1">SUMPRODUCT(成绩!$C38:$J38,OFFSET(CO_FESP,1,0,1,8))*INDEX(EF_SP,1)+SUMPRODUCT(成绩!$L38:$N38,OFFSET(CO_OSP,1,0,1,3),OFFSET(EF_SP,0,1,1,3))</f>
        <v>16.700000000000003</v>
      </c>
      <c r="E38" s="34">
        <f ca="1">SUMPRODUCT(成绩!$C38:$J38,OFFSET(CO_FESP,2,0,1,8))*INDEX(EF_SP,1)+SUMPRODUCT(成绩!$L38:$N38,OFFSET(CO_OSP,2,0,1,3),OFFSET(EF_SP,0,1,1,3))</f>
        <v>26.1</v>
      </c>
      <c r="F38" s="34">
        <f ca="1">SUMPRODUCT(成绩!$C38:$J38,OFFSET(CO_FESP,3,0,1,8))*INDEX(EF_SP,1)+SUMPRODUCT(成绩!$L38:$N38,OFFSET(CO_OSP,3,0,1,3),OFFSET(EF_SP,0,1,1,3))</f>
        <v>18.100000000000001</v>
      </c>
      <c r="G38" s="34">
        <f ca="1">SUMPRODUCT(成绩!$C38:$J38,OFFSET(CO_FESP,4,0,1,8))*INDEX(EF_SP,1)+SUMPRODUCT(成绩!$L38:$N38,OFFSET(CO_OSP,4,0,1,3),OFFSET(EF_SP,0,1,1,3))</f>
        <v>0</v>
      </c>
      <c r="H38" s="34">
        <f ca="1">SUMPRODUCT(成绩!$C38:$J38,OFFSET(CO_FESP,5,0,1,8))*INDEX(EF_SP,1)+SUMPRODUCT(成绩!$L38:$N38,OFFSET(CO_OSP,5,0,1,3),OFFSET(EF_SP,0,1,1,3))</f>
        <v>0</v>
      </c>
      <c r="I38" s="34">
        <f ca="1">SUMPRODUCT(成绩!$C38:$J38,OFFSET(CO_FESP,6,0,1,8))*INDEX(EF_SP,1)+SUMPRODUCT(成绩!$L38:$N38,OFFSET(CO_OSP,6,0,1,3),OFFSET(EF_SP,0,1,1,3))</f>
        <v>0</v>
      </c>
      <c r="J38" s="38">
        <f t="shared" ca="1" si="0"/>
        <v>87</v>
      </c>
    </row>
    <row r="39" spans="1:10" x14ac:dyDescent="0.25">
      <c r="A39" s="37" t="str">
        <f>成绩!$A39</f>
        <v>201824100611</v>
      </c>
      <c r="B39" s="37" t="str">
        <f>成绩!$B39</f>
        <v>郭富成</v>
      </c>
      <c r="C39" s="34">
        <f ca="1">SUMPRODUCT(成绩!$C39:$J39,OFFSET(CO_FESP,0,0,1,8))*INDEX(EF_SP,1)+SUMPRODUCT(成绩!$L39:$N39,OFFSET(CO_OSP,0,0,1,3),OFFSET(EF_SP,0,1,1,3))</f>
        <v>22.8</v>
      </c>
      <c r="D39" s="34">
        <f ca="1">SUMPRODUCT(成绩!$C39:$J39,OFFSET(CO_FESP,1,0,1,8))*INDEX(EF_SP,1)+SUMPRODUCT(成绩!$L39:$N39,OFFSET(CO_OSP,1,0,1,3),OFFSET(EF_SP,0,1,1,3))</f>
        <v>15.6</v>
      </c>
      <c r="E39" s="34">
        <f ca="1">SUMPRODUCT(成绩!$C39:$J39,OFFSET(CO_FESP,2,0,1,8))*INDEX(EF_SP,1)+SUMPRODUCT(成绩!$L39:$N39,OFFSET(CO_OSP,2,0,1,3),OFFSET(EF_SP,0,1,1,3))</f>
        <v>22.8</v>
      </c>
      <c r="F39" s="34">
        <f ca="1">SUMPRODUCT(成绩!$C39:$J39,OFFSET(CO_FESP,3,0,1,8))*INDEX(EF_SP,1)+SUMPRODUCT(成绩!$L39:$N39,OFFSET(CO_OSP,3,0,1,3),OFFSET(EF_SP,0,1,1,3))</f>
        <v>14.8</v>
      </c>
      <c r="G39" s="34">
        <f ca="1">SUMPRODUCT(成绩!$C39:$J39,OFFSET(CO_FESP,4,0,1,8))*INDEX(EF_SP,1)+SUMPRODUCT(成绩!$L39:$N39,OFFSET(CO_OSP,4,0,1,3),OFFSET(EF_SP,0,1,1,3))</f>
        <v>0</v>
      </c>
      <c r="H39" s="34">
        <f ca="1">SUMPRODUCT(成绩!$C39:$J39,OFFSET(CO_FESP,5,0,1,8))*INDEX(EF_SP,1)+SUMPRODUCT(成绩!$L39:$N39,OFFSET(CO_OSP,5,0,1,3),OFFSET(EF_SP,0,1,1,3))</f>
        <v>0</v>
      </c>
      <c r="I39" s="34">
        <f ca="1">SUMPRODUCT(成绩!$C39:$J39,OFFSET(CO_FESP,6,0,1,8))*INDEX(EF_SP,1)+SUMPRODUCT(成绩!$L39:$N39,OFFSET(CO_OSP,6,0,1,3),OFFSET(EF_SP,0,1,1,3))</f>
        <v>0</v>
      </c>
      <c r="J39" s="38">
        <f t="shared" ca="1" si="0"/>
        <v>76</v>
      </c>
    </row>
    <row r="40" spans="1:10" x14ac:dyDescent="0.25">
      <c r="A40" s="37" t="str">
        <f>成绩!$A40</f>
        <v>201877100406</v>
      </c>
      <c r="B40" s="37" t="str">
        <f>成绩!$B40</f>
        <v>杜英豪</v>
      </c>
      <c r="C40" s="34">
        <f ca="1">SUMPRODUCT(成绩!$C40:$J40,OFFSET(CO_FESP,0,0,1,8))*INDEX(EF_SP,1)+SUMPRODUCT(成绩!$L40:$N40,OFFSET(CO_OSP,0,0,1,3),OFFSET(EF_SP,0,1,1,3))</f>
        <v>21.3</v>
      </c>
      <c r="D40" s="34">
        <f ca="1">SUMPRODUCT(成绩!$C40:$J40,OFFSET(CO_FESP,1,0,1,8))*INDEX(EF_SP,1)+SUMPRODUCT(成绩!$L40:$N40,OFFSET(CO_OSP,1,0,1,3),OFFSET(EF_SP,0,1,1,3))</f>
        <v>14.9</v>
      </c>
      <c r="E40" s="34">
        <f ca="1">SUMPRODUCT(成绩!$C40:$J40,OFFSET(CO_FESP,2,0,1,8))*INDEX(EF_SP,1)+SUMPRODUCT(成绩!$L40:$N40,OFFSET(CO_OSP,2,0,1,3),OFFSET(EF_SP,0,1,1,3))</f>
        <v>21.3</v>
      </c>
      <c r="F40" s="34">
        <f ca="1">SUMPRODUCT(成绩!$C40:$J40,OFFSET(CO_FESP,3,0,1,8))*INDEX(EF_SP,1)+SUMPRODUCT(成绩!$L40:$N40,OFFSET(CO_OSP,3,0,1,3),OFFSET(EF_SP,0,1,1,3))</f>
        <v>13.5</v>
      </c>
      <c r="G40" s="34">
        <f ca="1">SUMPRODUCT(成绩!$C40:$J40,OFFSET(CO_FESP,4,0,1,8))*INDEX(EF_SP,1)+SUMPRODUCT(成绩!$L40:$N40,OFFSET(CO_OSP,4,0,1,3),OFFSET(EF_SP,0,1,1,3))</f>
        <v>0</v>
      </c>
      <c r="H40" s="34">
        <f ca="1">SUMPRODUCT(成绩!$C40:$J40,OFFSET(CO_FESP,5,0,1,8))*INDEX(EF_SP,1)+SUMPRODUCT(成绩!$L40:$N40,OFFSET(CO_OSP,5,0,1,3),OFFSET(EF_SP,0,1,1,3))</f>
        <v>0</v>
      </c>
      <c r="I40" s="34">
        <f ca="1">SUMPRODUCT(成绩!$C40:$J40,OFFSET(CO_FESP,6,0,1,8))*INDEX(EF_SP,1)+SUMPRODUCT(成绩!$L40:$N40,OFFSET(CO_OSP,6,0,1,3),OFFSET(EF_SP,0,1,1,3))</f>
        <v>0</v>
      </c>
      <c r="J40" s="38">
        <f t="shared" ca="1" si="0"/>
        <v>71</v>
      </c>
    </row>
    <row r="41" spans="1:10" x14ac:dyDescent="0.25">
      <c r="A41" s="37" t="str">
        <f>成绩!$A41</f>
        <v>201824100624</v>
      </c>
      <c r="B41" s="37" t="str">
        <f>成绩!$B41</f>
        <v>刘梓孟</v>
      </c>
      <c r="C41" s="34">
        <f ca="1">SUMPRODUCT(成绩!$C41:$J41,OFFSET(CO_FESP,0,0,1,8))*INDEX(EF_SP,1)+SUMPRODUCT(成绩!$L41:$N41,OFFSET(CO_OSP,0,0,1,3),OFFSET(EF_SP,0,1,1,3))</f>
        <v>26.4</v>
      </c>
      <c r="D41" s="34">
        <f ca="1">SUMPRODUCT(成绩!$C41:$J41,OFFSET(CO_FESP,1,0,1,8))*INDEX(EF_SP,1)+SUMPRODUCT(成绩!$L41:$N41,OFFSET(CO_OSP,1,0,1,3),OFFSET(EF_SP,0,1,1,3))</f>
        <v>17.5</v>
      </c>
      <c r="E41" s="34">
        <f ca="1">SUMPRODUCT(成绩!$C41:$J41,OFFSET(CO_FESP,2,0,1,8))*INDEX(EF_SP,1)+SUMPRODUCT(成绩!$L41:$N41,OFFSET(CO_OSP,2,0,1,3),OFFSET(EF_SP,0,1,1,3))</f>
        <v>26.4</v>
      </c>
      <c r="F41" s="34">
        <f ca="1">SUMPRODUCT(成绩!$C41:$J41,OFFSET(CO_FESP,3,0,1,8))*INDEX(EF_SP,1)+SUMPRODUCT(成绩!$L41:$N41,OFFSET(CO_OSP,3,0,1,3),OFFSET(EF_SP,0,1,1,3))</f>
        <v>17.700000000000003</v>
      </c>
      <c r="G41" s="34">
        <f ca="1">SUMPRODUCT(成绩!$C41:$J41,OFFSET(CO_FESP,4,0,1,8))*INDEX(EF_SP,1)+SUMPRODUCT(成绩!$L41:$N41,OFFSET(CO_OSP,4,0,1,3),OFFSET(EF_SP,0,1,1,3))</f>
        <v>0</v>
      </c>
      <c r="H41" s="34">
        <f ca="1">SUMPRODUCT(成绩!$C41:$J41,OFFSET(CO_FESP,5,0,1,8))*INDEX(EF_SP,1)+SUMPRODUCT(成绩!$L41:$N41,OFFSET(CO_OSP,5,0,1,3),OFFSET(EF_SP,0,1,1,3))</f>
        <v>0</v>
      </c>
      <c r="I41" s="34">
        <f ca="1">SUMPRODUCT(成绩!$C41:$J41,OFFSET(CO_FESP,6,0,1,8))*INDEX(EF_SP,1)+SUMPRODUCT(成绩!$L41:$N41,OFFSET(CO_OSP,6,0,1,3),OFFSET(EF_SP,0,1,1,3))</f>
        <v>0</v>
      </c>
      <c r="J41" s="38">
        <f t="shared" ca="1" si="0"/>
        <v>88</v>
      </c>
    </row>
    <row r="42" spans="1:10" x14ac:dyDescent="0.25">
      <c r="A42" s="37" t="str">
        <f>成绩!$A42</f>
        <v>201824100103</v>
      </c>
      <c r="B42" s="37" t="str">
        <f>成绩!$B42</f>
        <v>陈博</v>
      </c>
      <c r="C42" s="34">
        <f ca="1">SUMPRODUCT(成绩!$C42:$J42,OFFSET(CO_FESP,0,0,1,8))*INDEX(EF_SP,1)+SUMPRODUCT(成绩!$L42:$N42,OFFSET(CO_OSP,0,0,1,3),OFFSET(EF_SP,0,1,1,3))</f>
        <v>24.6</v>
      </c>
      <c r="D42" s="34">
        <f ca="1">SUMPRODUCT(成绩!$C42:$J42,OFFSET(CO_FESP,1,0,1,8))*INDEX(EF_SP,1)+SUMPRODUCT(成绩!$L42:$N42,OFFSET(CO_OSP,1,0,1,3),OFFSET(EF_SP,0,1,1,3))</f>
        <v>16.599999999999998</v>
      </c>
      <c r="E42" s="34">
        <f ca="1">SUMPRODUCT(成绩!$C42:$J42,OFFSET(CO_FESP,2,0,1,8))*INDEX(EF_SP,1)+SUMPRODUCT(成绩!$L42:$N42,OFFSET(CO_OSP,2,0,1,3),OFFSET(EF_SP,0,1,1,3))</f>
        <v>24.6</v>
      </c>
      <c r="F42" s="34">
        <f ca="1">SUMPRODUCT(成绩!$C42:$J42,OFFSET(CO_FESP,3,0,1,8))*INDEX(EF_SP,1)+SUMPRODUCT(成绩!$L42:$N42,OFFSET(CO_OSP,3,0,1,3),OFFSET(EF_SP,0,1,1,3))</f>
        <v>16.200000000000003</v>
      </c>
      <c r="G42" s="34">
        <f ca="1">SUMPRODUCT(成绩!$C42:$J42,OFFSET(CO_FESP,4,0,1,8))*INDEX(EF_SP,1)+SUMPRODUCT(成绩!$L42:$N42,OFFSET(CO_OSP,4,0,1,3),OFFSET(EF_SP,0,1,1,3))</f>
        <v>0</v>
      </c>
      <c r="H42" s="34">
        <f ca="1">SUMPRODUCT(成绩!$C42:$J42,OFFSET(CO_FESP,5,0,1,8))*INDEX(EF_SP,1)+SUMPRODUCT(成绩!$L42:$N42,OFFSET(CO_OSP,5,0,1,3),OFFSET(EF_SP,0,1,1,3))</f>
        <v>0</v>
      </c>
      <c r="I42" s="34">
        <f ca="1">SUMPRODUCT(成绩!$C42:$J42,OFFSET(CO_FESP,6,0,1,8))*INDEX(EF_SP,1)+SUMPRODUCT(成绩!$L42:$N42,OFFSET(CO_OSP,6,0,1,3),OFFSET(EF_SP,0,1,1,3))</f>
        <v>0</v>
      </c>
      <c r="J42" s="38">
        <f t="shared" ca="1" si="0"/>
        <v>82.000000000000014</v>
      </c>
    </row>
    <row r="43" spans="1:10" x14ac:dyDescent="0.25">
      <c r="A43" s="37" t="str">
        <f>成绩!$A43</f>
        <v>201824100863</v>
      </c>
      <c r="B43" s="37" t="str">
        <f>成绩!$B43</f>
        <v>邹天佑</v>
      </c>
      <c r="C43" s="34">
        <f ca="1">SUMPRODUCT(成绩!$C43:$J43,OFFSET(CO_FESP,0,0,1,8))*INDEX(EF_SP,1)+SUMPRODUCT(成绩!$L43:$N43,OFFSET(CO_OSP,0,0,1,3),OFFSET(EF_SP,0,1,1,3))</f>
        <v>23.7</v>
      </c>
      <c r="D43" s="34">
        <f ca="1">SUMPRODUCT(成绩!$C43:$J43,OFFSET(CO_FESP,1,0,1,8))*INDEX(EF_SP,1)+SUMPRODUCT(成绩!$L43:$N43,OFFSET(CO_OSP,1,0,1,3),OFFSET(EF_SP,0,1,1,3))</f>
        <v>15.5</v>
      </c>
      <c r="E43" s="34">
        <f ca="1">SUMPRODUCT(成绩!$C43:$J43,OFFSET(CO_FESP,2,0,1,8))*INDEX(EF_SP,1)+SUMPRODUCT(成绩!$L43:$N43,OFFSET(CO_OSP,2,0,1,3),OFFSET(EF_SP,0,1,1,3))</f>
        <v>23.7</v>
      </c>
      <c r="F43" s="34">
        <f ca="1">SUMPRODUCT(成绩!$C43:$J43,OFFSET(CO_FESP,3,0,1,8))*INDEX(EF_SP,1)+SUMPRODUCT(成绩!$L43:$N43,OFFSET(CO_OSP,3,0,1,3),OFFSET(EF_SP,0,1,1,3))</f>
        <v>16.100000000000001</v>
      </c>
      <c r="G43" s="34">
        <f ca="1">SUMPRODUCT(成绩!$C43:$J43,OFFSET(CO_FESP,4,0,1,8))*INDEX(EF_SP,1)+SUMPRODUCT(成绩!$L43:$N43,OFFSET(CO_OSP,4,0,1,3),OFFSET(EF_SP,0,1,1,3))</f>
        <v>0</v>
      </c>
      <c r="H43" s="34">
        <f ca="1">SUMPRODUCT(成绩!$C43:$J43,OFFSET(CO_FESP,5,0,1,8))*INDEX(EF_SP,1)+SUMPRODUCT(成绩!$L43:$N43,OFFSET(CO_OSP,5,0,1,3),OFFSET(EF_SP,0,1,1,3))</f>
        <v>0</v>
      </c>
      <c r="I43" s="34">
        <f ca="1">SUMPRODUCT(成绩!$C43:$J43,OFFSET(CO_FESP,6,0,1,8))*INDEX(EF_SP,1)+SUMPRODUCT(成绩!$L43:$N43,OFFSET(CO_OSP,6,0,1,3),OFFSET(EF_SP,0,1,1,3))</f>
        <v>0</v>
      </c>
      <c r="J43" s="38">
        <f t="shared" ca="1" si="0"/>
        <v>79</v>
      </c>
    </row>
    <row r="44" spans="1:10" x14ac:dyDescent="0.25">
      <c r="A44" s="37" t="str">
        <f>成绩!$A44</f>
        <v>201824100522</v>
      </c>
      <c r="B44" s="37" t="str">
        <f>成绩!$B44</f>
        <v>李澳</v>
      </c>
      <c r="C44" s="34">
        <f ca="1">SUMPRODUCT(成绩!$C44:$J44,OFFSET(CO_FESP,0,0,1,8))*INDEX(EF_SP,1)+SUMPRODUCT(成绩!$L44:$N44,OFFSET(CO_OSP,0,0,1,3),OFFSET(EF_SP,0,1,1,3))</f>
        <v>24.9</v>
      </c>
      <c r="D44" s="34">
        <f ca="1">SUMPRODUCT(成绩!$C44:$J44,OFFSET(CO_FESP,1,0,1,8))*INDEX(EF_SP,1)+SUMPRODUCT(成绩!$L44:$N44,OFFSET(CO_OSP,1,0,1,3),OFFSET(EF_SP,0,1,1,3))</f>
        <v>17.3</v>
      </c>
      <c r="E44" s="34">
        <f ca="1">SUMPRODUCT(成绩!$C44:$J44,OFFSET(CO_FESP,2,0,1,8))*INDEX(EF_SP,1)+SUMPRODUCT(成绩!$L44:$N44,OFFSET(CO_OSP,2,0,1,3),OFFSET(EF_SP,0,1,1,3))</f>
        <v>24.9</v>
      </c>
      <c r="F44" s="34">
        <f ca="1">SUMPRODUCT(成绩!$C44:$J44,OFFSET(CO_FESP,3,0,1,8))*INDEX(EF_SP,1)+SUMPRODUCT(成绩!$L44:$N44,OFFSET(CO_OSP,3,0,1,3),OFFSET(EF_SP,0,1,1,3))</f>
        <v>15.899999999999999</v>
      </c>
      <c r="G44" s="34">
        <f ca="1">SUMPRODUCT(成绩!$C44:$J44,OFFSET(CO_FESP,4,0,1,8))*INDEX(EF_SP,1)+SUMPRODUCT(成绩!$L44:$N44,OFFSET(CO_OSP,4,0,1,3),OFFSET(EF_SP,0,1,1,3))</f>
        <v>0</v>
      </c>
      <c r="H44" s="34">
        <f ca="1">SUMPRODUCT(成绩!$C44:$J44,OFFSET(CO_FESP,5,0,1,8))*INDEX(EF_SP,1)+SUMPRODUCT(成绩!$L44:$N44,OFFSET(CO_OSP,5,0,1,3),OFFSET(EF_SP,0,1,1,3))</f>
        <v>0</v>
      </c>
      <c r="I44" s="34">
        <f ca="1">SUMPRODUCT(成绩!$C44:$J44,OFFSET(CO_FESP,6,0,1,8))*INDEX(EF_SP,1)+SUMPRODUCT(成绩!$L44:$N44,OFFSET(CO_OSP,6,0,1,3),OFFSET(EF_SP,0,1,1,3))</f>
        <v>0</v>
      </c>
      <c r="J44" s="38">
        <f t="shared" ca="1" si="0"/>
        <v>83</v>
      </c>
    </row>
    <row r="45" spans="1:10" x14ac:dyDescent="0.25">
      <c r="A45" s="37" t="str">
        <f>成绩!$A45</f>
        <v>201824100344</v>
      </c>
      <c r="B45" s="37" t="str">
        <f>成绩!$B45</f>
        <v>王书康</v>
      </c>
      <c r="C45" s="34">
        <f ca="1">SUMPRODUCT(成绩!$C45:$J45,OFFSET(CO_FESP,0,0,1,8))*INDEX(EF_SP,1)+SUMPRODUCT(成绩!$L45:$N45,OFFSET(CO_OSP,0,0,1,3),OFFSET(EF_SP,0,1,1,3))</f>
        <v>20.7</v>
      </c>
      <c r="D45" s="34">
        <f ca="1">SUMPRODUCT(成绩!$C45:$J45,OFFSET(CO_FESP,1,0,1,8))*INDEX(EF_SP,1)+SUMPRODUCT(成绩!$L45:$N45,OFFSET(CO_OSP,1,0,1,3),OFFSET(EF_SP,0,1,1,3))</f>
        <v>14.7</v>
      </c>
      <c r="E45" s="34">
        <f ca="1">SUMPRODUCT(成绩!$C45:$J45,OFFSET(CO_FESP,2,0,1,8))*INDEX(EF_SP,1)+SUMPRODUCT(成绩!$L45:$N45,OFFSET(CO_OSP,2,0,1,3),OFFSET(EF_SP,0,1,1,3))</f>
        <v>20.7</v>
      </c>
      <c r="F45" s="34">
        <f ca="1">SUMPRODUCT(成绩!$C45:$J45,OFFSET(CO_FESP,3,0,1,8))*INDEX(EF_SP,1)+SUMPRODUCT(成绩!$L45:$N45,OFFSET(CO_OSP,3,0,1,3),OFFSET(EF_SP,0,1,1,3))</f>
        <v>12.899999999999999</v>
      </c>
      <c r="G45" s="34">
        <f ca="1">SUMPRODUCT(成绩!$C45:$J45,OFFSET(CO_FESP,4,0,1,8))*INDEX(EF_SP,1)+SUMPRODUCT(成绩!$L45:$N45,OFFSET(CO_OSP,4,0,1,3),OFFSET(EF_SP,0,1,1,3))</f>
        <v>0</v>
      </c>
      <c r="H45" s="34">
        <f ca="1">SUMPRODUCT(成绩!$C45:$J45,OFFSET(CO_FESP,5,0,1,8))*INDEX(EF_SP,1)+SUMPRODUCT(成绩!$L45:$N45,OFFSET(CO_OSP,5,0,1,3),OFFSET(EF_SP,0,1,1,3))</f>
        <v>0</v>
      </c>
      <c r="I45" s="34">
        <f ca="1">SUMPRODUCT(成绩!$C45:$J45,OFFSET(CO_FESP,6,0,1,8))*INDEX(EF_SP,1)+SUMPRODUCT(成绩!$L45:$N45,OFFSET(CO_OSP,6,0,1,3),OFFSET(EF_SP,0,1,1,3))</f>
        <v>0</v>
      </c>
      <c r="J45" s="38">
        <f t="shared" ca="1" si="0"/>
        <v>69</v>
      </c>
    </row>
    <row r="46" spans="1:10" x14ac:dyDescent="0.25">
      <c r="A46" s="37" t="str">
        <f>成绩!$A46</f>
        <v>201824100142</v>
      </c>
      <c r="B46" s="37" t="str">
        <f>成绩!$B46</f>
        <v>史奉名</v>
      </c>
      <c r="C46" s="34">
        <f ca="1">SUMPRODUCT(成绩!$C46:$J46,OFFSET(CO_FESP,0,0,1,8))*INDEX(EF_SP,1)+SUMPRODUCT(成绩!$L46:$N46,OFFSET(CO_OSP,0,0,1,3),OFFSET(EF_SP,0,1,1,3))</f>
        <v>27</v>
      </c>
      <c r="D46" s="34">
        <f ca="1">SUMPRODUCT(成绩!$C46:$J46,OFFSET(CO_FESP,1,0,1,8))*INDEX(EF_SP,1)+SUMPRODUCT(成绩!$L46:$N46,OFFSET(CO_OSP,1,0,1,3),OFFSET(EF_SP,0,1,1,3))</f>
        <v>17.7</v>
      </c>
      <c r="E46" s="34">
        <f ca="1">SUMPRODUCT(成绩!$C46:$J46,OFFSET(CO_FESP,2,0,1,8))*INDEX(EF_SP,1)+SUMPRODUCT(成绩!$L46:$N46,OFFSET(CO_OSP,2,0,1,3),OFFSET(EF_SP,0,1,1,3))</f>
        <v>27</v>
      </c>
      <c r="F46" s="34">
        <f ca="1">SUMPRODUCT(成绩!$C46:$J46,OFFSET(CO_FESP,3,0,1,8))*INDEX(EF_SP,1)+SUMPRODUCT(成绩!$L46:$N46,OFFSET(CO_OSP,3,0,1,3),OFFSET(EF_SP,0,1,1,3))</f>
        <v>18.3</v>
      </c>
      <c r="G46" s="34">
        <f ca="1">SUMPRODUCT(成绩!$C46:$J46,OFFSET(CO_FESP,4,0,1,8))*INDEX(EF_SP,1)+SUMPRODUCT(成绩!$L46:$N46,OFFSET(CO_OSP,4,0,1,3),OFFSET(EF_SP,0,1,1,3))</f>
        <v>0</v>
      </c>
      <c r="H46" s="34">
        <f ca="1">SUMPRODUCT(成绩!$C46:$J46,OFFSET(CO_FESP,5,0,1,8))*INDEX(EF_SP,1)+SUMPRODUCT(成绩!$L46:$N46,OFFSET(CO_OSP,5,0,1,3),OFFSET(EF_SP,0,1,1,3))</f>
        <v>0</v>
      </c>
      <c r="I46" s="34">
        <f ca="1">SUMPRODUCT(成绩!$C46:$J46,OFFSET(CO_FESP,6,0,1,8))*INDEX(EF_SP,1)+SUMPRODUCT(成绩!$L46:$N46,OFFSET(CO_OSP,6,0,1,3),OFFSET(EF_SP,0,1,1,3))</f>
        <v>0</v>
      </c>
      <c r="J46" s="38">
        <f t="shared" ca="1" si="0"/>
        <v>90</v>
      </c>
    </row>
    <row r="47" spans="1:10" x14ac:dyDescent="0.25">
      <c r="A47" s="37" t="str">
        <f>成绩!$A47</f>
        <v>201824100115</v>
      </c>
      <c r="B47" s="37" t="str">
        <f>成绩!$B47</f>
        <v>管泽隆</v>
      </c>
      <c r="C47" s="34">
        <f ca="1">SUMPRODUCT(成绩!$C47:$J47,OFFSET(CO_FESP,0,0,1,8))*INDEX(EF_SP,1)+SUMPRODUCT(成绩!$L47:$N47,OFFSET(CO_OSP,0,0,1,3),OFFSET(EF_SP,0,1,1,3))</f>
        <v>24.9</v>
      </c>
      <c r="D47" s="34">
        <f ca="1">SUMPRODUCT(成绩!$C47:$J47,OFFSET(CO_FESP,1,0,1,8))*INDEX(EF_SP,1)+SUMPRODUCT(成绩!$L47:$N47,OFFSET(CO_OSP,1,0,1,3),OFFSET(EF_SP,0,1,1,3))</f>
        <v>16.100000000000001</v>
      </c>
      <c r="E47" s="34">
        <f ca="1">SUMPRODUCT(成绩!$C47:$J47,OFFSET(CO_FESP,2,0,1,8))*INDEX(EF_SP,1)+SUMPRODUCT(成绩!$L47:$N47,OFFSET(CO_OSP,2,0,1,3),OFFSET(EF_SP,0,1,1,3))</f>
        <v>24.9</v>
      </c>
      <c r="F47" s="34">
        <f ca="1">SUMPRODUCT(成绩!$C47:$J47,OFFSET(CO_FESP,3,0,1,8))*INDEX(EF_SP,1)+SUMPRODUCT(成绩!$L47:$N47,OFFSET(CO_OSP,3,0,1,3),OFFSET(EF_SP,0,1,1,3))</f>
        <v>17.100000000000001</v>
      </c>
      <c r="G47" s="34">
        <f ca="1">SUMPRODUCT(成绩!$C47:$J47,OFFSET(CO_FESP,4,0,1,8))*INDEX(EF_SP,1)+SUMPRODUCT(成绩!$L47:$N47,OFFSET(CO_OSP,4,0,1,3),OFFSET(EF_SP,0,1,1,3))</f>
        <v>0</v>
      </c>
      <c r="H47" s="34">
        <f ca="1">SUMPRODUCT(成绩!$C47:$J47,OFFSET(CO_FESP,5,0,1,8))*INDEX(EF_SP,1)+SUMPRODUCT(成绩!$L47:$N47,OFFSET(CO_OSP,5,0,1,3),OFFSET(EF_SP,0,1,1,3))</f>
        <v>0</v>
      </c>
      <c r="I47" s="34">
        <f ca="1">SUMPRODUCT(成绩!$C47:$J47,OFFSET(CO_FESP,6,0,1,8))*INDEX(EF_SP,1)+SUMPRODUCT(成绩!$L47:$N47,OFFSET(CO_OSP,6,0,1,3),OFFSET(EF_SP,0,1,1,3))</f>
        <v>0</v>
      </c>
      <c r="J47" s="38">
        <f t="shared" ca="1" si="0"/>
        <v>83</v>
      </c>
    </row>
    <row r="48" spans="1:10" x14ac:dyDescent="0.25">
      <c r="A48" s="37" t="str">
        <f>成绩!$A48</f>
        <v>201824100102</v>
      </c>
      <c r="B48" s="37" t="str">
        <f>成绩!$B48</f>
        <v>常德睿</v>
      </c>
      <c r="C48" s="34">
        <f ca="1">SUMPRODUCT(成绩!$C48:$J48,OFFSET(CO_FESP,0,0,1,8))*INDEX(EF_SP,1)+SUMPRODUCT(成绩!$L48:$N48,OFFSET(CO_OSP,0,0,1,3),OFFSET(EF_SP,0,1,1,3))</f>
        <v>22.5</v>
      </c>
      <c r="D48" s="34">
        <f ca="1">SUMPRODUCT(成绩!$C48:$J48,OFFSET(CO_FESP,1,0,1,8))*INDEX(EF_SP,1)+SUMPRODUCT(成绩!$L48:$N48,OFFSET(CO_OSP,1,0,1,3),OFFSET(EF_SP,0,1,1,3))</f>
        <v>15.100000000000001</v>
      </c>
      <c r="E48" s="34">
        <f ca="1">SUMPRODUCT(成绩!$C48:$J48,OFFSET(CO_FESP,2,0,1,8))*INDEX(EF_SP,1)+SUMPRODUCT(成绩!$L48:$N48,OFFSET(CO_OSP,2,0,1,3),OFFSET(EF_SP,0,1,1,3))</f>
        <v>22.5</v>
      </c>
      <c r="F48" s="34">
        <f ca="1">SUMPRODUCT(成绩!$C48:$J48,OFFSET(CO_FESP,3,0,1,8))*INDEX(EF_SP,1)+SUMPRODUCT(成绩!$L48:$N48,OFFSET(CO_OSP,3,0,1,3),OFFSET(EF_SP,0,1,1,3))</f>
        <v>14.9</v>
      </c>
      <c r="G48" s="34">
        <f ca="1">SUMPRODUCT(成绩!$C48:$J48,OFFSET(CO_FESP,4,0,1,8))*INDEX(EF_SP,1)+SUMPRODUCT(成绩!$L48:$N48,OFFSET(CO_OSP,4,0,1,3),OFFSET(EF_SP,0,1,1,3))</f>
        <v>0</v>
      </c>
      <c r="H48" s="34">
        <f ca="1">SUMPRODUCT(成绩!$C48:$J48,OFFSET(CO_FESP,5,0,1,8))*INDEX(EF_SP,1)+SUMPRODUCT(成绩!$L48:$N48,OFFSET(CO_OSP,5,0,1,3),OFFSET(EF_SP,0,1,1,3))</f>
        <v>0</v>
      </c>
      <c r="I48" s="34">
        <f ca="1">SUMPRODUCT(成绩!$C48:$J48,OFFSET(CO_FESP,6,0,1,8))*INDEX(EF_SP,1)+SUMPRODUCT(成绩!$L48:$N48,OFFSET(CO_OSP,6,0,1,3),OFFSET(EF_SP,0,1,1,3))</f>
        <v>0</v>
      </c>
      <c r="J48" s="38">
        <f t="shared" ca="1" si="0"/>
        <v>75</v>
      </c>
    </row>
    <row r="49" spans="1:10" x14ac:dyDescent="0.25">
      <c r="A49" s="37" t="str">
        <f>成绩!$A49</f>
        <v>201824100518</v>
      </c>
      <c r="B49" s="37" t="str">
        <f>成绩!$B49</f>
        <v>黄其滨</v>
      </c>
      <c r="C49" s="34">
        <f ca="1">SUMPRODUCT(成绩!$C49:$J49,OFFSET(CO_FESP,0,0,1,8))*INDEX(EF_SP,1)+SUMPRODUCT(成绩!$L49:$N49,OFFSET(CO_OSP,0,0,1,3),OFFSET(EF_SP,0,1,1,3))</f>
        <v>23.099999999999998</v>
      </c>
      <c r="D49" s="34">
        <f ca="1">SUMPRODUCT(成绩!$C49:$J49,OFFSET(CO_FESP,1,0,1,8))*INDEX(EF_SP,1)+SUMPRODUCT(成绩!$L49:$N49,OFFSET(CO_OSP,1,0,1,3),OFFSET(EF_SP,0,1,1,3))</f>
        <v>15.9</v>
      </c>
      <c r="E49" s="34">
        <f ca="1">SUMPRODUCT(成绩!$C49:$J49,OFFSET(CO_FESP,2,0,1,8))*INDEX(EF_SP,1)+SUMPRODUCT(成绩!$L49:$N49,OFFSET(CO_OSP,2,0,1,3),OFFSET(EF_SP,0,1,1,3))</f>
        <v>23.099999999999998</v>
      </c>
      <c r="F49" s="34">
        <f ca="1">SUMPRODUCT(成绩!$C49:$J49,OFFSET(CO_FESP,3,0,1,8))*INDEX(EF_SP,1)+SUMPRODUCT(成绩!$L49:$N49,OFFSET(CO_OSP,3,0,1,3),OFFSET(EF_SP,0,1,1,3))</f>
        <v>14.9</v>
      </c>
      <c r="G49" s="34">
        <f ca="1">SUMPRODUCT(成绩!$C49:$J49,OFFSET(CO_FESP,4,0,1,8))*INDEX(EF_SP,1)+SUMPRODUCT(成绩!$L49:$N49,OFFSET(CO_OSP,4,0,1,3),OFFSET(EF_SP,0,1,1,3))</f>
        <v>0</v>
      </c>
      <c r="H49" s="34">
        <f ca="1">SUMPRODUCT(成绩!$C49:$J49,OFFSET(CO_FESP,5,0,1,8))*INDEX(EF_SP,1)+SUMPRODUCT(成绩!$L49:$N49,OFFSET(CO_OSP,5,0,1,3),OFFSET(EF_SP,0,1,1,3))</f>
        <v>0</v>
      </c>
      <c r="I49" s="34">
        <f ca="1">SUMPRODUCT(成绩!$C49:$J49,OFFSET(CO_FESP,6,0,1,8))*INDEX(EF_SP,1)+SUMPRODUCT(成绩!$L49:$N49,OFFSET(CO_OSP,6,0,1,3),OFFSET(EF_SP,0,1,1,3))</f>
        <v>0</v>
      </c>
      <c r="J49" s="38">
        <f t="shared" ca="1" si="0"/>
        <v>77</v>
      </c>
    </row>
    <row r="50" spans="1:10" x14ac:dyDescent="0.25">
      <c r="A50" s="37" t="str">
        <f>成绩!$A50</f>
        <v>201824100419</v>
      </c>
      <c r="B50" s="37" t="str">
        <f>成绩!$B50</f>
        <v>晋佳伟</v>
      </c>
      <c r="C50" s="34">
        <f ca="1">SUMPRODUCT(成绩!$C50:$J50,OFFSET(CO_FESP,0,0,1,8))*INDEX(EF_SP,1)+SUMPRODUCT(成绩!$L50:$N50,OFFSET(CO_OSP,0,0,1,3),OFFSET(EF_SP,0,1,1,3))</f>
        <v>24.299999999999997</v>
      </c>
      <c r="D50" s="34">
        <f ca="1">SUMPRODUCT(成绩!$C50:$J50,OFFSET(CO_FESP,1,0,1,8))*INDEX(EF_SP,1)+SUMPRODUCT(成绩!$L50:$N50,OFFSET(CO_OSP,1,0,1,3),OFFSET(EF_SP,0,1,1,3))</f>
        <v>17</v>
      </c>
      <c r="E50" s="34">
        <f ca="1">SUMPRODUCT(成绩!$C50:$J50,OFFSET(CO_FESP,2,0,1,8))*INDEX(EF_SP,1)+SUMPRODUCT(成绩!$L50:$N50,OFFSET(CO_OSP,2,0,1,3),OFFSET(EF_SP,0,1,1,3))</f>
        <v>24.299999999999997</v>
      </c>
      <c r="F50" s="34">
        <f ca="1">SUMPRODUCT(成绩!$C50:$J50,OFFSET(CO_FESP,3,0,1,8))*INDEX(EF_SP,1)+SUMPRODUCT(成绩!$L50:$N50,OFFSET(CO_OSP,3,0,1,3),OFFSET(EF_SP,0,1,1,3))</f>
        <v>15.4</v>
      </c>
      <c r="G50" s="34">
        <f ca="1">SUMPRODUCT(成绩!$C50:$J50,OFFSET(CO_FESP,4,0,1,8))*INDEX(EF_SP,1)+SUMPRODUCT(成绩!$L50:$N50,OFFSET(CO_OSP,4,0,1,3),OFFSET(EF_SP,0,1,1,3))</f>
        <v>0</v>
      </c>
      <c r="H50" s="34">
        <f ca="1">SUMPRODUCT(成绩!$C50:$J50,OFFSET(CO_FESP,5,0,1,8))*INDEX(EF_SP,1)+SUMPRODUCT(成绩!$L50:$N50,OFFSET(CO_OSP,5,0,1,3),OFFSET(EF_SP,0,1,1,3))</f>
        <v>0</v>
      </c>
      <c r="I50" s="34">
        <f ca="1">SUMPRODUCT(成绩!$C50:$J50,OFFSET(CO_FESP,6,0,1,8))*INDEX(EF_SP,1)+SUMPRODUCT(成绩!$L50:$N50,OFFSET(CO_OSP,6,0,1,3),OFFSET(EF_SP,0,1,1,3))</f>
        <v>0</v>
      </c>
      <c r="J50" s="38">
        <f t="shared" ca="1" si="0"/>
        <v>81</v>
      </c>
    </row>
    <row r="51" spans="1:10" x14ac:dyDescent="0.25">
      <c r="A51" s="37" t="str">
        <f>成绩!$A51</f>
        <v>201824100544</v>
      </c>
      <c r="B51" s="37" t="str">
        <f>成绩!$B51</f>
        <v>王晨</v>
      </c>
      <c r="C51" s="34">
        <f ca="1">SUMPRODUCT(成绩!$C51:$J51,OFFSET(CO_FESP,0,0,1,8))*INDEX(EF_SP,1)+SUMPRODUCT(成绩!$L51:$N51,OFFSET(CO_OSP,0,0,1,3),OFFSET(EF_SP,0,1,1,3))</f>
        <v>21.6</v>
      </c>
      <c r="D51" s="34">
        <f ca="1">SUMPRODUCT(成绩!$C51:$J51,OFFSET(CO_FESP,1,0,1,8))*INDEX(EF_SP,1)+SUMPRODUCT(成绩!$L51:$N51,OFFSET(CO_OSP,1,0,1,3),OFFSET(EF_SP,0,1,1,3))</f>
        <v>14.8</v>
      </c>
      <c r="E51" s="34">
        <f ca="1">SUMPRODUCT(成绩!$C51:$J51,OFFSET(CO_FESP,2,0,1,8))*INDEX(EF_SP,1)+SUMPRODUCT(成绩!$L51:$N51,OFFSET(CO_OSP,2,0,1,3),OFFSET(EF_SP,0,1,1,3))</f>
        <v>21.6</v>
      </c>
      <c r="F51" s="34">
        <f ca="1">SUMPRODUCT(成绩!$C51:$J51,OFFSET(CO_FESP,3,0,1,8))*INDEX(EF_SP,1)+SUMPRODUCT(成绩!$L51:$N51,OFFSET(CO_OSP,3,0,1,3),OFFSET(EF_SP,0,1,1,3))</f>
        <v>14</v>
      </c>
      <c r="G51" s="34">
        <f ca="1">SUMPRODUCT(成绩!$C51:$J51,OFFSET(CO_FESP,4,0,1,8))*INDEX(EF_SP,1)+SUMPRODUCT(成绩!$L51:$N51,OFFSET(CO_OSP,4,0,1,3),OFFSET(EF_SP,0,1,1,3))</f>
        <v>0</v>
      </c>
      <c r="H51" s="34">
        <f ca="1">SUMPRODUCT(成绩!$C51:$J51,OFFSET(CO_FESP,5,0,1,8))*INDEX(EF_SP,1)+SUMPRODUCT(成绩!$L51:$N51,OFFSET(CO_OSP,5,0,1,3),OFFSET(EF_SP,0,1,1,3))</f>
        <v>0</v>
      </c>
      <c r="I51" s="34">
        <f ca="1">SUMPRODUCT(成绩!$C51:$J51,OFFSET(CO_FESP,6,0,1,8))*INDEX(EF_SP,1)+SUMPRODUCT(成绩!$L51:$N51,OFFSET(CO_OSP,6,0,1,3),OFFSET(EF_SP,0,1,1,3))</f>
        <v>0</v>
      </c>
      <c r="J51" s="38">
        <f t="shared" ca="1" si="0"/>
        <v>72</v>
      </c>
    </row>
    <row r="52" spans="1:10" x14ac:dyDescent="0.25">
      <c r="A52" s="37">
        <f>成绩!$A52</f>
        <v>0</v>
      </c>
      <c r="B52" s="37">
        <f>成绩!$B52</f>
        <v>0</v>
      </c>
      <c r="C52" s="34">
        <f ca="1">SUMPRODUCT(成绩!$C52:$J52,OFFSET(CO_FESP,0,0,1,8))*INDEX(EF_SP,1)+SUMPRODUCT(成绩!$L52:$N52,OFFSET(CO_OSP,0,0,1,3),OFFSET(EF_SP,0,1,1,3))</f>
        <v>0</v>
      </c>
      <c r="D52" s="34">
        <f ca="1">SUMPRODUCT(成绩!$C52:$J52,OFFSET(CO_FESP,1,0,1,8))*INDEX(EF_SP,1)+SUMPRODUCT(成绩!$L52:$N52,OFFSET(CO_OSP,1,0,1,3),OFFSET(EF_SP,0,1,1,3))</f>
        <v>0</v>
      </c>
      <c r="E52" s="34">
        <f ca="1">SUMPRODUCT(成绩!$C52:$J52,OFFSET(CO_FESP,2,0,1,8))*INDEX(EF_SP,1)+SUMPRODUCT(成绩!$L52:$N52,OFFSET(CO_OSP,2,0,1,3),OFFSET(EF_SP,0,1,1,3))</f>
        <v>0</v>
      </c>
      <c r="F52" s="34">
        <f ca="1">SUMPRODUCT(成绩!$C52:$J52,OFFSET(CO_FESP,3,0,1,8))*INDEX(EF_SP,1)+SUMPRODUCT(成绩!$L52:$N52,OFFSET(CO_OSP,3,0,1,3),OFFSET(EF_SP,0,1,1,3))</f>
        <v>0</v>
      </c>
      <c r="G52" s="34">
        <f ca="1">SUMPRODUCT(成绩!$C52:$J52,OFFSET(CO_FESP,4,0,1,8))*INDEX(EF_SP,1)+SUMPRODUCT(成绩!$L52:$N52,OFFSET(CO_OSP,4,0,1,3),OFFSET(EF_SP,0,1,1,3))</f>
        <v>0</v>
      </c>
      <c r="H52" s="34">
        <f ca="1">SUMPRODUCT(成绩!$C52:$J52,OFFSET(CO_FESP,5,0,1,8))*INDEX(EF_SP,1)+SUMPRODUCT(成绩!$L52:$N52,OFFSET(CO_OSP,5,0,1,3),OFFSET(EF_SP,0,1,1,3))</f>
        <v>0</v>
      </c>
      <c r="I52" s="34">
        <f ca="1">SUMPRODUCT(成绩!$C52:$J52,OFFSET(CO_FESP,6,0,1,8))*INDEX(EF_SP,1)+SUMPRODUCT(成绩!$L52:$N52,OFFSET(CO_OSP,6,0,1,3),OFFSET(EF_SP,0,1,1,3))</f>
        <v>0</v>
      </c>
      <c r="J52" s="38">
        <f t="shared" ca="1" si="0"/>
        <v>0</v>
      </c>
    </row>
    <row r="53" spans="1:10" x14ac:dyDescent="0.25">
      <c r="A53" s="37">
        <f>成绩!$A53</f>
        <v>0</v>
      </c>
      <c r="B53" s="37">
        <f>成绩!$B53</f>
        <v>0</v>
      </c>
      <c r="C53" s="34">
        <f ca="1">SUMPRODUCT(成绩!$C53:$J53,OFFSET(CO_FESP,0,0,1,8))*INDEX(EF_SP,1)+SUMPRODUCT(成绩!$L53:$N53,OFFSET(CO_OSP,0,0,1,3),OFFSET(EF_SP,0,1,1,3))</f>
        <v>0</v>
      </c>
      <c r="D53" s="34">
        <f ca="1">SUMPRODUCT(成绩!$C53:$J53,OFFSET(CO_FESP,1,0,1,8))*INDEX(EF_SP,1)+SUMPRODUCT(成绩!$L53:$N53,OFFSET(CO_OSP,1,0,1,3),OFFSET(EF_SP,0,1,1,3))</f>
        <v>0</v>
      </c>
      <c r="E53" s="34">
        <f ca="1">SUMPRODUCT(成绩!$C53:$J53,OFFSET(CO_FESP,2,0,1,8))*INDEX(EF_SP,1)+SUMPRODUCT(成绩!$L53:$N53,OFFSET(CO_OSP,2,0,1,3),OFFSET(EF_SP,0,1,1,3))</f>
        <v>0</v>
      </c>
      <c r="F53" s="34">
        <f ca="1">SUMPRODUCT(成绩!$C53:$J53,OFFSET(CO_FESP,3,0,1,8))*INDEX(EF_SP,1)+SUMPRODUCT(成绩!$L53:$N53,OFFSET(CO_OSP,3,0,1,3),OFFSET(EF_SP,0,1,1,3))</f>
        <v>0</v>
      </c>
      <c r="G53" s="34">
        <f ca="1">SUMPRODUCT(成绩!$C53:$J53,OFFSET(CO_FESP,4,0,1,8))*INDEX(EF_SP,1)+SUMPRODUCT(成绩!$L53:$N53,OFFSET(CO_OSP,4,0,1,3),OFFSET(EF_SP,0,1,1,3))</f>
        <v>0</v>
      </c>
      <c r="H53" s="34">
        <f ca="1">SUMPRODUCT(成绩!$C53:$J53,OFFSET(CO_FESP,5,0,1,8))*INDEX(EF_SP,1)+SUMPRODUCT(成绩!$L53:$N53,OFFSET(CO_OSP,5,0,1,3),OFFSET(EF_SP,0,1,1,3))</f>
        <v>0</v>
      </c>
      <c r="I53" s="34">
        <f ca="1">SUMPRODUCT(成绩!$C53:$J53,OFFSET(CO_FESP,6,0,1,8))*INDEX(EF_SP,1)+SUMPRODUCT(成绩!$L53:$N53,OFFSET(CO_OSP,6,0,1,3),OFFSET(EF_SP,0,1,1,3))</f>
        <v>0</v>
      </c>
      <c r="J53" s="38">
        <f t="shared" ca="1" si="0"/>
        <v>0</v>
      </c>
    </row>
    <row r="54" spans="1:10" x14ac:dyDescent="0.25">
      <c r="A54" s="37">
        <f>成绩!$A54</f>
        <v>0</v>
      </c>
      <c r="B54" s="37">
        <f>成绩!$B54</f>
        <v>0</v>
      </c>
      <c r="C54" s="34">
        <f ca="1">SUMPRODUCT(成绩!$C54:$J54,OFFSET(CO_FESP,0,0,1,8))*INDEX(EF_SP,1)+SUMPRODUCT(成绩!$L54:$N54,OFFSET(CO_OSP,0,0,1,3),OFFSET(EF_SP,0,1,1,3))</f>
        <v>0</v>
      </c>
      <c r="D54" s="34">
        <f ca="1">SUMPRODUCT(成绩!$C54:$J54,OFFSET(CO_FESP,1,0,1,8))*INDEX(EF_SP,1)+SUMPRODUCT(成绩!$L54:$N54,OFFSET(CO_OSP,1,0,1,3),OFFSET(EF_SP,0,1,1,3))</f>
        <v>0</v>
      </c>
      <c r="E54" s="34">
        <f ca="1">SUMPRODUCT(成绩!$C54:$J54,OFFSET(CO_FESP,2,0,1,8))*INDEX(EF_SP,1)+SUMPRODUCT(成绩!$L54:$N54,OFFSET(CO_OSP,2,0,1,3),OFFSET(EF_SP,0,1,1,3))</f>
        <v>0</v>
      </c>
      <c r="F54" s="34">
        <f ca="1">SUMPRODUCT(成绩!$C54:$J54,OFFSET(CO_FESP,3,0,1,8))*INDEX(EF_SP,1)+SUMPRODUCT(成绩!$L54:$N54,OFFSET(CO_OSP,3,0,1,3),OFFSET(EF_SP,0,1,1,3))</f>
        <v>0</v>
      </c>
      <c r="G54" s="34">
        <f ca="1">SUMPRODUCT(成绩!$C54:$J54,OFFSET(CO_FESP,4,0,1,8))*INDEX(EF_SP,1)+SUMPRODUCT(成绩!$L54:$N54,OFFSET(CO_OSP,4,0,1,3),OFFSET(EF_SP,0,1,1,3))</f>
        <v>0</v>
      </c>
      <c r="H54" s="34">
        <f ca="1">SUMPRODUCT(成绩!$C54:$J54,OFFSET(CO_FESP,5,0,1,8))*INDEX(EF_SP,1)+SUMPRODUCT(成绩!$L54:$N54,OFFSET(CO_OSP,5,0,1,3),OFFSET(EF_SP,0,1,1,3))</f>
        <v>0</v>
      </c>
      <c r="I54" s="34">
        <f ca="1">SUMPRODUCT(成绩!$C54:$J54,OFFSET(CO_FESP,6,0,1,8))*INDEX(EF_SP,1)+SUMPRODUCT(成绩!$L54:$N54,OFFSET(CO_OSP,6,0,1,3),OFFSET(EF_SP,0,1,1,3))</f>
        <v>0</v>
      </c>
      <c r="J54" s="38">
        <f t="shared" ca="1" si="0"/>
        <v>0</v>
      </c>
    </row>
    <row r="55" spans="1:10" x14ac:dyDescent="0.25">
      <c r="A55" s="37">
        <f>成绩!$A55</f>
        <v>0</v>
      </c>
      <c r="B55" s="37">
        <f>成绩!$B55</f>
        <v>0</v>
      </c>
      <c r="C55" s="34">
        <f ca="1">SUMPRODUCT(成绩!$C55:$J55,OFFSET(CO_FESP,0,0,1,8))*INDEX(EF_SP,1)+SUMPRODUCT(成绩!$L55:$N55,OFFSET(CO_OSP,0,0,1,3),OFFSET(EF_SP,0,1,1,3))</f>
        <v>0</v>
      </c>
      <c r="D55" s="34">
        <f ca="1">SUMPRODUCT(成绩!$C55:$J55,OFFSET(CO_FESP,1,0,1,8))*INDEX(EF_SP,1)+SUMPRODUCT(成绩!$L55:$N55,OFFSET(CO_OSP,1,0,1,3),OFFSET(EF_SP,0,1,1,3))</f>
        <v>0</v>
      </c>
      <c r="E55" s="34">
        <f ca="1">SUMPRODUCT(成绩!$C55:$J55,OFFSET(CO_FESP,2,0,1,8))*INDEX(EF_SP,1)+SUMPRODUCT(成绩!$L55:$N55,OFFSET(CO_OSP,2,0,1,3),OFFSET(EF_SP,0,1,1,3))</f>
        <v>0</v>
      </c>
      <c r="F55" s="34">
        <f ca="1">SUMPRODUCT(成绩!$C55:$J55,OFFSET(CO_FESP,3,0,1,8))*INDEX(EF_SP,1)+SUMPRODUCT(成绩!$L55:$N55,OFFSET(CO_OSP,3,0,1,3),OFFSET(EF_SP,0,1,1,3))</f>
        <v>0</v>
      </c>
      <c r="G55" s="34">
        <f ca="1">SUMPRODUCT(成绩!$C55:$J55,OFFSET(CO_FESP,4,0,1,8))*INDEX(EF_SP,1)+SUMPRODUCT(成绩!$L55:$N55,OFFSET(CO_OSP,4,0,1,3),OFFSET(EF_SP,0,1,1,3))</f>
        <v>0</v>
      </c>
      <c r="H55" s="34">
        <f ca="1">SUMPRODUCT(成绩!$C55:$J55,OFFSET(CO_FESP,5,0,1,8))*INDEX(EF_SP,1)+SUMPRODUCT(成绩!$L55:$N55,OFFSET(CO_OSP,5,0,1,3),OFFSET(EF_SP,0,1,1,3))</f>
        <v>0</v>
      </c>
      <c r="I55" s="34">
        <f ca="1">SUMPRODUCT(成绩!$C55:$J55,OFFSET(CO_FESP,6,0,1,8))*INDEX(EF_SP,1)+SUMPRODUCT(成绩!$L55:$N55,OFFSET(CO_OSP,6,0,1,3),OFFSET(EF_SP,0,1,1,3))</f>
        <v>0</v>
      </c>
      <c r="J55" s="38">
        <f t="shared" ca="1" si="0"/>
        <v>0</v>
      </c>
    </row>
    <row r="56" spans="1:10" x14ac:dyDescent="0.25">
      <c r="A56" s="37">
        <f>成绩!$A56</f>
        <v>0</v>
      </c>
      <c r="B56" s="37">
        <f>成绩!$B56</f>
        <v>0</v>
      </c>
      <c r="C56" s="34">
        <f ca="1">SUMPRODUCT(成绩!$C56:$J56,OFFSET(CO_FESP,0,0,1,8))*INDEX(EF_SP,1)+SUMPRODUCT(成绩!$L56:$N56,OFFSET(CO_OSP,0,0,1,3),OFFSET(EF_SP,0,1,1,3))</f>
        <v>0</v>
      </c>
      <c r="D56" s="34">
        <f ca="1">SUMPRODUCT(成绩!$C56:$J56,OFFSET(CO_FESP,1,0,1,8))*INDEX(EF_SP,1)+SUMPRODUCT(成绩!$L56:$N56,OFFSET(CO_OSP,1,0,1,3),OFFSET(EF_SP,0,1,1,3))</f>
        <v>0</v>
      </c>
      <c r="E56" s="34">
        <f ca="1">SUMPRODUCT(成绩!$C56:$J56,OFFSET(CO_FESP,2,0,1,8))*INDEX(EF_SP,1)+SUMPRODUCT(成绩!$L56:$N56,OFFSET(CO_OSP,2,0,1,3),OFFSET(EF_SP,0,1,1,3))</f>
        <v>0</v>
      </c>
      <c r="F56" s="34">
        <f ca="1">SUMPRODUCT(成绩!$C56:$J56,OFFSET(CO_FESP,3,0,1,8))*INDEX(EF_SP,1)+SUMPRODUCT(成绩!$L56:$N56,OFFSET(CO_OSP,3,0,1,3),OFFSET(EF_SP,0,1,1,3))</f>
        <v>0</v>
      </c>
      <c r="G56" s="34">
        <f ca="1">SUMPRODUCT(成绩!$C56:$J56,OFFSET(CO_FESP,4,0,1,8))*INDEX(EF_SP,1)+SUMPRODUCT(成绩!$L56:$N56,OFFSET(CO_OSP,4,0,1,3),OFFSET(EF_SP,0,1,1,3))</f>
        <v>0</v>
      </c>
      <c r="H56" s="34">
        <f ca="1">SUMPRODUCT(成绩!$C56:$J56,OFFSET(CO_FESP,5,0,1,8))*INDEX(EF_SP,1)+SUMPRODUCT(成绩!$L56:$N56,OFFSET(CO_OSP,5,0,1,3),OFFSET(EF_SP,0,1,1,3))</f>
        <v>0</v>
      </c>
      <c r="I56" s="34">
        <f ca="1">SUMPRODUCT(成绩!$C56:$J56,OFFSET(CO_FESP,6,0,1,8))*INDEX(EF_SP,1)+SUMPRODUCT(成绩!$L56:$N56,OFFSET(CO_OSP,6,0,1,3),OFFSET(EF_SP,0,1,1,3))</f>
        <v>0</v>
      </c>
      <c r="J56" s="38">
        <f t="shared" ca="1" si="0"/>
        <v>0</v>
      </c>
    </row>
    <row r="57" spans="1:10" x14ac:dyDescent="0.25">
      <c r="A57" s="37">
        <f>成绩!$A57</f>
        <v>0</v>
      </c>
      <c r="B57" s="37">
        <f>成绩!$B57</f>
        <v>0</v>
      </c>
      <c r="C57" s="34">
        <f ca="1">SUMPRODUCT(成绩!$C57:$J57,OFFSET(CO_FESP,0,0,1,8))*INDEX(EF_SP,1)+SUMPRODUCT(成绩!$L57:$N57,OFFSET(CO_OSP,0,0,1,3),OFFSET(EF_SP,0,1,1,3))</f>
        <v>0</v>
      </c>
      <c r="D57" s="34">
        <f ca="1">SUMPRODUCT(成绩!$C57:$J57,OFFSET(CO_FESP,1,0,1,8))*INDEX(EF_SP,1)+SUMPRODUCT(成绩!$L57:$N57,OFFSET(CO_OSP,1,0,1,3),OFFSET(EF_SP,0,1,1,3))</f>
        <v>0</v>
      </c>
      <c r="E57" s="34">
        <f ca="1">SUMPRODUCT(成绩!$C57:$J57,OFFSET(CO_FESP,2,0,1,8))*INDEX(EF_SP,1)+SUMPRODUCT(成绩!$L57:$N57,OFFSET(CO_OSP,2,0,1,3),OFFSET(EF_SP,0,1,1,3))</f>
        <v>0</v>
      </c>
      <c r="F57" s="34">
        <f ca="1">SUMPRODUCT(成绩!$C57:$J57,OFFSET(CO_FESP,3,0,1,8))*INDEX(EF_SP,1)+SUMPRODUCT(成绩!$L57:$N57,OFFSET(CO_OSP,3,0,1,3),OFFSET(EF_SP,0,1,1,3))</f>
        <v>0</v>
      </c>
      <c r="G57" s="34">
        <f ca="1">SUMPRODUCT(成绩!$C57:$J57,OFFSET(CO_FESP,4,0,1,8))*INDEX(EF_SP,1)+SUMPRODUCT(成绩!$L57:$N57,OFFSET(CO_OSP,4,0,1,3),OFFSET(EF_SP,0,1,1,3))</f>
        <v>0</v>
      </c>
      <c r="H57" s="34">
        <f ca="1">SUMPRODUCT(成绩!$C57:$J57,OFFSET(CO_FESP,5,0,1,8))*INDEX(EF_SP,1)+SUMPRODUCT(成绩!$L57:$N57,OFFSET(CO_OSP,5,0,1,3),OFFSET(EF_SP,0,1,1,3))</f>
        <v>0</v>
      </c>
      <c r="I57" s="34">
        <f ca="1">SUMPRODUCT(成绩!$C57:$J57,OFFSET(CO_FESP,6,0,1,8))*INDEX(EF_SP,1)+SUMPRODUCT(成绩!$L57:$N57,OFFSET(CO_OSP,6,0,1,3),OFFSET(EF_SP,0,1,1,3))</f>
        <v>0</v>
      </c>
      <c r="J57" s="38">
        <f t="shared" ca="1" si="0"/>
        <v>0</v>
      </c>
    </row>
    <row r="58" spans="1:10" x14ac:dyDescent="0.25">
      <c r="A58" s="37">
        <f>成绩!$A58</f>
        <v>0</v>
      </c>
      <c r="B58" s="37">
        <f>成绩!$B58</f>
        <v>0</v>
      </c>
      <c r="C58" s="34">
        <f ca="1">SUMPRODUCT(成绩!$C58:$J58,OFFSET(CO_FESP,0,0,1,8))*INDEX(EF_SP,1)+SUMPRODUCT(成绩!$L58:$N58,OFFSET(CO_OSP,0,0,1,3),OFFSET(EF_SP,0,1,1,3))</f>
        <v>0</v>
      </c>
      <c r="D58" s="34">
        <f ca="1">SUMPRODUCT(成绩!$C58:$J58,OFFSET(CO_FESP,1,0,1,8))*INDEX(EF_SP,1)+SUMPRODUCT(成绩!$L58:$N58,OFFSET(CO_OSP,1,0,1,3),OFFSET(EF_SP,0,1,1,3))</f>
        <v>0</v>
      </c>
      <c r="E58" s="34">
        <f ca="1">SUMPRODUCT(成绩!$C58:$J58,OFFSET(CO_FESP,2,0,1,8))*INDEX(EF_SP,1)+SUMPRODUCT(成绩!$L58:$N58,OFFSET(CO_OSP,2,0,1,3),OFFSET(EF_SP,0,1,1,3))</f>
        <v>0</v>
      </c>
      <c r="F58" s="34">
        <f ca="1">SUMPRODUCT(成绩!$C58:$J58,OFFSET(CO_FESP,3,0,1,8))*INDEX(EF_SP,1)+SUMPRODUCT(成绩!$L58:$N58,OFFSET(CO_OSP,3,0,1,3),OFFSET(EF_SP,0,1,1,3))</f>
        <v>0</v>
      </c>
      <c r="G58" s="34">
        <f ca="1">SUMPRODUCT(成绩!$C58:$J58,OFFSET(CO_FESP,4,0,1,8))*INDEX(EF_SP,1)+SUMPRODUCT(成绩!$L58:$N58,OFFSET(CO_OSP,4,0,1,3),OFFSET(EF_SP,0,1,1,3))</f>
        <v>0</v>
      </c>
      <c r="H58" s="34">
        <f ca="1">SUMPRODUCT(成绩!$C58:$J58,OFFSET(CO_FESP,5,0,1,8))*INDEX(EF_SP,1)+SUMPRODUCT(成绩!$L58:$N58,OFFSET(CO_OSP,5,0,1,3),OFFSET(EF_SP,0,1,1,3))</f>
        <v>0</v>
      </c>
      <c r="I58" s="34">
        <f ca="1">SUMPRODUCT(成绩!$C58:$J58,OFFSET(CO_FESP,6,0,1,8))*INDEX(EF_SP,1)+SUMPRODUCT(成绩!$L58:$N58,OFFSET(CO_OSP,6,0,1,3),OFFSET(EF_SP,0,1,1,3))</f>
        <v>0</v>
      </c>
      <c r="J58" s="38">
        <f t="shared" ca="1" si="0"/>
        <v>0</v>
      </c>
    </row>
    <row r="59" spans="1:10" x14ac:dyDescent="0.25">
      <c r="A59" s="37">
        <f>成绩!$A59</f>
        <v>0</v>
      </c>
      <c r="B59" s="37">
        <f>成绩!$B59</f>
        <v>0</v>
      </c>
      <c r="C59" s="34">
        <f ca="1">SUMPRODUCT(成绩!$C59:$J59,OFFSET(CO_FESP,0,0,1,8))*INDEX(EF_SP,1)+SUMPRODUCT(成绩!$L59:$N59,OFFSET(CO_OSP,0,0,1,3),OFFSET(EF_SP,0,1,1,3))</f>
        <v>0</v>
      </c>
      <c r="D59" s="34">
        <f ca="1">SUMPRODUCT(成绩!$C59:$J59,OFFSET(CO_FESP,1,0,1,8))*INDEX(EF_SP,1)+SUMPRODUCT(成绩!$L59:$N59,OFFSET(CO_OSP,1,0,1,3),OFFSET(EF_SP,0,1,1,3))</f>
        <v>0</v>
      </c>
      <c r="E59" s="34">
        <f ca="1">SUMPRODUCT(成绩!$C59:$J59,OFFSET(CO_FESP,2,0,1,8))*INDEX(EF_SP,1)+SUMPRODUCT(成绩!$L59:$N59,OFFSET(CO_OSP,2,0,1,3),OFFSET(EF_SP,0,1,1,3))</f>
        <v>0</v>
      </c>
      <c r="F59" s="34">
        <f ca="1">SUMPRODUCT(成绩!$C59:$J59,OFFSET(CO_FESP,3,0,1,8))*INDEX(EF_SP,1)+SUMPRODUCT(成绩!$L59:$N59,OFFSET(CO_OSP,3,0,1,3),OFFSET(EF_SP,0,1,1,3))</f>
        <v>0</v>
      </c>
      <c r="G59" s="34">
        <f ca="1">SUMPRODUCT(成绩!$C59:$J59,OFFSET(CO_FESP,4,0,1,8))*INDEX(EF_SP,1)+SUMPRODUCT(成绩!$L59:$N59,OFFSET(CO_OSP,4,0,1,3),OFFSET(EF_SP,0,1,1,3))</f>
        <v>0</v>
      </c>
      <c r="H59" s="34">
        <f ca="1">SUMPRODUCT(成绩!$C59:$J59,OFFSET(CO_FESP,5,0,1,8))*INDEX(EF_SP,1)+SUMPRODUCT(成绩!$L59:$N59,OFFSET(CO_OSP,5,0,1,3),OFFSET(EF_SP,0,1,1,3))</f>
        <v>0</v>
      </c>
      <c r="I59" s="34">
        <f ca="1">SUMPRODUCT(成绩!$C59:$J59,OFFSET(CO_FESP,6,0,1,8))*INDEX(EF_SP,1)+SUMPRODUCT(成绩!$L59:$N59,OFFSET(CO_OSP,6,0,1,3),OFFSET(EF_SP,0,1,1,3))</f>
        <v>0</v>
      </c>
      <c r="J59" s="38">
        <f t="shared" ca="1" si="0"/>
        <v>0</v>
      </c>
    </row>
    <row r="60" spans="1:10" x14ac:dyDescent="0.25">
      <c r="A60" s="37">
        <f>成绩!$A60</f>
        <v>0</v>
      </c>
      <c r="B60" s="37">
        <f>成绩!$B60</f>
        <v>0</v>
      </c>
      <c r="C60" s="34">
        <f ca="1">SUMPRODUCT(成绩!$C60:$J60,OFFSET(CO_FESP,0,0,1,8))*INDEX(EF_SP,1)+SUMPRODUCT(成绩!$L60:$N60,OFFSET(CO_OSP,0,0,1,3),OFFSET(EF_SP,0,1,1,3))</f>
        <v>0</v>
      </c>
      <c r="D60" s="34">
        <f ca="1">SUMPRODUCT(成绩!$C60:$J60,OFFSET(CO_FESP,1,0,1,8))*INDEX(EF_SP,1)+SUMPRODUCT(成绩!$L60:$N60,OFFSET(CO_OSP,1,0,1,3),OFFSET(EF_SP,0,1,1,3))</f>
        <v>0</v>
      </c>
      <c r="E60" s="34">
        <f ca="1">SUMPRODUCT(成绩!$C60:$J60,OFFSET(CO_FESP,2,0,1,8))*INDEX(EF_SP,1)+SUMPRODUCT(成绩!$L60:$N60,OFFSET(CO_OSP,2,0,1,3),OFFSET(EF_SP,0,1,1,3))</f>
        <v>0</v>
      </c>
      <c r="F60" s="34">
        <f ca="1">SUMPRODUCT(成绩!$C60:$J60,OFFSET(CO_FESP,3,0,1,8))*INDEX(EF_SP,1)+SUMPRODUCT(成绩!$L60:$N60,OFFSET(CO_OSP,3,0,1,3),OFFSET(EF_SP,0,1,1,3))</f>
        <v>0</v>
      </c>
      <c r="G60" s="34">
        <f ca="1">SUMPRODUCT(成绩!$C60:$J60,OFFSET(CO_FESP,4,0,1,8))*INDEX(EF_SP,1)+SUMPRODUCT(成绩!$L60:$N60,OFFSET(CO_OSP,4,0,1,3),OFFSET(EF_SP,0,1,1,3))</f>
        <v>0</v>
      </c>
      <c r="H60" s="34">
        <f ca="1">SUMPRODUCT(成绩!$C60:$J60,OFFSET(CO_FESP,5,0,1,8))*INDEX(EF_SP,1)+SUMPRODUCT(成绩!$L60:$N60,OFFSET(CO_OSP,5,0,1,3),OFFSET(EF_SP,0,1,1,3))</f>
        <v>0</v>
      </c>
      <c r="I60" s="34">
        <f ca="1">SUMPRODUCT(成绩!$C60:$J60,OFFSET(CO_FESP,6,0,1,8))*INDEX(EF_SP,1)+SUMPRODUCT(成绩!$L60:$N60,OFFSET(CO_OSP,6,0,1,3),OFFSET(EF_SP,0,1,1,3))</f>
        <v>0</v>
      </c>
      <c r="J60" s="38">
        <f t="shared" ca="1" si="0"/>
        <v>0</v>
      </c>
    </row>
    <row r="61" spans="1:10" x14ac:dyDescent="0.25">
      <c r="A61" s="37">
        <f>成绩!$A61</f>
        <v>0</v>
      </c>
      <c r="B61" s="37">
        <f>成绩!$B61</f>
        <v>0</v>
      </c>
      <c r="C61" s="34">
        <f ca="1">SUMPRODUCT(成绩!$C61:$J61,OFFSET(CO_FESP,0,0,1,8))*INDEX(EF_SP,1)+SUMPRODUCT(成绩!$L61:$N61,OFFSET(CO_OSP,0,0,1,3),OFFSET(EF_SP,0,1,1,3))</f>
        <v>0</v>
      </c>
      <c r="D61" s="34">
        <f ca="1">SUMPRODUCT(成绩!$C61:$J61,OFFSET(CO_FESP,1,0,1,8))*INDEX(EF_SP,1)+SUMPRODUCT(成绩!$L61:$N61,OFFSET(CO_OSP,1,0,1,3),OFFSET(EF_SP,0,1,1,3))</f>
        <v>0</v>
      </c>
      <c r="E61" s="34">
        <f ca="1">SUMPRODUCT(成绩!$C61:$J61,OFFSET(CO_FESP,2,0,1,8))*INDEX(EF_SP,1)+SUMPRODUCT(成绩!$L61:$N61,OFFSET(CO_OSP,2,0,1,3),OFFSET(EF_SP,0,1,1,3))</f>
        <v>0</v>
      </c>
      <c r="F61" s="34">
        <f ca="1">SUMPRODUCT(成绩!$C61:$J61,OFFSET(CO_FESP,3,0,1,8))*INDEX(EF_SP,1)+SUMPRODUCT(成绩!$L61:$N61,OFFSET(CO_OSP,3,0,1,3),OFFSET(EF_SP,0,1,1,3))</f>
        <v>0</v>
      </c>
      <c r="G61" s="34">
        <f ca="1">SUMPRODUCT(成绩!$C61:$J61,OFFSET(CO_FESP,4,0,1,8))*INDEX(EF_SP,1)+SUMPRODUCT(成绩!$L61:$N61,OFFSET(CO_OSP,4,0,1,3),OFFSET(EF_SP,0,1,1,3))</f>
        <v>0</v>
      </c>
      <c r="H61" s="34">
        <f ca="1">SUMPRODUCT(成绩!$C61:$J61,OFFSET(CO_FESP,5,0,1,8))*INDEX(EF_SP,1)+SUMPRODUCT(成绩!$L61:$N61,OFFSET(CO_OSP,5,0,1,3),OFFSET(EF_SP,0,1,1,3))</f>
        <v>0</v>
      </c>
      <c r="I61" s="34">
        <f ca="1">SUMPRODUCT(成绩!$C61:$J61,OFFSET(CO_FESP,6,0,1,8))*INDEX(EF_SP,1)+SUMPRODUCT(成绩!$L61:$N61,OFFSET(CO_OSP,6,0,1,3),OFFSET(EF_SP,0,1,1,3))</f>
        <v>0</v>
      </c>
      <c r="J61" s="38">
        <f t="shared" ca="1" si="0"/>
        <v>0</v>
      </c>
    </row>
    <row r="62" spans="1:10" x14ac:dyDescent="0.25">
      <c r="A62" s="37">
        <f>成绩!$A62</f>
        <v>0</v>
      </c>
      <c r="B62" s="37">
        <f>成绩!$B62</f>
        <v>0</v>
      </c>
      <c r="C62" s="34">
        <f ca="1">SUMPRODUCT(成绩!$C62:$J62,OFFSET(CO_FESP,0,0,1,8))*INDEX(EF_SP,1)+SUMPRODUCT(成绩!$L62:$N62,OFFSET(CO_OSP,0,0,1,3),OFFSET(EF_SP,0,1,1,3))</f>
        <v>0</v>
      </c>
      <c r="D62" s="34">
        <f ca="1">SUMPRODUCT(成绩!$C62:$J62,OFFSET(CO_FESP,1,0,1,8))*INDEX(EF_SP,1)+SUMPRODUCT(成绩!$L62:$N62,OFFSET(CO_OSP,1,0,1,3),OFFSET(EF_SP,0,1,1,3))</f>
        <v>0</v>
      </c>
      <c r="E62" s="34">
        <f ca="1">SUMPRODUCT(成绩!$C62:$J62,OFFSET(CO_FESP,2,0,1,8))*INDEX(EF_SP,1)+SUMPRODUCT(成绩!$L62:$N62,OFFSET(CO_OSP,2,0,1,3),OFFSET(EF_SP,0,1,1,3))</f>
        <v>0</v>
      </c>
      <c r="F62" s="34">
        <f ca="1">SUMPRODUCT(成绩!$C62:$J62,OFFSET(CO_FESP,3,0,1,8))*INDEX(EF_SP,1)+SUMPRODUCT(成绩!$L62:$N62,OFFSET(CO_OSP,3,0,1,3),OFFSET(EF_SP,0,1,1,3))</f>
        <v>0</v>
      </c>
      <c r="G62" s="34">
        <f ca="1">SUMPRODUCT(成绩!$C62:$J62,OFFSET(CO_FESP,4,0,1,8))*INDEX(EF_SP,1)+SUMPRODUCT(成绩!$L62:$N62,OFFSET(CO_OSP,4,0,1,3),OFFSET(EF_SP,0,1,1,3))</f>
        <v>0</v>
      </c>
      <c r="H62" s="34">
        <f ca="1">SUMPRODUCT(成绩!$C62:$J62,OFFSET(CO_FESP,5,0,1,8))*INDEX(EF_SP,1)+SUMPRODUCT(成绩!$L62:$N62,OFFSET(CO_OSP,5,0,1,3),OFFSET(EF_SP,0,1,1,3))</f>
        <v>0</v>
      </c>
      <c r="I62" s="34">
        <f ca="1">SUMPRODUCT(成绩!$C62:$J62,OFFSET(CO_FESP,6,0,1,8))*INDEX(EF_SP,1)+SUMPRODUCT(成绩!$L62:$N62,OFFSET(CO_OSP,6,0,1,3),OFFSET(EF_SP,0,1,1,3))</f>
        <v>0</v>
      </c>
      <c r="J62" s="38">
        <f t="shared" ca="1" si="0"/>
        <v>0</v>
      </c>
    </row>
    <row r="63" spans="1:10" x14ac:dyDescent="0.25">
      <c r="A63" s="4"/>
      <c r="B63" s="4"/>
      <c r="C63" s="4"/>
      <c r="D63" s="4"/>
      <c r="E63" s="4"/>
      <c r="F63" s="4"/>
      <c r="G63" s="4"/>
      <c r="H63" s="4"/>
      <c r="I63" s="4"/>
      <c r="J63" s="39"/>
    </row>
    <row r="64" spans="1:10" x14ac:dyDescent="0.25">
      <c r="A64" s="4"/>
      <c r="B64" s="4"/>
      <c r="C64" s="4"/>
      <c r="D64" s="4"/>
      <c r="E64" s="4"/>
      <c r="F64" s="4"/>
      <c r="G64" s="4"/>
      <c r="H64" s="4"/>
      <c r="I64" s="4"/>
      <c r="J64" s="39"/>
    </row>
    <row r="65" spans="1:10" x14ac:dyDescent="0.25">
      <c r="A65" s="4"/>
      <c r="B65" s="4"/>
      <c r="C65" s="4"/>
      <c r="D65" s="4"/>
      <c r="E65" s="4"/>
      <c r="F65" s="4"/>
      <c r="G65" s="4"/>
      <c r="H65" s="4"/>
      <c r="I65" s="4"/>
      <c r="J65" s="39"/>
    </row>
    <row r="66" spans="1:10" x14ac:dyDescent="0.25">
      <c r="A66" s="4"/>
      <c r="B66" s="4"/>
      <c r="C66" s="4"/>
      <c r="D66" s="4"/>
      <c r="E66" s="4"/>
      <c r="F66" s="4"/>
      <c r="G66" s="4"/>
      <c r="H66" s="4"/>
      <c r="I66" s="4"/>
      <c r="J66" s="39"/>
    </row>
  </sheetData>
  <sheetProtection sheet="1" objects="1" scenarios="1"/>
  <mergeCells count="1">
    <mergeCell ref="A1:J1"/>
  </mergeCells>
  <phoneticPr fontId="17" type="noConversion"/>
  <conditionalFormatting sqref="A63:I66">
    <cfRule type="cellIs" dxfId="7" priority="1" stopIfTrue="1" operator="between">
      <formula>39.5</formula>
      <formula>59.4</formula>
    </cfRule>
    <cfRule type="cellIs" dxfId="6" priority="2" stopIfTrue="1" operator="lessThan">
      <formula>39.5</formula>
    </cfRule>
  </conditionalFormatting>
  <pageMargins left="0.75" right="0.75" top="1" bottom="1" header="0.5" footer="0.5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75"/>
  <sheetViews>
    <sheetView showZeros="0" topLeftCell="A22" workbookViewId="0">
      <selection activeCell="H33" sqref="H33"/>
    </sheetView>
  </sheetViews>
  <sheetFormatPr defaultColWidth="9" defaultRowHeight="15" x14ac:dyDescent="0.25"/>
  <cols>
    <col min="1" max="1" width="13.75" customWidth="1"/>
    <col min="2" max="11" width="10.75" customWidth="1"/>
  </cols>
  <sheetData>
    <row r="1" spans="1:14" ht="21" x14ac:dyDescent="0.4">
      <c r="A1" s="181" t="s">
        <v>161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</row>
    <row r="2" spans="1:14" s="4" customFormat="1" ht="34.9" customHeight="1" x14ac:dyDescent="0.25">
      <c r="A2" s="29" t="s">
        <v>48</v>
      </c>
      <c r="B2" s="29" t="s">
        <v>49</v>
      </c>
      <c r="C2" s="30" t="str">
        <f>T(考试基本信息!A11)</f>
        <v>课程目标1</v>
      </c>
      <c r="D2" s="30" t="str">
        <f>T(考试基本信息!A12)</f>
        <v>课程目标2</v>
      </c>
      <c r="E2" s="30" t="str">
        <f>T(考试基本信息!A13)</f>
        <v>课程目标3</v>
      </c>
      <c r="F2" s="30" t="str">
        <f>T(考试基本信息!A14)</f>
        <v>课程目标4</v>
      </c>
      <c r="G2" s="30" t="str">
        <f>T(考试基本信息!A15)</f>
        <v/>
      </c>
      <c r="H2" s="30" t="str">
        <f>T(考试基本信息!A16)</f>
        <v/>
      </c>
      <c r="I2" s="30" t="str">
        <f>T(考试基本信息!A17)</f>
        <v/>
      </c>
      <c r="J2" s="33" t="s">
        <v>162</v>
      </c>
      <c r="K2" s="33" t="s">
        <v>163</v>
      </c>
    </row>
    <row r="3" spans="1:14" x14ac:dyDescent="0.25">
      <c r="A3" s="31" t="str">
        <f>成绩!$A3</f>
        <v>201824100345</v>
      </c>
      <c r="B3" s="26" t="str">
        <f>成绩!$B3</f>
        <v>王文博</v>
      </c>
      <c r="C3" s="32">
        <f ca="1">IFERROR(课程目标得分!C3/INDEX(CO_TScore,1),0)</f>
        <v>0.77999999999999992</v>
      </c>
      <c r="D3" s="32">
        <f ca="1">IFERROR(课程目标得分!D3/INDEX(CO_TScore,2),0)</f>
        <v>0.84210526315789469</v>
      </c>
      <c r="E3" s="32">
        <f ca="1">IFERROR(课程目标得分!E3/INDEX(CO_TScore,3),0)</f>
        <v>0.77999999999999992</v>
      </c>
      <c r="F3" s="32">
        <f ca="1">IFERROR(课程目标得分!F3/INDEX(CO_TScore,4),0)</f>
        <v>0.72380952380952379</v>
      </c>
      <c r="G3" s="32">
        <f ca="1">IFERROR(课程目标得分!G3/INDEX(CO_TScore,5),0)</f>
        <v>0</v>
      </c>
      <c r="H3" s="32">
        <f ca="1">IFERROR(课程目标得分!H3/INDEX(CO_TScore,6),0)</f>
        <v>0</v>
      </c>
      <c r="I3" s="32">
        <f ca="1">IFERROR(课程目标得分!I3/INDEX(CO_TScore,7),0)</f>
        <v>0</v>
      </c>
      <c r="J3" s="34">
        <f ca="1">IFERROR(AVERAGEIF(C3:I3,"&gt;0"),0)</f>
        <v>0.78147869674185455</v>
      </c>
      <c r="K3" s="35" t="str">
        <f ca="1">IF(J3&gt;=0.65,"达成","未达成")</f>
        <v>达成</v>
      </c>
      <c r="M3" s="28"/>
      <c r="N3" s="28"/>
    </row>
    <row r="4" spans="1:14" x14ac:dyDescent="0.25">
      <c r="A4" s="31" t="str">
        <f>成绩!$A4</f>
        <v>201824100546</v>
      </c>
      <c r="B4" s="26" t="str">
        <f>成绩!$B4</f>
        <v>王鸿楠</v>
      </c>
      <c r="C4" s="32">
        <f ca="1">IFERROR(课程目标得分!C4/INDEX(CO_TScore,1),0)</f>
        <v>0.73</v>
      </c>
      <c r="D4" s="32">
        <f ca="1">IFERROR(课程目标得分!D4/INDEX(CO_TScore,2),0)</f>
        <v>0.83684210526315783</v>
      </c>
      <c r="E4" s="32">
        <f ca="1">IFERROR(课程目标得分!E4/INDEX(CO_TScore,3),0)</f>
        <v>0.73</v>
      </c>
      <c r="F4" s="32">
        <f ca="1">IFERROR(课程目标得分!F4/INDEX(CO_TScore,4),0)</f>
        <v>0.6333333333333333</v>
      </c>
      <c r="G4" s="32">
        <f ca="1">IFERROR(课程目标得分!G4/INDEX(CO_TScore,5),0)</f>
        <v>0</v>
      </c>
      <c r="H4" s="32">
        <f ca="1">IFERROR(课程目标得分!H4/INDEX(CO_TScore,6),0)</f>
        <v>0</v>
      </c>
      <c r="I4" s="32">
        <f ca="1">IFERROR(课程目标得分!I4/INDEX(CO_TScore,7),0)</f>
        <v>0</v>
      </c>
      <c r="J4" s="34">
        <f ca="1">IFERROR(AVERAGEIF(C4:I4,"&gt;0"),0)</f>
        <v>0.73254385964912283</v>
      </c>
      <c r="K4" s="35" t="str">
        <f ca="1">IF(J4&gt;=0.65,"达成","未达成")</f>
        <v>达成</v>
      </c>
    </row>
    <row r="5" spans="1:14" x14ac:dyDescent="0.25">
      <c r="A5" s="31" t="str">
        <f>成绩!$A5</f>
        <v>201824100524</v>
      </c>
      <c r="B5" s="26" t="str">
        <f>成绩!$B5</f>
        <v>李世林</v>
      </c>
      <c r="C5" s="32">
        <f ca="1">IFERROR(课程目标得分!C5/INDEX(CO_TScore,1),0)</f>
        <v>0.67999999999999994</v>
      </c>
      <c r="D5" s="32">
        <f ca="1">IFERROR(课程目标得分!D5/INDEX(CO_TScore,2),0)</f>
        <v>0.77368421052631575</v>
      </c>
      <c r="E5" s="32">
        <f ca="1">IFERROR(课程目标得分!E5/INDEX(CO_TScore,3),0)</f>
        <v>0.67999999999999994</v>
      </c>
      <c r="F5" s="32">
        <f ca="1">IFERROR(课程目标得分!F5/INDEX(CO_TScore,4),0)</f>
        <v>0.59523809523809523</v>
      </c>
      <c r="G5" s="32">
        <f ca="1">IFERROR(课程目标得分!G5/INDEX(CO_TScore,5),0)</f>
        <v>0</v>
      </c>
      <c r="H5" s="32">
        <f ca="1">IFERROR(课程目标得分!H5/INDEX(CO_TScore,6),0)</f>
        <v>0</v>
      </c>
      <c r="I5" s="32">
        <f ca="1">IFERROR(课程目标得分!I5/INDEX(CO_TScore,7),0)</f>
        <v>0</v>
      </c>
      <c r="J5" s="34">
        <f ca="1">IFERROR(AVERAGEIF(C5:I5,"&gt;0"),0)</f>
        <v>0.68223057644110274</v>
      </c>
      <c r="K5" s="35" t="str">
        <f t="shared" ref="K5:K36" ca="1" si="0">IF(J5&gt;=0.65,"达成","未达成")</f>
        <v>达成</v>
      </c>
    </row>
    <row r="6" spans="1:14" x14ac:dyDescent="0.25">
      <c r="A6" s="31" t="str">
        <f>成绩!$A6</f>
        <v>201824100553</v>
      </c>
      <c r="B6" s="26" t="str">
        <f>成绩!$B6</f>
        <v>徐冰莹</v>
      </c>
      <c r="C6" s="32">
        <f ca="1">IFERROR(课程目标得分!C6/INDEX(CO_TScore,1),0)</f>
        <v>0.7</v>
      </c>
      <c r="D6" s="32">
        <f ca="1">IFERROR(课程目标得分!D6/INDEX(CO_TScore,2),0)</f>
        <v>0.8052631578947369</v>
      </c>
      <c r="E6" s="32">
        <f ca="1">IFERROR(课程目标得分!E6/INDEX(CO_TScore,3),0)</f>
        <v>0.7</v>
      </c>
      <c r="F6" s="32">
        <f ca="1">IFERROR(课程目标得分!F6/INDEX(CO_TScore,4),0)</f>
        <v>0.60476190476190472</v>
      </c>
      <c r="G6" s="32">
        <f ca="1">IFERROR(课程目标得分!G6/INDEX(CO_TScore,5),0)</f>
        <v>0</v>
      </c>
      <c r="H6" s="32">
        <f ca="1">IFERROR(课程目标得分!H6/INDEX(CO_TScore,6),0)</f>
        <v>0</v>
      </c>
      <c r="I6" s="32">
        <f ca="1">IFERROR(课程目标得分!I6/INDEX(CO_TScore,7),0)</f>
        <v>0</v>
      </c>
      <c r="J6" s="34">
        <f t="shared" ref="J6:J62" ca="1" si="1">IFERROR(AVERAGEIF(C6:I6,"&gt;0"),0)</f>
        <v>0.70250626566416041</v>
      </c>
      <c r="K6" s="35" t="str">
        <f t="shared" ca="1" si="0"/>
        <v>达成</v>
      </c>
    </row>
    <row r="7" spans="1:14" x14ac:dyDescent="0.25">
      <c r="A7" s="31" t="str">
        <f>成绩!$A7</f>
        <v>201824100842</v>
      </c>
      <c r="B7" s="26" t="str">
        <f>成绩!$B7</f>
        <v>王晓</v>
      </c>
      <c r="C7" s="32">
        <f ca="1">IFERROR(课程目标得分!C7/INDEX(CO_TScore,1),0)</f>
        <v>0.87</v>
      </c>
      <c r="D7" s="32">
        <f ca="1">IFERROR(课程目标得分!D7/INDEX(CO_TScore,2),0)</f>
        <v>0.9</v>
      </c>
      <c r="E7" s="32">
        <f ca="1">IFERROR(课程目标得分!E7/INDEX(CO_TScore,3),0)</f>
        <v>0.87</v>
      </c>
      <c r="F7" s="32">
        <f ca="1">IFERROR(课程目标得分!F7/INDEX(CO_TScore,4),0)</f>
        <v>0.84285714285714286</v>
      </c>
      <c r="G7" s="32">
        <f ca="1">IFERROR(课程目标得分!G7/INDEX(CO_TScore,5),0)</f>
        <v>0</v>
      </c>
      <c r="H7" s="32">
        <f ca="1">IFERROR(课程目标得分!H7/INDEX(CO_TScore,6),0)</f>
        <v>0</v>
      </c>
      <c r="I7" s="32">
        <f ca="1">IFERROR(课程目标得分!I7/INDEX(CO_TScore,7),0)</f>
        <v>0</v>
      </c>
      <c r="J7" s="34">
        <f t="shared" ca="1" si="1"/>
        <v>0.87071428571428577</v>
      </c>
      <c r="K7" s="35" t="str">
        <f t="shared" ca="1" si="0"/>
        <v>达成</v>
      </c>
    </row>
    <row r="8" spans="1:14" x14ac:dyDescent="0.25">
      <c r="A8" s="31" t="str">
        <f>成绩!$A8</f>
        <v>201824100155</v>
      </c>
      <c r="B8" s="26" t="str">
        <f>成绩!$B8</f>
        <v>杨好</v>
      </c>
      <c r="C8" s="32">
        <f ca="1">IFERROR(课程目标得分!C8/INDEX(CO_TScore,1),0)</f>
        <v>0.66999999999999993</v>
      </c>
      <c r="D8" s="32">
        <f ca="1">IFERROR(课程目标得分!D8/INDEX(CO_TScore,2),0)</f>
        <v>0.75789473684210529</v>
      </c>
      <c r="E8" s="32">
        <f ca="1">IFERROR(课程目标得分!E8/INDEX(CO_TScore,3),0)</f>
        <v>0.66999999999999993</v>
      </c>
      <c r="F8" s="32">
        <f ca="1">IFERROR(课程目标得分!F8/INDEX(CO_TScore,4),0)</f>
        <v>0.5904761904761906</v>
      </c>
      <c r="G8" s="32">
        <f ca="1">IFERROR(课程目标得分!G8/INDEX(CO_TScore,5),0)</f>
        <v>0</v>
      </c>
      <c r="H8" s="32">
        <f ca="1">IFERROR(课程目标得分!H8/INDEX(CO_TScore,6),0)</f>
        <v>0</v>
      </c>
      <c r="I8" s="32">
        <f ca="1">IFERROR(课程目标得分!I8/INDEX(CO_TScore,7),0)</f>
        <v>0</v>
      </c>
      <c r="J8" s="34">
        <f t="shared" ca="1" si="1"/>
        <v>0.67209273182957396</v>
      </c>
      <c r="K8" s="35" t="str">
        <f t="shared" ca="1" si="0"/>
        <v>达成</v>
      </c>
    </row>
    <row r="9" spans="1:14" x14ac:dyDescent="0.25">
      <c r="A9" s="31" t="str">
        <f>成绩!$A9</f>
        <v>201824100342</v>
      </c>
      <c r="B9" s="26" t="str">
        <f>成绩!$B9</f>
        <v>王汝嘉</v>
      </c>
      <c r="C9" s="32">
        <f ca="1">IFERROR(课程目标得分!C9/INDEX(CO_TScore,1),0)</f>
        <v>0.77999999999999992</v>
      </c>
      <c r="D9" s="32">
        <f ca="1">IFERROR(课程目标得分!D9/INDEX(CO_TScore,2),0)</f>
        <v>0.82631578947368423</v>
      </c>
      <c r="E9" s="32">
        <f ca="1">IFERROR(课程目标得分!E9/INDEX(CO_TScore,3),0)</f>
        <v>0.77999999999999992</v>
      </c>
      <c r="F9" s="32">
        <f ca="1">IFERROR(课程目标得分!F9/INDEX(CO_TScore,4),0)</f>
        <v>0.73809523809523814</v>
      </c>
      <c r="G9" s="32">
        <f ca="1">IFERROR(课程目标得分!G9/INDEX(CO_TScore,5),0)</f>
        <v>0</v>
      </c>
      <c r="H9" s="32">
        <f ca="1">IFERROR(课程目标得分!H9/INDEX(CO_TScore,6),0)</f>
        <v>0</v>
      </c>
      <c r="I9" s="32">
        <f ca="1">IFERROR(课程目标得分!I9/INDEX(CO_TScore,7),0)</f>
        <v>0</v>
      </c>
      <c r="J9" s="34">
        <f t="shared" ca="1" si="1"/>
        <v>0.78110275689223052</v>
      </c>
      <c r="K9" s="35" t="str">
        <f t="shared" ca="1" si="0"/>
        <v>达成</v>
      </c>
    </row>
    <row r="10" spans="1:14" x14ac:dyDescent="0.25">
      <c r="A10" s="31" t="str">
        <f>成绩!$A10</f>
        <v>201824100640</v>
      </c>
      <c r="B10" s="26" t="str">
        <f>成绩!$B10</f>
        <v>王梦瑶</v>
      </c>
      <c r="C10" s="32">
        <f ca="1">IFERROR(课程目标得分!C10/INDEX(CO_TScore,1),0)</f>
        <v>0.8</v>
      </c>
      <c r="D10" s="32">
        <f ca="1">IFERROR(课程目标得分!D10/INDEX(CO_TScore,2),0)</f>
        <v>0.86315789473684201</v>
      </c>
      <c r="E10" s="32">
        <f ca="1">IFERROR(课程目标得分!E10/INDEX(CO_TScore,3),0)</f>
        <v>0.8</v>
      </c>
      <c r="F10" s="32">
        <f ca="1">IFERROR(课程目标得分!F10/INDEX(CO_TScore,4),0)</f>
        <v>0.74285714285714288</v>
      </c>
      <c r="G10" s="32">
        <f ca="1">IFERROR(课程目标得分!G10/INDEX(CO_TScore,5),0)</f>
        <v>0</v>
      </c>
      <c r="H10" s="32">
        <f ca="1">IFERROR(课程目标得分!H10/INDEX(CO_TScore,6),0)</f>
        <v>0</v>
      </c>
      <c r="I10" s="32">
        <f ca="1">IFERROR(课程目标得分!I10/INDEX(CO_TScore,7),0)</f>
        <v>0</v>
      </c>
      <c r="J10" s="34">
        <f t="shared" ca="1" si="1"/>
        <v>0.80150375939849616</v>
      </c>
      <c r="K10" s="35" t="str">
        <f t="shared" ca="1" si="0"/>
        <v>达成</v>
      </c>
    </row>
    <row r="11" spans="1:14" x14ac:dyDescent="0.25">
      <c r="A11" s="31" t="str">
        <f>成绩!$A11</f>
        <v>201824100512</v>
      </c>
      <c r="B11" s="26" t="str">
        <f>成绩!$B11</f>
        <v>郭晓澎</v>
      </c>
      <c r="C11" s="32">
        <f ca="1">IFERROR(课程目标得分!C11/INDEX(CO_TScore,1),0)</f>
        <v>0.76</v>
      </c>
      <c r="D11" s="32">
        <f ca="1">IFERROR(课程目标得分!D11/INDEX(CO_TScore,2),0)</f>
        <v>0.82631578947368423</v>
      </c>
      <c r="E11" s="32">
        <f ca="1">IFERROR(课程目标得分!E11/INDEX(CO_TScore,3),0)</f>
        <v>0.76</v>
      </c>
      <c r="F11" s="32">
        <f ca="1">IFERROR(课程目标得分!F11/INDEX(CO_TScore,4),0)</f>
        <v>0.7</v>
      </c>
      <c r="G11" s="32">
        <f ca="1">IFERROR(课程目标得分!G11/INDEX(CO_TScore,5),0)</f>
        <v>0</v>
      </c>
      <c r="H11" s="32">
        <f ca="1">IFERROR(课程目标得分!H11/INDEX(CO_TScore,6),0)</f>
        <v>0</v>
      </c>
      <c r="I11" s="32">
        <f ca="1">IFERROR(课程目标得分!I11/INDEX(CO_TScore,7),0)</f>
        <v>0</v>
      </c>
      <c r="J11" s="34">
        <f t="shared" ca="1" si="1"/>
        <v>0.76157894736842113</v>
      </c>
      <c r="K11" s="35" t="str">
        <f t="shared" ca="1" si="0"/>
        <v>达成</v>
      </c>
    </row>
    <row r="12" spans="1:14" x14ac:dyDescent="0.25">
      <c r="A12" s="31" t="str">
        <f>成绩!$A12</f>
        <v>201824100851</v>
      </c>
      <c r="B12" s="26" t="str">
        <f>成绩!$B12</f>
        <v>杨易文</v>
      </c>
      <c r="C12" s="32">
        <f ca="1">IFERROR(课程目标得分!C12/INDEX(CO_TScore,1),0)</f>
        <v>0.95</v>
      </c>
      <c r="D12" s="32">
        <f ca="1">IFERROR(课程目标得分!D12/INDEX(CO_TScore,2),0)</f>
        <v>0.94736842105263153</v>
      </c>
      <c r="E12" s="32">
        <f ca="1">IFERROR(课程目标得分!E12/INDEX(CO_TScore,3),0)</f>
        <v>0.95</v>
      </c>
      <c r="F12" s="32">
        <f ca="1">IFERROR(课程目标得分!F12/INDEX(CO_TScore,4),0)</f>
        <v>0.95238095238095233</v>
      </c>
      <c r="G12" s="32">
        <f ca="1">IFERROR(课程目标得分!G12/INDEX(CO_TScore,5),0)</f>
        <v>0</v>
      </c>
      <c r="H12" s="32">
        <f ca="1">IFERROR(课程目标得分!H12/INDEX(CO_TScore,6),0)</f>
        <v>0</v>
      </c>
      <c r="I12" s="32">
        <f ca="1">IFERROR(课程目标得分!I12/INDEX(CO_TScore,7),0)</f>
        <v>0</v>
      </c>
      <c r="J12" s="34">
        <f t="shared" ca="1" si="1"/>
        <v>0.94993734335839597</v>
      </c>
      <c r="K12" s="35" t="str">
        <f t="shared" ca="1" si="0"/>
        <v>达成</v>
      </c>
    </row>
    <row r="13" spans="1:14" x14ac:dyDescent="0.25">
      <c r="A13" s="31" t="str">
        <f>成绩!$A13</f>
        <v>201824100313</v>
      </c>
      <c r="B13" s="26" t="str">
        <f>成绩!$B13</f>
        <v>费宣烨</v>
      </c>
      <c r="C13" s="32">
        <f ca="1">IFERROR(课程目标得分!C13/INDEX(CO_TScore,1),0)</f>
        <v>0.75</v>
      </c>
      <c r="D13" s="32">
        <f ca="1">IFERROR(课程目标得分!D13/INDEX(CO_TScore,2),0)</f>
        <v>0.82631578947368423</v>
      </c>
      <c r="E13" s="32">
        <f ca="1">IFERROR(课程目标得分!E13/INDEX(CO_TScore,3),0)</f>
        <v>0.75</v>
      </c>
      <c r="F13" s="32">
        <f ca="1">IFERROR(课程目标得分!F13/INDEX(CO_TScore,4),0)</f>
        <v>0.68095238095238098</v>
      </c>
      <c r="G13" s="32">
        <f ca="1">IFERROR(课程目标得分!G13/INDEX(CO_TScore,5),0)</f>
        <v>0</v>
      </c>
      <c r="H13" s="32">
        <f ca="1">IFERROR(课程目标得分!H13/INDEX(CO_TScore,6),0)</f>
        <v>0</v>
      </c>
      <c r="I13" s="32">
        <f ca="1">IFERROR(课程目标得分!I13/INDEX(CO_TScore,7),0)</f>
        <v>0</v>
      </c>
      <c r="J13" s="34">
        <f t="shared" ca="1" si="1"/>
        <v>0.75181704260651627</v>
      </c>
      <c r="K13" s="35" t="str">
        <f t="shared" ca="1" si="0"/>
        <v>达成</v>
      </c>
    </row>
    <row r="14" spans="1:14" x14ac:dyDescent="0.25">
      <c r="A14" s="31" t="str">
        <f>成绩!$A14</f>
        <v>201824100559</v>
      </c>
      <c r="B14" s="26" t="str">
        <f>成绩!$B14</f>
        <v>展闯</v>
      </c>
      <c r="C14" s="32">
        <f ca="1">IFERROR(课程目标得分!C14/INDEX(CO_TScore,1),0)</f>
        <v>0.73</v>
      </c>
      <c r="D14" s="32">
        <f ca="1">IFERROR(课程目标得分!D14/INDEX(CO_TScore,2),0)</f>
        <v>0.84210526315789469</v>
      </c>
      <c r="E14" s="32">
        <f ca="1">IFERROR(课程目标得分!E14/INDEX(CO_TScore,3),0)</f>
        <v>0.73</v>
      </c>
      <c r="F14" s="32">
        <f ca="1">IFERROR(课程目标得分!F14/INDEX(CO_TScore,4),0)</f>
        <v>0.62857142857142867</v>
      </c>
      <c r="G14" s="32">
        <f ca="1">IFERROR(课程目标得分!G14/INDEX(CO_TScore,5),0)</f>
        <v>0</v>
      </c>
      <c r="H14" s="32">
        <f ca="1">IFERROR(课程目标得分!H14/INDEX(CO_TScore,6),0)</f>
        <v>0</v>
      </c>
      <c r="I14" s="32">
        <f ca="1">IFERROR(课程目标得分!I14/INDEX(CO_TScore,7),0)</f>
        <v>0</v>
      </c>
      <c r="J14" s="34">
        <f t="shared" ca="1" si="1"/>
        <v>0.7326691729323308</v>
      </c>
      <c r="K14" s="35" t="str">
        <f t="shared" ca="1" si="0"/>
        <v>达成</v>
      </c>
    </row>
    <row r="15" spans="1:14" x14ac:dyDescent="0.25">
      <c r="A15" s="31" t="str">
        <f>成绩!$A15</f>
        <v>201824100856</v>
      </c>
      <c r="B15" s="26" t="str">
        <f>成绩!$B15</f>
        <v>张雅琪</v>
      </c>
      <c r="C15" s="32">
        <f ca="1">IFERROR(课程目标得分!C15/INDEX(CO_TScore,1),0)</f>
        <v>0.73</v>
      </c>
      <c r="D15" s="32">
        <f ca="1">IFERROR(课程目标得分!D15/INDEX(CO_TScore,2),0)</f>
        <v>0.8</v>
      </c>
      <c r="E15" s="32">
        <f ca="1">IFERROR(课程目标得分!E15/INDEX(CO_TScore,3),0)</f>
        <v>0.73</v>
      </c>
      <c r="F15" s="32">
        <f ca="1">IFERROR(课程目标得分!F15/INDEX(CO_TScore,4),0)</f>
        <v>0.66666666666666663</v>
      </c>
      <c r="G15" s="32">
        <f ca="1">IFERROR(课程目标得分!G15/INDEX(CO_TScore,5),0)</f>
        <v>0</v>
      </c>
      <c r="H15" s="32">
        <f ca="1">IFERROR(课程目标得分!H15/INDEX(CO_TScore,6),0)</f>
        <v>0</v>
      </c>
      <c r="I15" s="32">
        <f ca="1">IFERROR(课程目标得分!I15/INDEX(CO_TScore,7),0)</f>
        <v>0</v>
      </c>
      <c r="J15" s="34">
        <f t="shared" ca="1" si="1"/>
        <v>0.73166666666666658</v>
      </c>
      <c r="K15" s="35" t="str">
        <f t="shared" ca="1" si="0"/>
        <v>达成</v>
      </c>
    </row>
    <row r="16" spans="1:14" x14ac:dyDescent="0.25">
      <c r="A16" s="31" t="str">
        <f>成绩!$A16</f>
        <v>201824100339</v>
      </c>
      <c r="B16" s="26" t="str">
        <f>成绩!$B16</f>
        <v>唐正强</v>
      </c>
      <c r="C16" s="32">
        <f ca="1">IFERROR(课程目标得分!C16/INDEX(CO_TScore,1),0)</f>
        <v>0.59000000000000008</v>
      </c>
      <c r="D16" s="32">
        <f ca="1">IFERROR(课程目标得分!D16/INDEX(CO_TScore,2),0)</f>
        <v>0.70526315789473693</v>
      </c>
      <c r="E16" s="32">
        <f ca="1">IFERROR(课程目标得分!E16/INDEX(CO_TScore,3),0)</f>
        <v>0.59000000000000008</v>
      </c>
      <c r="F16" s="32">
        <f ca="1">IFERROR(课程目标得分!F16/INDEX(CO_TScore,4),0)</f>
        <v>0.48571428571428565</v>
      </c>
      <c r="G16" s="32">
        <f ca="1">IFERROR(课程目标得分!G16/INDEX(CO_TScore,5),0)</f>
        <v>0</v>
      </c>
      <c r="H16" s="32">
        <f ca="1">IFERROR(课程目标得分!H16/INDEX(CO_TScore,6),0)</f>
        <v>0</v>
      </c>
      <c r="I16" s="32">
        <f ca="1">IFERROR(课程目标得分!I16/INDEX(CO_TScore,7),0)</f>
        <v>0</v>
      </c>
      <c r="J16" s="34">
        <f t="shared" ca="1" si="1"/>
        <v>0.59274436090225568</v>
      </c>
      <c r="K16" s="35" t="str">
        <f t="shared" ca="1" si="0"/>
        <v>未达成</v>
      </c>
    </row>
    <row r="17" spans="1:11" x14ac:dyDescent="0.25">
      <c r="A17" s="31" t="str">
        <f>成绩!$A17</f>
        <v>201824100460</v>
      </c>
      <c r="B17" s="26" t="str">
        <f>成绩!$B17</f>
        <v>周李龙</v>
      </c>
      <c r="C17" s="32">
        <f ca="1">IFERROR(课程目标得分!C17/INDEX(CO_TScore,1),0)</f>
        <v>0.55000000000000004</v>
      </c>
      <c r="D17" s="32">
        <f ca="1">IFERROR(课程目标得分!D17/INDEX(CO_TScore,2),0)</f>
        <v>0.7</v>
      </c>
      <c r="E17" s="32">
        <f ca="1">IFERROR(课程目标得分!E17/INDEX(CO_TScore,3),0)</f>
        <v>0.55000000000000004</v>
      </c>
      <c r="F17" s="32">
        <f ca="1">IFERROR(课程目标得分!F17/INDEX(CO_TScore,4),0)</f>
        <v>0.41428571428571426</v>
      </c>
      <c r="G17" s="32">
        <f ca="1">IFERROR(课程目标得分!G17/INDEX(CO_TScore,5),0)</f>
        <v>0</v>
      </c>
      <c r="H17" s="32">
        <f ca="1">IFERROR(课程目标得分!H17/INDEX(CO_TScore,6),0)</f>
        <v>0</v>
      </c>
      <c r="I17" s="32">
        <f ca="1">IFERROR(课程目标得分!I17/INDEX(CO_TScore,7),0)</f>
        <v>0</v>
      </c>
      <c r="J17" s="34">
        <f t="shared" ca="1" si="1"/>
        <v>0.5535714285714286</v>
      </c>
      <c r="K17" s="35" t="str">
        <f t="shared" ca="1" si="0"/>
        <v>未达成</v>
      </c>
    </row>
    <row r="18" spans="1:11" x14ac:dyDescent="0.25">
      <c r="A18" s="31" t="str">
        <f>成绩!$A18</f>
        <v>201824100601</v>
      </c>
      <c r="B18" s="26" t="str">
        <f>成绩!$B18</f>
        <v>白耀庭</v>
      </c>
      <c r="C18" s="32">
        <f ca="1">IFERROR(课程目标得分!C18/INDEX(CO_TScore,1),0)</f>
        <v>0.63</v>
      </c>
      <c r="D18" s="32">
        <f ca="1">IFERROR(课程目标得分!D18/INDEX(CO_TScore,2),0)</f>
        <v>0.73684210526315785</v>
      </c>
      <c r="E18" s="32">
        <f ca="1">IFERROR(课程目标得分!E18/INDEX(CO_TScore,3),0)</f>
        <v>0.63</v>
      </c>
      <c r="F18" s="32">
        <f ca="1">IFERROR(课程目标得分!F18/INDEX(CO_TScore,4),0)</f>
        <v>0.53333333333333344</v>
      </c>
      <c r="G18" s="32">
        <f ca="1">IFERROR(课程目标得分!G18/INDEX(CO_TScore,5),0)</f>
        <v>0</v>
      </c>
      <c r="H18" s="32">
        <f ca="1">IFERROR(课程目标得分!H18/INDEX(CO_TScore,6),0)</f>
        <v>0</v>
      </c>
      <c r="I18" s="32">
        <f ca="1">IFERROR(课程目标得分!I18/INDEX(CO_TScore,7),0)</f>
        <v>0</v>
      </c>
      <c r="J18" s="34">
        <f t="shared" ca="1" si="1"/>
        <v>0.63254385964912285</v>
      </c>
      <c r="K18" s="35" t="str">
        <f t="shared" ca="1" si="0"/>
        <v>未达成</v>
      </c>
    </row>
    <row r="19" spans="1:11" x14ac:dyDescent="0.25">
      <c r="A19" s="31" t="str">
        <f>成绩!$A19</f>
        <v>201824100120</v>
      </c>
      <c r="B19" s="26" t="str">
        <f>成绩!$B19</f>
        <v>黄增宇</v>
      </c>
      <c r="C19" s="32">
        <f ca="1">IFERROR(课程目标得分!C19/INDEX(CO_TScore,1),0)</f>
        <v>0.8</v>
      </c>
      <c r="D19" s="32">
        <f ca="1">IFERROR(课程目标得分!D19/INDEX(CO_TScore,2),0)</f>
        <v>0.87894736842105259</v>
      </c>
      <c r="E19" s="32">
        <f ca="1">IFERROR(课程目标得分!E19/INDEX(CO_TScore,3),0)</f>
        <v>0.8</v>
      </c>
      <c r="F19" s="32">
        <f ca="1">IFERROR(课程目标得分!F19/INDEX(CO_TScore,4),0)</f>
        <v>0.72857142857142865</v>
      </c>
      <c r="G19" s="32">
        <f ca="1">IFERROR(课程目标得分!G19/INDEX(CO_TScore,5),0)</f>
        <v>0</v>
      </c>
      <c r="H19" s="32">
        <f ca="1">IFERROR(课程目标得分!H19/INDEX(CO_TScore,6),0)</f>
        <v>0</v>
      </c>
      <c r="I19" s="32">
        <f ca="1">IFERROR(课程目标得分!I19/INDEX(CO_TScore,7),0)</f>
        <v>0</v>
      </c>
      <c r="J19" s="34">
        <f t="shared" ca="1" si="1"/>
        <v>0.8018796992481203</v>
      </c>
      <c r="K19" s="35" t="str">
        <f t="shared" ca="1" si="0"/>
        <v>达成</v>
      </c>
    </row>
    <row r="20" spans="1:11" x14ac:dyDescent="0.25">
      <c r="A20" s="31" t="str">
        <f>成绩!$A20</f>
        <v>201824100805</v>
      </c>
      <c r="B20" s="26" t="str">
        <f>成绩!$B20</f>
        <v>程可</v>
      </c>
      <c r="C20" s="32">
        <f ca="1">IFERROR(课程目标得分!C20/INDEX(CO_TScore,1),0)</f>
        <v>0.56000000000000005</v>
      </c>
      <c r="D20" s="32">
        <f ca="1">IFERROR(课程目标得分!D20/INDEX(CO_TScore,2),0)</f>
        <v>0.68421052631578949</v>
      </c>
      <c r="E20" s="32">
        <f ca="1">IFERROR(课程目标得分!E20/INDEX(CO_TScore,3),0)</f>
        <v>0.56000000000000005</v>
      </c>
      <c r="F20" s="32">
        <f ca="1">IFERROR(课程目标得分!F20/INDEX(CO_TScore,4),0)</f>
        <v>0.44761904761904764</v>
      </c>
      <c r="G20" s="32">
        <f ca="1">IFERROR(课程目标得分!G20/INDEX(CO_TScore,5),0)</f>
        <v>0</v>
      </c>
      <c r="H20" s="32">
        <f ca="1">IFERROR(课程目标得分!H20/INDEX(CO_TScore,6),0)</f>
        <v>0</v>
      </c>
      <c r="I20" s="32">
        <f ca="1">IFERROR(课程目标得分!I20/INDEX(CO_TScore,7),0)</f>
        <v>0</v>
      </c>
      <c r="J20" s="34">
        <f t="shared" ca="1" si="1"/>
        <v>0.56295739348370932</v>
      </c>
      <c r="K20" s="35" t="str">
        <f t="shared" ca="1" si="0"/>
        <v>未达成</v>
      </c>
    </row>
    <row r="21" spans="1:11" x14ac:dyDescent="0.25">
      <c r="A21" s="31" t="str">
        <f>成绩!$A21</f>
        <v>201824100849</v>
      </c>
      <c r="B21" s="26" t="str">
        <f>成绩!$B21</f>
        <v>许文洲</v>
      </c>
      <c r="C21" s="32">
        <f ca="1">IFERROR(课程目标得分!C21/INDEX(CO_TScore,1),0)</f>
        <v>0.47000000000000003</v>
      </c>
      <c r="D21" s="32">
        <f ca="1">IFERROR(课程目标得分!D21/INDEX(CO_TScore,2),0)</f>
        <v>0.61052631578947369</v>
      </c>
      <c r="E21" s="32">
        <f ca="1">IFERROR(课程目标得分!E21/INDEX(CO_TScore,3),0)</f>
        <v>0.47000000000000003</v>
      </c>
      <c r="F21" s="32">
        <f ca="1">IFERROR(课程目标得分!F21/INDEX(CO_TScore,4),0)</f>
        <v>0.34285714285714286</v>
      </c>
      <c r="G21" s="32">
        <f ca="1">IFERROR(课程目标得分!G21/INDEX(CO_TScore,5),0)</f>
        <v>0</v>
      </c>
      <c r="H21" s="32">
        <f ca="1">IFERROR(课程目标得分!H21/INDEX(CO_TScore,6),0)</f>
        <v>0</v>
      </c>
      <c r="I21" s="32">
        <f ca="1">IFERROR(课程目标得分!I21/INDEX(CO_TScore,7),0)</f>
        <v>0</v>
      </c>
      <c r="J21" s="34">
        <f t="shared" ca="1" si="1"/>
        <v>0.47334586466165418</v>
      </c>
      <c r="K21" s="35" t="str">
        <f t="shared" ca="1" si="0"/>
        <v>未达成</v>
      </c>
    </row>
    <row r="22" spans="1:11" x14ac:dyDescent="0.25">
      <c r="A22" s="31" t="str">
        <f>成绩!$A22</f>
        <v>201824100317</v>
      </c>
      <c r="B22" s="26" t="str">
        <f>成绩!$B22</f>
        <v>郭星男</v>
      </c>
      <c r="C22" s="32">
        <f ca="1">IFERROR(课程目标得分!C22/INDEX(CO_TScore,1),0)</f>
        <v>0.85999999999999988</v>
      </c>
      <c r="D22" s="32">
        <f ca="1">IFERROR(课程目标得分!D22/INDEX(CO_TScore,2),0)</f>
        <v>0.89473684210526316</v>
      </c>
      <c r="E22" s="32">
        <f ca="1">IFERROR(课程目标得分!E22/INDEX(CO_TScore,3),0)</f>
        <v>0.85999999999999988</v>
      </c>
      <c r="F22" s="32">
        <f ca="1">IFERROR(课程目标得分!F22/INDEX(CO_TScore,4),0)</f>
        <v>0.82857142857142851</v>
      </c>
      <c r="G22" s="32">
        <f ca="1">IFERROR(课程目标得分!G22/INDEX(CO_TScore,5),0)</f>
        <v>0</v>
      </c>
      <c r="H22" s="32">
        <f ca="1">IFERROR(课程目标得分!H22/INDEX(CO_TScore,6),0)</f>
        <v>0</v>
      </c>
      <c r="I22" s="32">
        <f ca="1">IFERROR(课程目标得分!I22/INDEX(CO_TScore,7),0)</f>
        <v>0</v>
      </c>
      <c r="J22" s="34">
        <f t="shared" ca="1" si="1"/>
        <v>0.86082706766917294</v>
      </c>
      <c r="K22" s="35" t="str">
        <f t="shared" ca="1" si="0"/>
        <v>达成</v>
      </c>
    </row>
    <row r="23" spans="1:11" x14ac:dyDescent="0.25">
      <c r="A23" s="31" t="str">
        <f>成绩!$A23</f>
        <v>201824100464</v>
      </c>
      <c r="B23" s="26" t="str">
        <f>成绩!$B23</f>
        <v>左昊广</v>
      </c>
      <c r="C23" s="32">
        <f ca="1">IFERROR(课程目标得分!C23/INDEX(CO_TScore,1),0)</f>
        <v>0.78999999999999992</v>
      </c>
      <c r="D23" s="32">
        <f ca="1">IFERROR(课程目标得分!D23/INDEX(CO_TScore,2),0)</f>
        <v>0.83684210526315794</v>
      </c>
      <c r="E23" s="32">
        <f ca="1">IFERROR(课程目标得分!E23/INDEX(CO_TScore,3),0)</f>
        <v>0.78999999999999992</v>
      </c>
      <c r="F23" s="32">
        <f ca="1">IFERROR(课程目标得分!F23/INDEX(CO_TScore,4),0)</f>
        <v>0.74761904761904763</v>
      </c>
      <c r="G23" s="32">
        <f ca="1">IFERROR(课程目标得分!G23/INDEX(CO_TScore,5),0)</f>
        <v>0</v>
      </c>
      <c r="H23" s="32">
        <f ca="1">IFERROR(课程目标得分!H23/INDEX(CO_TScore,6),0)</f>
        <v>0</v>
      </c>
      <c r="I23" s="32">
        <f ca="1">IFERROR(课程目标得分!I23/INDEX(CO_TScore,7),0)</f>
        <v>0</v>
      </c>
      <c r="J23" s="34">
        <f t="shared" ca="1" si="1"/>
        <v>0.79111528822055133</v>
      </c>
      <c r="K23" s="35" t="str">
        <f t="shared" ca="1" si="0"/>
        <v>达成</v>
      </c>
    </row>
    <row r="24" spans="1:11" x14ac:dyDescent="0.25">
      <c r="A24" s="31" t="str">
        <f>成绩!$A24</f>
        <v>201824100505</v>
      </c>
      <c r="B24" s="26" t="str">
        <f>成绩!$B24</f>
        <v>杜豫湘</v>
      </c>
      <c r="C24" s="32">
        <f ca="1">IFERROR(课程目标得分!C24/INDEX(CO_TScore,1),0)</f>
        <v>0.67999999999999994</v>
      </c>
      <c r="D24" s="32">
        <f ca="1">IFERROR(课程目标得分!D24/INDEX(CO_TScore,2),0)</f>
        <v>0.78947368421052633</v>
      </c>
      <c r="E24" s="32">
        <f ca="1">IFERROR(课程目标得分!E24/INDEX(CO_TScore,3),0)</f>
        <v>0.67999999999999994</v>
      </c>
      <c r="F24" s="32">
        <f ca="1">IFERROR(课程目标得分!F24/INDEX(CO_TScore,4),0)</f>
        <v>0.580952380952381</v>
      </c>
      <c r="G24" s="32">
        <f ca="1">IFERROR(课程目标得分!G24/INDEX(CO_TScore,5),0)</f>
        <v>0</v>
      </c>
      <c r="H24" s="32">
        <f ca="1">IFERROR(课程目标得分!H24/INDEX(CO_TScore,6),0)</f>
        <v>0</v>
      </c>
      <c r="I24" s="32">
        <f ca="1">IFERROR(课程目标得分!I24/INDEX(CO_TScore,7),0)</f>
        <v>0</v>
      </c>
      <c r="J24" s="34">
        <f t="shared" ca="1" si="1"/>
        <v>0.68260651629072677</v>
      </c>
      <c r="K24" s="35" t="str">
        <f t="shared" ca="1" si="0"/>
        <v>达成</v>
      </c>
    </row>
    <row r="25" spans="1:11" x14ac:dyDescent="0.25">
      <c r="A25" s="31" t="str">
        <f>成绩!$A25</f>
        <v>201824100116</v>
      </c>
      <c r="B25" s="26" t="str">
        <f>成绩!$B25</f>
        <v>郝伟科</v>
      </c>
      <c r="C25" s="32">
        <f ca="1">IFERROR(课程目标得分!C25/INDEX(CO_TScore,1),0)</f>
        <v>0.73</v>
      </c>
      <c r="D25" s="32">
        <f ca="1">IFERROR(课程目标得分!D25/INDEX(CO_TScore,2),0)</f>
        <v>0.78421052631578936</v>
      </c>
      <c r="E25" s="32">
        <f ca="1">IFERROR(课程目标得分!E25/INDEX(CO_TScore,3),0)</f>
        <v>0.73</v>
      </c>
      <c r="F25" s="32">
        <f ca="1">IFERROR(课程目标得分!F25/INDEX(CO_TScore,4),0)</f>
        <v>0.68095238095238098</v>
      </c>
      <c r="G25" s="32">
        <f ca="1">IFERROR(课程目标得分!G25/INDEX(CO_TScore,5),0)</f>
        <v>0</v>
      </c>
      <c r="H25" s="32">
        <f ca="1">IFERROR(课程目标得分!H25/INDEX(CO_TScore,6),0)</f>
        <v>0</v>
      </c>
      <c r="I25" s="32">
        <f ca="1">IFERROR(课程目标得分!I25/INDEX(CO_TScore,7),0)</f>
        <v>0</v>
      </c>
      <c r="J25" s="34">
        <f t="shared" ca="1" si="1"/>
        <v>0.73129072681704255</v>
      </c>
      <c r="K25" s="35" t="str">
        <f t="shared" ca="1" si="0"/>
        <v>达成</v>
      </c>
    </row>
    <row r="26" spans="1:11" x14ac:dyDescent="0.25">
      <c r="A26" s="31" t="str">
        <f>成绩!$A26</f>
        <v>201824100109</v>
      </c>
      <c r="B26" s="26" t="str">
        <f>成绩!$B26</f>
        <v>成佳伟</v>
      </c>
      <c r="C26" s="32">
        <f ca="1">IFERROR(课程目标得分!C26/INDEX(CO_TScore,1),0)</f>
        <v>0.94</v>
      </c>
      <c r="D26" s="32">
        <f ca="1">IFERROR(课程目标得分!D26/INDEX(CO_TScore,2),0)</f>
        <v>0.96842105263157885</v>
      </c>
      <c r="E26" s="32">
        <f ca="1">IFERROR(课程目标得分!E26/INDEX(CO_TScore,3),0)</f>
        <v>0.94</v>
      </c>
      <c r="F26" s="32">
        <f ca="1">IFERROR(课程目标得分!F26/INDEX(CO_TScore,4),0)</f>
        <v>0.91428571428571426</v>
      </c>
      <c r="G26" s="32">
        <f ca="1">IFERROR(课程目标得分!G26/INDEX(CO_TScore,5),0)</f>
        <v>0</v>
      </c>
      <c r="H26" s="32">
        <f ca="1">IFERROR(课程目标得分!H26/INDEX(CO_TScore,6),0)</f>
        <v>0</v>
      </c>
      <c r="I26" s="32">
        <f ca="1">IFERROR(课程目标得分!I26/INDEX(CO_TScore,7),0)</f>
        <v>0</v>
      </c>
      <c r="J26" s="34">
        <f t="shared" ca="1" si="1"/>
        <v>0.94067669172932322</v>
      </c>
      <c r="K26" s="35" t="str">
        <f t="shared" ca="1" si="0"/>
        <v>达成</v>
      </c>
    </row>
    <row r="27" spans="1:11" x14ac:dyDescent="0.25">
      <c r="A27" s="31" t="str">
        <f>成绩!$A27</f>
        <v>201824100720</v>
      </c>
      <c r="B27" s="26" t="str">
        <f>成绩!$B27</f>
        <v>李越强</v>
      </c>
      <c r="C27" s="32">
        <f ca="1">IFERROR(课程目标得分!C27/INDEX(CO_TScore,1),0)</f>
        <v>0.95999999999999985</v>
      </c>
      <c r="D27" s="32">
        <f ca="1">IFERROR(课程目标得分!D27/INDEX(CO_TScore,2),0)</f>
        <v>0.96842105263157885</v>
      </c>
      <c r="E27" s="32">
        <f ca="1">IFERROR(课程目标得分!E27/INDEX(CO_TScore,3),0)</f>
        <v>0.95999999999999985</v>
      </c>
      <c r="F27" s="32">
        <f ca="1">IFERROR(课程目标得分!F27/INDEX(CO_TScore,4),0)</f>
        <v>0.95238095238095233</v>
      </c>
      <c r="G27" s="32">
        <f ca="1">IFERROR(课程目标得分!G27/INDEX(CO_TScore,5),0)</f>
        <v>0</v>
      </c>
      <c r="H27" s="32">
        <f ca="1">IFERROR(课程目标得分!H27/INDEX(CO_TScore,6),0)</f>
        <v>0</v>
      </c>
      <c r="I27" s="32">
        <f ca="1">IFERROR(课程目标得分!I27/INDEX(CO_TScore,7),0)</f>
        <v>0</v>
      </c>
      <c r="J27" s="34">
        <f t="shared" ca="1" si="1"/>
        <v>0.96020050125313272</v>
      </c>
      <c r="K27" s="35" t="str">
        <f t="shared" ca="1" si="0"/>
        <v>达成</v>
      </c>
    </row>
    <row r="28" spans="1:11" x14ac:dyDescent="0.25">
      <c r="A28" s="31" t="str">
        <f>成绩!$A28</f>
        <v>201824100261</v>
      </c>
      <c r="B28" s="26" t="str">
        <f>成绩!$B28</f>
        <v>张耀华</v>
      </c>
      <c r="C28" s="32">
        <f ca="1">IFERROR(课程目标得分!C28/INDEX(CO_TScore,1),0)</f>
        <v>0.57999999999999996</v>
      </c>
      <c r="D28" s="32">
        <f ca="1">IFERROR(课程目标得分!D28/INDEX(CO_TScore,2),0)</f>
        <v>0.68421052631578949</v>
      </c>
      <c r="E28" s="32">
        <f ca="1">IFERROR(课程目标得分!E28/INDEX(CO_TScore,3),0)</f>
        <v>0.57999999999999996</v>
      </c>
      <c r="F28" s="32">
        <f ca="1">IFERROR(课程目标得分!F28/INDEX(CO_TScore,4),0)</f>
        <v>0.48571428571428577</v>
      </c>
      <c r="G28" s="32">
        <f ca="1">IFERROR(课程目标得分!G28/INDEX(CO_TScore,5),0)</f>
        <v>0</v>
      </c>
      <c r="H28" s="32">
        <f ca="1">IFERROR(课程目标得分!H28/INDEX(CO_TScore,6),0)</f>
        <v>0</v>
      </c>
      <c r="I28" s="32">
        <f ca="1">IFERROR(课程目标得分!I28/INDEX(CO_TScore,7),0)</f>
        <v>0</v>
      </c>
      <c r="J28" s="34">
        <f t="shared" ca="1" si="1"/>
        <v>0.58248120300751882</v>
      </c>
      <c r="K28" s="35" t="str">
        <f t="shared" ca="1" si="0"/>
        <v>未达成</v>
      </c>
    </row>
    <row r="29" spans="1:11" x14ac:dyDescent="0.25">
      <c r="A29" s="31" t="str">
        <f>成绩!$A29</f>
        <v>201824100848</v>
      </c>
      <c r="B29" s="26" t="str">
        <f>成绩!$B29</f>
        <v>徐林浩</v>
      </c>
      <c r="C29" s="32">
        <f ca="1">IFERROR(课程目标得分!C29/INDEX(CO_TScore,1),0)</f>
        <v>0.84000000000000008</v>
      </c>
      <c r="D29" s="32">
        <f ca="1">IFERROR(课程目标得分!D29/INDEX(CO_TScore,2),0)</f>
        <v>0.9</v>
      </c>
      <c r="E29" s="32">
        <f ca="1">IFERROR(课程目标得分!E29/INDEX(CO_TScore,3),0)</f>
        <v>0.84000000000000008</v>
      </c>
      <c r="F29" s="32">
        <f ca="1">IFERROR(课程目标得分!F29/INDEX(CO_TScore,4),0)</f>
        <v>0.7857142857142857</v>
      </c>
      <c r="G29" s="32">
        <f ca="1">IFERROR(课程目标得分!G29/INDEX(CO_TScore,5),0)</f>
        <v>0</v>
      </c>
      <c r="H29" s="32">
        <f ca="1">IFERROR(课程目标得分!H29/INDEX(CO_TScore,6),0)</f>
        <v>0</v>
      </c>
      <c r="I29" s="32">
        <f ca="1">IFERROR(课程目标得分!I29/INDEX(CO_TScore,7),0)</f>
        <v>0</v>
      </c>
      <c r="J29" s="34">
        <f t="shared" ca="1" si="1"/>
        <v>0.84142857142857141</v>
      </c>
      <c r="K29" s="35" t="str">
        <f t="shared" ca="1" si="0"/>
        <v>达成</v>
      </c>
    </row>
    <row r="30" spans="1:11" x14ac:dyDescent="0.25">
      <c r="A30" s="31" t="str">
        <f>成绩!$A30</f>
        <v>201824100437</v>
      </c>
      <c r="B30" s="26" t="str">
        <f>成绩!$B30</f>
        <v>王佩瑶</v>
      </c>
      <c r="C30" s="32">
        <f ca="1">IFERROR(课程目标得分!C30/INDEX(CO_TScore,1),0)</f>
        <v>0.85999999999999988</v>
      </c>
      <c r="D30" s="32">
        <f ca="1">IFERROR(课程目标得分!D30/INDEX(CO_TScore,2),0)</f>
        <v>0.91052631578947374</v>
      </c>
      <c r="E30" s="32">
        <f ca="1">IFERROR(课程目标得分!E30/INDEX(CO_TScore,3),0)</f>
        <v>0.85999999999999988</v>
      </c>
      <c r="F30" s="32">
        <f ca="1">IFERROR(课程目标得分!F30/INDEX(CO_TScore,4),0)</f>
        <v>0.81428571428571439</v>
      </c>
      <c r="G30" s="32">
        <f ca="1">IFERROR(课程目标得分!G30/INDEX(CO_TScore,5),0)</f>
        <v>0</v>
      </c>
      <c r="H30" s="32">
        <f ca="1">IFERROR(课程目标得分!H30/INDEX(CO_TScore,6),0)</f>
        <v>0</v>
      </c>
      <c r="I30" s="32">
        <f ca="1">IFERROR(课程目标得分!I30/INDEX(CO_TScore,7),0)</f>
        <v>0</v>
      </c>
      <c r="J30" s="34">
        <f t="shared" ca="1" si="1"/>
        <v>0.86120300751879697</v>
      </c>
      <c r="K30" s="35" t="str">
        <f t="shared" ca="1" si="0"/>
        <v>达成</v>
      </c>
    </row>
    <row r="31" spans="1:11" x14ac:dyDescent="0.25">
      <c r="A31" s="31" t="str">
        <f>成绩!$A31</f>
        <v>201824100740</v>
      </c>
      <c r="B31" s="26" t="str">
        <f>成绩!$B31</f>
        <v>王祉杰</v>
      </c>
      <c r="C31" s="32">
        <f ca="1">IFERROR(课程目标得分!C31/INDEX(CO_TScore,1),0)</f>
        <v>0.69</v>
      </c>
      <c r="D31" s="32">
        <f ca="1">IFERROR(课程目标得分!D31/INDEX(CO_TScore,2),0)</f>
        <v>0.768421052631579</v>
      </c>
      <c r="E31" s="32">
        <f ca="1">IFERROR(课程目标得分!E31/INDEX(CO_TScore,3),0)</f>
        <v>0.69</v>
      </c>
      <c r="F31" s="32">
        <f ca="1">IFERROR(课程目标得分!F31/INDEX(CO_TScore,4),0)</f>
        <v>0.61904761904761907</v>
      </c>
      <c r="G31" s="32">
        <f ca="1">IFERROR(课程目标得分!G31/INDEX(CO_TScore,5),0)</f>
        <v>0</v>
      </c>
      <c r="H31" s="32">
        <f ca="1">IFERROR(课程目标得分!H31/INDEX(CO_TScore,6),0)</f>
        <v>0</v>
      </c>
      <c r="I31" s="32">
        <f ca="1">IFERROR(课程目标得分!I31/INDEX(CO_TScore,7),0)</f>
        <v>0</v>
      </c>
      <c r="J31" s="34">
        <f t="shared" ca="1" si="1"/>
        <v>0.69186716791979952</v>
      </c>
      <c r="K31" s="35" t="str">
        <f t="shared" ca="1" si="0"/>
        <v>达成</v>
      </c>
    </row>
    <row r="32" spans="1:11" x14ac:dyDescent="0.25">
      <c r="A32" s="31" t="str">
        <f>成绩!$A32</f>
        <v>201824100621</v>
      </c>
      <c r="B32" s="26" t="str">
        <f>成绩!$B32</f>
        <v>刘家祥</v>
      </c>
      <c r="C32" s="32">
        <f ca="1">IFERROR(课程目标得分!C32/INDEX(CO_TScore,1),0)</f>
        <v>0.59999999999999987</v>
      </c>
      <c r="D32" s="32">
        <f ca="1">IFERROR(课程目标得分!D32/INDEX(CO_TScore,2),0)</f>
        <v>0.74210526315789482</v>
      </c>
      <c r="E32" s="32">
        <f ca="1">IFERROR(课程目标得分!E32/INDEX(CO_TScore,3),0)</f>
        <v>0.59999999999999987</v>
      </c>
      <c r="F32" s="32">
        <f ca="1">IFERROR(课程目标得分!F32/INDEX(CO_TScore,4),0)</f>
        <v>0.47142857142857142</v>
      </c>
      <c r="G32" s="32">
        <f ca="1">IFERROR(课程目标得分!G32/INDEX(CO_TScore,5),0)</f>
        <v>0</v>
      </c>
      <c r="H32" s="32">
        <f ca="1">IFERROR(课程目标得分!H32/INDEX(CO_TScore,6),0)</f>
        <v>0</v>
      </c>
      <c r="I32" s="32">
        <f ca="1">IFERROR(课程目标得分!I32/INDEX(CO_TScore,7),0)</f>
        <v>0</v>
      </c>
      <c r="J32" s="34">
        <f t="shared" ca="1" si="1"/>
        <v>0.60338345864661647</v>
      </c>
      <c r="K32" s="35" t="str">
        <f t="shared" ca="1" si="0"/>
        <v>未达成</v>
      </c>
    </row>
    <row r="33" spans="1:11" x14ac:dyDescent="0.25">
      <c r="A33" s="31" t="str">
        <f>成绩!$A33</f>
        <v>201832060133</v>
      </c>
      <c r="B33" s="26" t="str">
        <f>成绩!$B33</f>
        <v>张珊瑜</v>
      </c>
      <c r="C33" s="32">
        <f ca="1">IFERROR(课程目标得分!C33/INDEX(CO_TScore,1),0)</f>
        <v>0.55000000000000004</v>
      </c>
      <c r="D33" s="32">
        <f ca="1">IFERROR(课程目标得分!D33/INDEX(CO_TScore,2),0)</f>
        <v>0.63684210526315777</v>
      </c>
      <c r="E33" s="32">
        <f ca="1">IFERROR(课程目标得分!E33/INDEX(CO_TScore,3),0)</f>
        <v>0.55000000000000004</v>
      </c>
      <c r="F33" s="32">
        <f ca="1">IFERROR(课程目标得分!F33/INDEX(CO_TScore,4),0)</f>
        <v>0.47142857142857142</v>
      </c>
      <c r="G33" s="32">
        <f ca="1">IFERROR(课程目标得分!G33/INDEX(CO_TScore,5),0)</f>
        <v>0</v>
      </c>
      <c r="H33" s="32">
        <f ca="1">IFERROR(课程目标得分!H33/INDEX(CO_TScore,6),0)</f>
        <v>0</v>
      </c>
      <c r="I33" s="32">
        <f ca="1">IFERROR(课程目标得分!I33/INDEX(CO_TScore,7),0)</f>
        <v>0</v>
      </c>
      <c r="J33" s="34">
        <f t="shared" ca="1" si="1"/>
        <v>0.55206766917293226</v>
      </c>
      <c r="K33" s="35" t="str">
        <f t="shared" ca="1" si="0"/>
        <v>未达成</v>
      </c>
    </row>
    <row r="34" spans="1:11" x14ac:dyDescent="0.25">
      <c r="A34" s="31" t="str">
        <f>成绩!$A34</f>
        <v>201824100416</v>
      </c>
      <c r="B34" s="26" t="str">
        <f>成绩!$B34</f>
        <v>霍情情</v>
      </c>
      <c r="C34" s="32">
        <f ca="1">IFERROR(课程目标得分!C34/INDEX(CO_TScore,1),0)</f>
        <v>0.84</v>
      </c>
      <c r="D34" s="32">
        <f ca="1">IFERROR(课程目标得分!D34/INDEX(CO_TScore,2),0)</f>
        <v>0.91052631578947374</v>
      </c>
      <c r="E34" s="32">
        <f ca="1">IFERROR(课程目标得分!E34/INDEX(CO_TScore,3),0)</f>
        <v>0.84</v>
      </c>
      <c r="F34" s="32">
        <f ca="1">IFERROR(课程目标得分!F34/INDEX(CO_TScore,4),0)</f>
        <v>0.77619047619047621</v>
      </c>
      <c r="G34" s="32">
        <f ca="1">IFERROR(课程目标得分!G34/INDEX(CO_TScore,5),0)</f>
        <v>0</v>
      </c>
      <c r="H34" s="32">
        <f ca="1">IFERROR(课程目标得分!H34/INDEX(CO_TScore,6),0)</f>
        <v>0</v>
      </c>
      <c r="I34" s="32">
        <f ca="1">IFERROR(课程目标得分!I34/INDEX(CO_TScore,7),0)</f>
        <v>0</v>
      </c>
      <c r="J34" s="34">
        <f t="shared" ca="1" si="1"/>
        <v>0.84167919799498747</v>
      </c>
      <c r="K34" s="35" t="str">
        <f t="shared" ca="1" si="0"/>
        <v>达成</v>
      </c>
    </row>
    <row r="35" spans="1:11" x14ac:dyDescent="0.25">
      <c r="A35" s="31" t="str">
        <f>成绩!$A35</f>
        <v>201824100632</v>
      </c>
      <c r="B35" s="26" t="str">
        <f>成绩!$B35</f>
        <v>孙逸晨</v>
      </c>
      <c r="C35" s="32">
        <f ca="1">IFERROR(课程目标得分!C35/INDEX(CO_TScore,1),0)</f>
        <v>0.92</v>
      </c>
      <c r="D35" s="32">
        <f ca="1">IFERROR(课程目标得分!D35/INDEX(CO_TScore,2),0)</f>
        <v>0.94736842105263153</v>
      </c>
      <c r="E35" s="32">
        <f ca="1">IFERROR(课程目标得分!E35/INDEX(CO_TScore,3),0)</f>
        <v>0.92</v>
      </c>
      <c r="F35" s="32">
        <f ca="1">IFERROR(课程目标得分!F35/INDEX(CO_TScore,4),0)</f>
        <v>0.89523809523809528</v>
      </c>
      <c r="G35" s="32">
        <f ca="1">IFERROR(课程目标得分!G35/INDEX(CO_TScore,5),0)</f>
        <v>0</v>
      </c>
      <c r="H35" s="32">
        <f ca="1">IFERROR(课程目标得分!H35/INDEX(CO_TScore,6),0)</f>
        <v>0</v>
      </c>
      <c r="I35" s="32">
        <f ca="1">IFERROR(课程目标得分!I35/INDEX(CO_TScore,7),0)</f>
        <v>0</v>
      </c>
      <c r="J35" s="34">
        <f t="shared" ca="1" si="1"/>
        <v>0.92065162907268172</v>
      </c>
      <c r="K35" s="35" t="str">
        <f t="shared" ca="1" si="0"/>
        <v>达成</v>
      </c>
    </row>
    <row r="36" spans="1:11" x14ac:dyDescent="0.25">
      <c r="A36" s="31" t="str">
        <f>成绩!$A36</f>
        <v>201824100663</v>
      </c>
      <c r="B36" s="26" t="str">
        <f>成绩!$B36</f>
        <v>赵钰琨</v>
      </c>
      <c r="C36" s="32">
        <f ca="1">IFERROR(课程目标得分!C36/INDEX(CO_TScore,1),0)</f>
        <v>0.87</v>
      </c>
      <c r="D36" s="32">
        <f ca="1">IFERROR(课程目标得分!D36/INDEX(CO_TScore,2),0)</f>
        <v>0.87368421052631584</v>
      </c>
      <c r="E36" s="32">
        <f ca="1">IFERROR(课程目标得分!E36/INDEX(CO_TScore,3),0)</f>
        <v>0.87</v>
      </c>
      <c r="F36" s="32">
        <f ca="1">IFERROR(课程目标得分!F36/INDEX(CO_TScore,4),0)</f>
        <v>0.86666666666666659</v>
      </c>
      <c r="G36" s="32">
        <f ca="1">IFERROR(课程目标得分!G36/INDEX(CO_TScore,5),0)</f>
        <v>0</v>
      </c>
      <c r="H36" s="32">
        <f ca="1">IFERROR(课程目标得分!H36/INDEX(CO_TScore,6),0)</f>
        <v>0</v>
      </c>
      <c r="I36" s="32">
        <f ca="1">IFERROR(课程目标得分!I36/INDEX(CO_TScore,7),0)</f>
        <v>0</v>
      </c>
      <c r="J36" s="34">
        <f t="shared" ca="1" si="1"/>
        <v>0.87008771929824569</v>
      </c>
      <c r="K36" s="35" t="str">
        <f t="shared" ca="1" si="0"/>
        <v>达成</v>
      </c>
    </row>
    <row r="37" spans="1:11" x14ac:dyDescent="0.25">
      <c r="A37" s="31" t="str">
        <f>成绩!$A37</f>
        <v>201824100127</v>
      </c>
      <c r="B37" s="26" t="str">
        <f>成绩!$B37</f>
        <v>李林逸</v>
      </c>
      <c r="C37" s="32">
        <f ca="1">IFERROR(课程目标得分!C37/INDEX(CO_TScore,1),0)</f>
        <v>0.77999999999999992</v>
      </c>
      <c r="D37" s="32">
        <f ca="1">IFERROR(课程目标得分!D37/INDEX(CO_TScore,2),0)</f>
        <v>0.84736842105263166</v>
      </c>
      <c r="E37" s="32">
        <f ca="1">IFERROR(课程目标得分!E37/INDEX(CO_TScore,3),0)</f>
        <v>0.77999999999999992</v>
      </c>
      <c r="F37" s="32">
        <f ca="1">IFERROR(课程目标得分!F37/INDEX(CO_TScore,4),0)</f>
        <v>0.71904761904761905</v>
      </c>
      <c r="G37" s="32">
        <f ca="1">IFERROR(课程目标得分!G37/INDEX(CO_TScore,5),0)</f>
        <v>0</v>
      </c>
      <c r="H37" s="32">
        <f ca="1">IFERROR(课程目标得分!H37/INDEX(CO_TScore,6),0)</f>
        <v>0</v>
      </c>
      <c r="I37" s="32">
        <f ca="1">IFERROR(课程目标得分!I37/INDEX(CO_TScore,7),0)</f>
        <v>0</v>
      </c>
      <c r="J37" s="34">
        <f t="shared" ca="1" si="1"/>
        <v>0.78160401002506263</v>
      </c>
      <c r="K37" s="35" t="str">
        <f t="shared" ref="K37:K51" ca="1" si="2">IF(J37&gt;=0.65,"达成","未达成")</f>
        <v>达成</v>
      </c>
    </row>
    <row r="38" spans="1:11" x14ac:dyDescent="0.25">
      <c r="A38" s="31" t="str">
        <f>成绩!$A38</f>
        <v>201824100228</v>
      </c>
      <c r="B38" s="26" t="str">
        <f>成绩!$B38</f>
        <v>刘和平</v>
      </c>
      <c r="C38" s="32">
        <f ca="1">IFERROR(课程目标得分!C38/INDEX(CO_TScore,1),0)</f>
        <v>0.87</v>
      </c>
      <c r="D38" s="32">
        <f ca="1">IFERROR(课程目标得分!D38/INDEX(CO_TScore,2),0)</f>
        <v>0.87894736842105281</v>
      </c>
      <c r="E38" s="32">
        <f ca="1">IFERROR(课程目标得分!E38/INDEX(CO_TScore,3),0)</f>
        <v>0.87</v>
      </c>
      <c r="F38" s="32">
        <f ca="1">IFERROR(课程目标得分!F38/INDEX(CO_TScore,4),0)</f>
        <v>0.86190476190476195</v>
      </c>
      <c r="G38" s="32">
        <f ca="1">IFERROR(课程目标得分!G38/INDEX(CO_TScore,5),0)</f>
        <v>0</v>
      </c>
      <c r="H38" s="32">
        <f ca="1">IFERROR(课程目标得分!H38/INDEX(CO_TScore,6),0)</f>
        <v>0</v>
      </c>
      <c r="I38" s="32">
        <f ca="1">IFERROR(课程目标得分!I38/INDEX(CO_TScore,7),0)</f>
        <v>0</v>
      </c>
      <c r="J38" s="34">
        <f t="shared" ca="1" si="1"/>
        <v>0.87021303258145366</v>
      </c>
      <c r="K38" s="35" t="str">
        <f t="shared" ca="1" si="2"/>
        <v>达成</v>
      </c>
    </row>
    <row r="39" spans="1:11" x14ac:dyDescent="0.25">
      <c r="A39" s="31" t="str">
        <f>成绩!$A39</f>
        <v>201824100611</v>
      </c>
      <c r="B39" s="26" t="str">
        <f>成绩!$B39</f>
        <v>郭富成</v>
      </c>
      <c r="C39" s="32">
        <f ca="1">IFERROR(课程目标得分!C39/INDEX(CO_TScore,1),0)</f>
        <v>0.76</v>
      </c>
      <c r="D39" s="32">
        <f ca="1">IFERROR(课程目标得分!D39/INDEX(CO_TScore,2),0)</f>
        <v>0.82105263157894737</v>
      </c>
      <c r="E39" s="32">
        <f ca="1">IFERROR(课程目标得分!E39/INDEX(CO_TScore,3),0)</f>
        <v>0.76</v>
      </c>
      <c r="F39" s="32">
        <f ca="1">IFERROR(课程目标得分!F39/INDEX(CO_TScore,4),0)</f>
        <v>0.70476190476190481</v>
      </c>
      <c r="G39" s="32">
        <f ca="1">IFERROR(课程目标得分!G39/INDEX(CO_TScore,5),0)</f>
        <v>0</v>
      </c>
      <c r="H39" s="32">
        <f ca="1">IFERROR(课程目标得分!H39/INDEX(CO_TScore,6),0)</f>
        <v>0</v>
      </c>
      <c r="I39" s="32">
        <f ca="1">IFERROR(课程目标得分!I39/INDEX(CO_TScore,7),0)</f>
        <v>0</v>
      </c>
      <c r="J39" s="34">
        <f t="shared" ca="1" si="1"/>
        <v>0.76145363408521316</v>
      </c>
      <c r="K39" s="35" t="str">
        <f t="shared" ca="1" si="2"/>
        <v>达成</v>
      </c>
    </row>
    <row r="40" spans="1:11" x14ac:dyDescent="0.25">
      <c r="A40" s="31" t="str">
        <f>成绩!$A40</f>
        <v>201877100406</v>
      </c>
      <c r="B40" s="26" t="str">
        <f>成绩!$B40</f>
        <v>杜英豪</v>
      </c>
      <c r="C40" s="32">
        <f ca="1">IFERROR(课程目标得分!C40/INDEX(CO_TScore,1),0)</f>
        <v>0.71000000000000008</v>
      </c>
      <c r="D40" s="32">
        <f ca="1">IFERROR(课程目标得分!D40/INDEX(CO_TScore,2),0)</f>
        <v>0.78421052631578947</v>
      </c>
      <c r="E40" s="32">
        <f ca="1">IFERROR(课程目标得分!E40/INDEX(CO_TScore,3),0)</f>
        <v>0.71000000000000008</v>
      </c>
      <c r="F40" s="32">
        <f ca="1">IFERROR(课程目标得分!F40/INDEX(CO_TScore,4),0)</f>
        <v>0.6428571428571429</v>
      </c>
      <c r="G40" s="32">
        <f ca="1">IFERROR(课程目标得分!G40/INDEX(CO_TScore,5),0)</f>
        <v>0</v>
      </c>
      <c r="H40" s="32">
        <f ca="1">IFERROR(课程目标得分!H40/INDEX(CO_TScore,6),0)</f>
        <v>0</v>
      </c>
      <c r="I40" s="32">
        <f ca="1">IFERROR(课程目标得分!I40/INDEX(CO_TScore,7),0)</f>
        <v>0</v>
      </c>
      <c r="J40" s="34">
        <f t="shared" ca="1" si="1"/>
        <v>0.71176691729323305</v>
      </c>
      <c r="K40" s="35" t="str">
        <f t="shared" ca="1" si="2"/>
        <v>达成</v>
      </c>
    </row>
    <row r="41" spans="1:11" x14ac:dyDescent="0.25">
      <c r="A41" s="31" t="str">
        <f>成绩!$A41</f>
        <v>201824100624</v>
      </c>
      <c r="B41" s="26" t="str">
        <f>成绩!$B41</f>
        <v>刘梓孟</v>
      </c>
      <c r="C41" s="32">
        <f ca="1">IFERROR(课程目标得分!C41/INDEX(CO_TScore,1),0)</f>
        <v>0.88</v>
      </c>
      <c r="D41" s="32">
        <f ca="1">IFERROR(课程目标得分!D41/INDEX(CO_TScore,2),0)</f>
        <v>0.92105263157894735</v>
      </c>
      <c r="E41" s="32">
        <f ca="1">IFERROR(课程目标得分!E41/INDEX(CO_TScore,3),0)</f>
        <v>0.88</v>
      </c>
      <c r="F41" s="32">
        <f ca="1">IFERROR(课程目标得分!F41/INDEX(CO_TScore,4),0)</f>
        <v>0.84285714285714297</v>
      </c>
      <c r="G41" s="32">
        <f ca="1">IFERROR(课程目标得分!G41/INDEX(CO_TScore,5),0)</f>
        <v>0</v>
      </c>
      <c r="H41" s="32">
        <f ca="1">IFERROR(课程目标得分!H41/INDEX(CO_TScore,6),0)</f>
        <v>0</v>
      </c>
      <c r="I41" s="32">
        <f ca="1">IFERROR(课程目标得分!I41/INDEX(CO_TScore,7),0)</f>
        <v>0</v>
      </c>
      <c r="J41" s="34">
        <f t="shared" ca="1" si="1"/>
        <v>0.88097744360902253</v>
      </c>
      <c r="K41" s="35" t="str">
        <f t="shared" ca="1" si="2"/>
        <v>达成</v>
      </c>
    </row>
    <row r="42" spans="1:11" x14ac:dyDescent="0.25">
      <c r="A42" s="31" t="str">
        <f>成绩!$A42</f>
        <v>201824100103</v>
      </c>
      <c r="B42" s="26" t="str">
        <f>成绩!$B42</f>
        <v>陈博</v>
      </c>
      <c r="C42" s="32">
        <f ca="1">IFERROR(课程目标得分!C42/INDEX(CO_TScore,1),0)</f>
        <v>0.82000000000000006</v>
      </c>
      <c r="D42" s="32">
        <f ca="1">IFERROR(课程目标得分!D42/INDEX(CO_TScore,2),0)</f>
        <v>0.87368421052631573</v>
      </c>
      <c r="E42" s="32">
        <f ca="1">IFERROR(课程目标得分!E42/INDEX(CO_TScore,3),0)</f>
        <v>0.82000000000000006</v>
      </c>
      <c r="F42" s="32">
        <f ca="1">IFERROR(课程目标得分!F42/INDEX(CO_TScore,4),0)</f>
        <v>0.77142857142857157</v>
      </c>
      <c r="G42" s="32">
        <f ca="1">IFERROR(课程目标得分!G42/INDEX(CO_TScore,5),0)</f>
        <v>0</v>
      </c>
      <c r="H42" s="32">
        <f ca="1">IFERROR(课程目标得分!H42/INDEX(CO_TScore,6),0)</f>
        <v>0</v>
      </c>
      <c r="I42" s="32">
        <f ca="1">IFERROR(课程目标得分!I42/INDEX(CO_TScore,7),0)</f>
        <v>0</v>
      </c>
      <c r="J42" s="34">
        <f t="shared" ca="1" si="1"/>
        <v>0.82127819548872183</v>
      </c>
      <c r="K42" s="35" t="str">
        <f t="shared" ca="1" si="2"/>
        <v>达成</v>
      </c>
    </row>
    <row r="43" spans="1:11" x14ac:dyDescent="0.25">
      <c r="A43" s="31" t="str">
        <f>成绩!$A43</f>
        <v>201824100863</v>
      </c>
      <c r="B43" s="26" t="str">
        <f>成绩!$B43</f>
        <v>邹天佑</v>
      </c>
      <c r="C43" s="32">
        <f ca="1">IFERROR(课程目标得分!C43/INDEX(CO_TScore,1),0)</f>
        <v>0.78999999999999992</v>
      </c>
      <c r="D43" s="32">
        <f ca="1">IFERROR(课程目标得分!D43/INDEX(CO_TScore,2),0)</f>
        <v>0.81578947368421051</v>
      </c>
      <c r="E43" s="32">
        <f ca="1">IFERROR(课程目标得分!E43/INDEX(CO_TScore,3),0)</f>
        <v>0.78999999999999992</v>
      </c>
      <c r="F43" s="32">
        <f ca="1">IFERROR(课程目标得分!F43/INDEX(CO_TScore,4),0)</f>
        <v>0.76666666666666672</v>
      </c>
      <c r="G43" s="32">
        <f ca="1">IFERROR(课程目标得分!G43/INDEX(CO_TScore,5),0)</f>
        <v>0</v>
      </c>
      <c r="H43" s="32">
        <f ca="1">IFERROR(课程目标得分!H43/INDEX(CO_TScore,6),0)</f>
        <v>0</v>
      </c>
      <c r="I43" s="32">
        <f ca="1">IFERROR(课程目标得分!I43/INDEX(CO_TScore,7),0)</f>
        <v>0</v>
      </c>
      <c r="J43" s="34">
        <f t="shared" ca="1" si="1"/>
        <v>0.79061403508771921</v>
      </c>
      <c r="K43" s="35" t="str">
        <f t="shared" ca="1" si="2"/>
        <v>达成</v>
      </c>
    </row>
    <row r="44" spans="1:11" x14ac:dyDescent="0.25">
      <c r="A44" s="31" t="str">
        <f>成绩!$A44</f>
        <v>201824100522</v>
      </c>
      <c r="B44" s="26" t="str">
        <f>成绩!$B44</f>
        <v>李澳</v>
      </c>
      <c r="C44" s="32">
        <f ca="1">IFERROR(课程目标得分!C44/INDEX(CO_TScore,1),0)</f>
        <v>0.83</v>
      </c>
      <c r="D44" s="32">
        <f ca="1">IFERROR(课程目标得分!D44/INDEX(CO_TScore,2),0)</f>
        <v>0.91052631578947374</v>
      </c>
      <c r="E44" s="32">
        <f ca="1">IFERROR(课程目标得分!E44/INDEX(CO_TScore,3),0)</f>
        <v>0.83</v>
      </c>
      <c r="F44" s="32">
        <f ca="1">IFERROR(课程目标得分!F44/INDEX(CO_TScore,4),0)</f>
        <v>0.75714285714285712</v>
      </c>
      <c r="G44" s="32">
        <f ca="1">IFERROR(课程目标得分!G44/INDEX(CO_TScore,5),0)</f>
        <v>0</v>
      </c>
      <c r="H44" s="32">
        <f ca="1">IFERROR(课程目标得分!H44/INDEX(CO_TScore,6),0)</f>
        <v>0</v>
      </c>
      <c r="I44" s="32">
        <f ca="1">IFERROR(课程目标得分!I44/INDEX(CO_TScore,7),0)</f>
        <v>0</v>
      </c>
      <c r="J44" s="34">
        <f t="shared" ca="1" si="1"/>
        <v>0.83191729323308272</v>
      </c>
      <c r="K44" s="35" t="str">
        <f t="shared" ca="1" si="2"/>
        <v>达成</v>
      </c>
    </row>
    <row r="45" spans="1:11" x14ac:dyDescent="0.25">
      <c r="A45" s="31" t="str">
        <f>成绩!$A45</f>
        <v>201824100344</v>
      </c>
      <c r="B45" s="26" t="str">
        <f>成绩!$B45</f>
        <v>王书康</v>
      </c>
      <c r="C45" s="32">
        <f ca="1">IFERROR(课程目标得分!C45/INDEX(CO_TScore,1),0)</f>
        <v>0.69</v>
      </c>
      <c r="D45" s="32">
        <f ca="1">IFERROR(课程目标得分!D45/INDEX(CO_TScore,2),0)</f>
        <v>0.77368421052631575</v>
      </c>
      <c r="E45" s="32">
        <f ca="1">IFERROR(课程目标得分!E45/INDEX(CO_TScore,3),0)</f>
        <v>0.69</v>
      </c>
      <c r="F45" s="32">
        <f ca="1">IFERROR(课程目标得分!F45/INDEX(CO_TScore,4),0)</f>
        <v>0.61428571428571421</v>
      </c>
      <c r="G45" s="32">
        <f ca="1">IFERROR(课程目标得分!G45/INDEX(CO_TScore,5),0)</f>
        <v>0</v>
      </c>
      <c r="H45" s="32">
        <f ca="1">IFERROR(课程目标得分!H45/INDEX(CO_TScore,6),0)</f>
        <v>0</v>
      </c>
      <c r="I45" s="32">
        <f ca="1">IFERROR(课程目标得分!I45/INDEX(CO_TScore,7),0)</f>
        <v>0</v>
      </c>
      <c r="J45" s="34">
        <f t="shared" ca="1" si="1"/>
        <v>0.69199248120300749</v>
      </c>
      <c r="K45" s="35" t="str">
        <f t="shared" ca="1" si="2"/>
        <v>达成</v>
      </c>
    </row>
    <row r="46" spans="1:11" x14ac:dyDescent="0.25">
      <c r="A46" s="31" t="str">
        <f>成绩!$A46</f>
        <v>201824100142</v>
      </c>
      <c r="B46" s="26" t="str">
        <f>成绩!$B46</f>
        <v>史奉名</v>
      </c>
      <c r="C46" s="32">
        <f ca="1">IFERROR(课程目标得分!C46/INDEX(CO_TScore,1),0)</f>
        <v>0.9</v>
      </c>
      <c r="D46" s="32">
        <f ca="1">IFERROR(课程目标得分!D46/INDEX(CO_TScore,2),0)</f>
        <v>0.93157894736842106</v>
      </c>
      <c r="E46" s="32">
        <f ca="1">IFERROR(课程目标得分!E46/INDEX(CO_TScore,3),0)</f>
        <v>0.9</v>
      </c>
      <c r="F46" s="32">
        <f ca="1">IFERROR(课程目标得分!F46/INDEX(CO_TScore,4),0)</f>
        <v>0.87142857142857144</v>
      </c>
      <c r="G46" s="32">
        <f ca="1">IFERROR(课程目标得分!G46/INDEX(CO_TScore,5),0)</f>
        <v>0</v>
      </c>
      <c r="H46" s="32">
        <f ca="1">IFERROR(课程目标得分!H46/INDEX(CO_TScore,6),0)</f>
        <v>0</v>
      </c>
      <c r="I46" s="32">
        <f ca="1">IFERROR(课程目标得分!I46/INDEX(CO_TScore,7),0)</f>
        <v>0</v>
      </c>
      <c r="J46" s="34">
        <f t="shared" ca="1" si="1"/>
        <v>0.90075187969924808</v>
      </c>
      <c r="K46" s="35" t="str">
        <f t="shared" ca="1" si="2"/>
        <v>达成</v>
      </c>
    </row>
    <row r="47" spans="1:11" x14ac:dyDescent="0.25">
      <c r="A47" s="31" t="str">
        <f>成绩!$A47</f>
        <v>201824100115</v>
      </c>
      <c r="B47" s="26" t="str">
        <f>成绩!$B47</f>
        <v>管泽隆</v>
      </c>
      <c r="C47" s="32">
        <f ca="1">IFERROR(课程目标得分!C47/INDEX(CO_TScore,1),0)</f>
        <v>0.83</v>
      </c>
      <c r="D47" s="32">
        <f ca="1">IFERROR(课程目标得分!D47/INDEX(CO_TScore,2),0)</f>
        <v>0.84736842105263166</v>
      </c>
      <c r="E47" s="32">
        <f ca="1">IFERROR(课程目标得分!E47/INDEX(CO_TScore,3),0)</f>
        <v>0.83</v>
      </c>
      <c r="F47" s="32">
        <f ca="1">IFERROR(课程目标得分!F47/INDEX(CO_TScore,4),0)</f>
        <v>0.81428571428571439</v>
      </c>
      <c r="G47" s="32">
        <f ca="1">IFERROR(课程目标得分!G47/INDEX(CO_TScore,5),0)</f>
        <v>0</v>
      </c>
      <c r="H47" s="32">
        <f ca="1">IFERROR(课程目标得分!H47/INDEX(CO_TScore,6),0)</f>
        <v>0</v>
      </c>
      <c r="I47" s="32">
        <f ca="1">IFERROR(课程目标得分!I47/INDEX(CO_TScore,7),0)</f>
        <v>0</v>
      </c>
      <c r="J47" s="34">
        <f t="shared" ca="1" si="1"/>
        <v>0.83041353383458649</v>
      </c>
      <c r="K47" s="35" t="str">
        <f t="shared" ca="1" si="2"/>
        <v>达成</v>
      </c>
    </row>
    <row r="48" spans="1:11" x14ac:dyDescent="0.25">
      <c r="A48" s="31" t="str">
        <f>成绩!$A48</f>
        <v>201824100102</v>
      </c>
      <c r="B48" s="26" t="str">
        <f>成绩!$B48</f>
        <v>常德睿</v>
      </c>
      <c r="C48" s="32">
        <f ca="1">IFERROR(课程目标得分!C48/INDEX(CO_TScore,1),0)</f>
        <v>0.75</v>
      </c>
      <c r="D48" s="32">
        <f ca="1">IFERROR(课程目标得分!D48/INDEX(CO_TScore,2),0)</f>
        <v>0.79473684210526319</v>
      </c>
      <c r="E48" s="32">
        <f ca="1">IFERROR(课程目标得分!E48/INDEX(CO_TScore,3),0)</f>
        <v>0.75</v>
      </c>
      <c r="F48" s="32">
        <f ca="1">IFERROR(课程目标得分!F48/INDEX(CO_TScore,4),0)</f>
        <v>0.70952380952380956</v>
      </c>
      <c r="G48" s="32">
        <f ca="1">IFERROR(课程目标得分!G48/INDEX(CO_TScore,5),0)</f>
        <v>0</v>
      </c>
      <c r="H48" s="32">
        <f ca="1">IFERROR(课程目标得分!H48/INDEX(CO_TScore,6),0)</f>
        <v>0</v>
      </c>
      <c r="I48" s="32">
        <f ca="1">IFERROR(课程目标得分!I48/INDEX(CO_TScore,7),0)</f>
        <v>0</v>
      </c>
      <c r="J48" s="34">
        <f t="shared" ca="1" si="1"/>
        <v>0.75106516290726821</v>
      </c>
      <c r="K48" s="35" t="str">
        <f t="shared" ca="1" si="2"/>
        <v>达成</v>
      </c>
    </row>
    <row r="49" spans="1:11" x14ac:dyDescent="0.25">
      <c r="A49" s="31" t="str">
        <f>成绩!$A49</f>
        <v>201824100518</v>
      </c>
      <c r="B49" s="26" t="str">
        <f>成绩!$B49</f>
        <v>黄其滨</v>
      </c>
      <c r="C49" s="32">
        <f ca="1">IFERROR(课程目标得分!C49/INDEX(CO_TScore,1),0)</f>
        <v>0.76999999999999991</v>
      </c>
      <c r="D49" s="32">
        <f ca="1">IFERROR(课程目标得分!D49/INDEX(CO_TScore,2),0)</f>
        <v>0.83684210526315794</v>
      </c>
      <c r="E49" s="32">
        <f ca="1">IFERROR(课程目标得分!E49/INDEX(CO_TScore,3),0)</f>
        <v>0.76999999999999991</v>
      </c>
      <c r="F49" s="32">
        <f ca="1">IFERROR(课程目标得分!F49/INDEX(CO_TScore,4),0)</f>
        <v>0.70952380952380956</v>
      </c>
      <c r="G49" s="32">
        <f ca="1">IFERROR(课程目标得分!G49/INDEX(CO_TScore,5),0)</f>
        <v>0</v>
      </c>
      <c r="H49" s="32">
        <f ca="1">IFERROR(课程目标得分!H49/INDEX(CO_TScore,6),0)</f>
        <v>0</v>
      </c>
      <c r="I49" s="32">
        <f ca="1">IFERROR(课程目标得分!I49/INDEX(CO_TScore,7),0)</f>
        <v>0</v>
      </c>
      <c r="J49" s="34">
        <f t="shared" ca="1" si="1"/>
        <v>0.77159147869674183</v>
      </c>
      <c r="K49" s="35" t="str">
        <f t="shared" ca="1" si="2"/>
        <v>达成</v>
      </c>
    </row>
    <row r="50" spans="1:11" x14ac:dyDescent="0.25">
      <c r="A50" s="31" t="str">
        <f>成绩!$A50</f>
        <v>201824100419</v>
      </c>
      <c r="B50" s="26" t="str">
        <f>成绩!$B50</f>
        <v>晋佳伟</v>
      </c>
      <c r="C50" s="32">
        <f ca="1">IFERROR(课程目标得分!C50/INDEX(CO_TScore,1),0)</f>
        <v>0.80999999999999994</v>
      </c>
      <c r="D50" s="32">
        <f ca="1">IFERROR(课程目标得分!D50/INDEX(CO_TScore,2),0)</f>
        <v>0.89473684210526316</v>
      </c>
      <c r="E50" s="32">
        <f ca="1">IFERROR(课程目标得分!E50/INDEX(CO_TScore,3),0)</f>
        <v>0.80999999999999994</v>
      </c>
      <c r="F50" s="32">
        <f ca="1">IFERROR(课程目标得分!F50/INDEX(CO_TScore,4),0)</f>
        <v>0.73333333333333339</v>
      </c>
      <c r="G50" s="32">
        <f ca="1">IFERROR(课程目标得分!G50/INDEX(CO_TScore,5),0)</f>
        <v>0</v>
      </c>
      <c r="H50" s="32">
        <f ca="1">IFERROR(课程目标得分!H50/INDEX(CO_TScore,6),0)</f>
        <v>0</v>
      </c>
      <c r="I50" s="32">
        <f ca="1">IFERROR(课程目标得分!I50/INDEX(CO_TScore,7),0)</f>
        <v>0</v>
      </c>
      <c r="J50" s="34">
        <f t="shared" ca="1" si="1"/>
        <v>0.81201754385964908</v>
      </c>
      <c r="K50" s="35" t="str">
        <f t="shared" ca="1" si="2"/>
        <v>达成</v>
      </c>
    </row>
    <row r="51" spans="1:11" x14ac:dyDescent="0.25">
      <c r="A51" s="31" t="str">
        <f>成绩!$A51</f>
        <v>201824100544</v>
      </c>
      <c r="B51" s="26" t="str">
        <f>成绩!$B51</f>
        <v>王晨</v>
      </c>
      <c r="C51" s="32">
        <f ca="1">IFERROR(课程目标得分!C51/INDEX(CO_TScore,1),0)</f>
        <v>0.72000000000000008</v>
      </c>
      <c r="D51" s="32">
        <f ca="1">IFERROR(课程目标得分!D51/INDEX(CO_TScore,2),0)</f>
        <v>0.77894736842105272</v>
      </c>
      <c r="E51" s="32">
        <f ca="1">IFERROR(课程目标得分!E51/INDEX(CO_TScore,3),0)</f>
        <v>0.72000000000000008</v>
      </c>
      <c r="F51" s="32">
        <f ca="1">IFERROR(课程目标得分!F51/INDEX(CO_TScore,4),0)</f>
        <v>0.66666666666666663</v>
      </c>
      <c r="G51" s="32">
        <f ca="1">IFERROR(课程目标得分!G51/INDEX(CO_TScore,5),0)</f>
        <v>0</v>
      </c>
      <c r="H51" s="32">
        <f ca="1">IFERROR(课程目标得分!H51/INDEX(CO_TScore,6),0)</f>
        <v>0</v>
      </c>
      <c r="I51" s="32">
        <f ca="1">IFERROR(课程目标得分!I51/INDEX(CO_TScore,7),0)</f>
        <v>0</v>
      </c>
      <c r="J51" s="34">
        <f t="shared" ca="1" si="1"/>
        <v>0.72140350877192982</v>
      </c>
      <c r="K51" s="35" t="str">
        <f t="shared" ca="1" si="2"/>
        <v>达成</v>
      </c>
    </row>
    <row r="52" spans="1:11" x14ac:dyDescent="0.25">
      <c r="A52" s="31">
        <f>成绩!$A52</f>
        <v>0</v>
      </c>
      <c r="B52" s="26">
        <f>成绩!$B52</f>
        <v>0</v>
      </c>
      <c r="C52" s="32">
        <f ca="1">IFERROR(课程目标得分!C52/INDEX(CO_TScore,1),0)</f>
        <v>0</v>
      </c>
      <c r="D52" s="32">
        <f ca="1">IFERROR(课程目标得分!D52/INDEX(CO_TScore,2),0)</f>
        <v>0</v>
      </c>
      <c r="E52" s="32">
        <f ca="1">IFERROR(课程目标得分!E52/INDEX(CO_TScore,3),0)</f>
        <v>0</v>
      </c>
      <c r="F52" s="32">
        <f ca="1">IFERROR(课程目标得分!F52/INDEX(CO_TScore,4),0)</f>
        <v>0</v>
      </c>
      <c r="G52" s="32">
        <f ca="1">IFERROR(课程目标得分!G52/INDEX(CO_TScore,5),0)</f>
        <v>0</v>
      </c>
      <c r="H52" s="32">
        <f ca="1">IFERROR(课程目标得分!H52/INDEX(CO_TScore,6),0)</f>
        <v>0</v>
      </c>
      <c r="I52" s="32">
        <f ca="1">IFERROR(课程目标得分!I52/INDEX(CO_TScore,7),0)</f>
        <v>0</v>
      </c>
      <c r="J52" s="34">
        <f t="shared" ca="1" si="1"/>
        <v>0</v>
      </c>
      <c r="K52" s="35"/>
    </row>
    <row r="53" spans="1:11" x14ac:dyDescent="0.25">
      <c r="A53" s="31">
        <f>成绩!$A53</f>
        <v>0</v>
      </c>
      <c r="B53" s="26">
        <f>成绩!$B53</f>
        <v>0</v>
      </c>
      <c r="C53" s="32">
        <f ca="1">IFERROR(课程目标得分!C53/INDEX(CO_TScore,1),0)</f>
        <v>0</v>
      </c>
      <c r="D53" s="32">
        <f ca="1">IFERROR(课程目标得分!D53/INDEX(CO_TScore,2),0)</f>
        <v>0</v>
      </c>
      <c r="E53" s="32">
        <f ca="1">IFERROR(课程目标得分!E53/INDEX(CO_TScore,3),0)</f>
        <v>0</v>
      </c>
      <c r="F53" s="32">
        <f ca="1">IFERROR(课程目标得分!F53/INDEX(CO_TScore,4),0)</f>
        <v>0</v>
      </c>
      <c r="G53" s="32">
        <f ca="1">IFERROR(课程目标得分!G53/INDEX(CO_TScore,5),0)</f>
        <v>0</v>
      </c>
      <c r="H53" s="32">
        <f ca="1">IFERROR(课程目标得分!H53/INDEX(CO_TScore,6),0)</f>
        <v>0</v>
      </c>
      <c r="I53" s="32">
        <f ca="1">IFERROR(课程目标得分!I53/INDEX(CO_TScore,7),0)</f>
        <v>0</v>
      </c>
      <c r="J53" s="34">
        <f t="shared" ca="1" si="1"/>
        <v>0</v>
      </c>
      <c r="K53" s="35"/>
    </row>
    <row r="54" spans="1:11" x14ac:dyDescent="0.25">
      <c r="A54" s="31">
        <f>成绩!$A54</f>
        <v>0</v>
      </c>
      <c r="B54" s="26">
        <f>成绩!$B54</f>
        <v>0</v>
      </c>
      <c r="C54" s="32">
        <f ca="1">IFERROR(课程目标得分!C54/INDEX(CO_TScore,1),0)</f>
        <v>0</v>
      </c>
      <c r="D54" s="32">
        <f ca="1">IFERROR(课程目标得分!D54/INDEX(CO_TScore,2),0)</f>
        <v>0</v>
      </c>
      <c r="E54" s="32">
        <f ca="1">IFERROR(课程目标得分!E54/INDEX(CO_TScore,3),0)</f>
        <v>0</v>
      </c>
      <c r="F54" s="32">
        <f ca="1">IFERROR(课程目标得分!F54/INDEX(CO_TScore,4),0)</f>
        <v>0</v>
      </c>
      <c r="G54" s="32">
        <f ca="1">IFERROR(课程目标得分!G54/INDEX(CO_TScore,5),0)</f>
        <v>0</v>
      </c>
      <c r="H54" s="32">
        <f ca="1">IFERROR(课程目标得分!H54/INDEX(CO_TScore,6),0)</f>
        <v>0</v>
      </c>
      <c r="I54" s="32">
        <f ca="1">IFERROR(课程目标得分!I54/INDEX(CO_TScore,7),0)</f>
        <v>0</v>
      </c>
      <c r="J54" s="34">
        <f t="shared" ca="1" si="1"/>
        <v>0</v>
      </c>
      <c r="K54" s="35"/>
    </row>
    <row r="55" spans="1:11" x14ac:dyDescent="0.25">
      <c r="A55" s="31">
        <f>成绩!$A55</f>
        <v>0</v>
      </c>
      <c r="B55" s="26">
        <f>成绩!$B55</f>
        <v>0</v>
      </c>
      <c r="C55" s="32">
        <f ca="1">IFERROR(课程目标得分!C55/INDEX(CO_TScore,1),0)</f>
        <v>0</v>
      </c>
      <c r="D55" s="32">
        <f ca="1">IFERROR(课程目标得分!D55/INDEX(CO_TScore,2),0)</f>
        <v>0</v>
      </c>
      <c r="E55" s="32">
        <f ca="1">IFERROR(课程目标得分!E55/INDEX(CO_TScore,3),0)</f>
        <v>0</v>
      </c>
      <c r="F55" s="32">
        <f ca="1">IFERROR(课程目标得分!F55/INDEX(CO_TScore,4),0)</f>
        <v>0</v>
      </c>
      <c r="G55" s="32">
        <f ca="1">IFERROR(课程目标得分!G55/INDEX(CO_TScore,5),0)</f>
        <v>0</v>
      </c>
      <c r="H55" s="32">
        <f ca="1">IFERROR(课程目标得分!H55/INDEX(CO_TScore,6),0)</f>
        <v>0</v>
      </c>
      <c r="I55" s="32">
        <f ca="1">IFERROR(课程目标得分!I55/INDEX(CO_TScore,7),0)</f>
        <v>0</v>
      </c>
      <c r="J55" s="34">
        <f t="shared" ca="1" si="1"/>
        <v>0</v>
      </c>
      <c r="K55" s="35"/>
    </row>
    <row r="56" spans="1:11" x14ac:dyDescent="0.25">
      <c r="A56" s="31">
        <f>成绩!$A56</f>
        <v>0</v>
      </c>
      <c r="B56" s="26">
        <f>成绩!$B56</f>
        <v>0</v>
      </c>
      <c r="C56" s="32">
        <f ca="1">IFERROR(课程目标得分!C56/INDEX(CO_TScore,1),0)</f>
        <v>0</v>
      </c>
      <c r="D56" s="32">
        <f ca="1">IFERROR(课程目标得分!D56/INDEX(CO_TScore,2),0)</f>
        <v>0</v>
      </c>
      <c r="E56" s="32">
        <f ca="1">IFERROR(课程目标得分!E56/INDEX(CO_TScore,3),0)</f>
        <v>0</v>
      </c>
      <c r="F56" s="32">
        <f ca="1">IFERROR(课程目标得分!F56/INDEX(CO_TScore,4),0)</f>
        <v>0</v>
      </c>
      <c r="G56" s="32">
        <f ca="1">IFERROR(课程目标得分!G56/INDEX(CO_TScore,5),0)</f>
        <v>0</v>
      </c>
      <c r="H56" s="32">
        <f ca="1">IFERROR(课程目标得分!H56/INDEX(CO_TScore,6),0)</f>
        <v>0</v>
      </c>
      <c r="I56" s="32">
        <f ca="1">IFERROR(课程目标得分!I56/INDEX(CO_TScore,7),0)</f>
        <v>0</v>
      </c>
      <c r="J56" s="34">
        <f t="shared" ca="1" si="1"/>
        <v>0</v>
      </c>
      <c r="K56" s="35"/>
    </row>
    <row r="57" spans="1:11" x14ac:dyDescent="0.25">
      <c r="A57" s="31">
        <f>成绩!$A57</f>
        <v>0</v>
      </c>
      <c r="B57" s="26">
        <f>成绩!$B57</f>
        <v>0</v>
      </c>
      <c r="C57" s="32">
        <f ca="1">IFERROR(课程目标得分!C57/INDEX(CO_TScore,1),0)</f>
        <v>0</v>
      </c>
      <c r="D57" s="32">
        <f ca="1">IFERROR(课程目标得分!D57/INDEX(CO_TScore,2),0)</f>
        <v>0</v>
      </c>
      <c r="E57" s="32">
        <f ca="1">IFERROR(课程目标得分!E57/INDEX(CO_TScore,3),0)</f>
        <v>0</v>
      </c>
      <c r="F57" s="32">
        <f ca="1">IFERROR(课程目标得分!F57/INDEX(CO_TScore,4),0)</f>
        <v>0</v>
      </c>
      <c r="G57" s="32">
        <f ca="1">IFERROR(课程目标得分!G57/INDEX(CO_TScore,5),0)</f>
        <v>0</v>
      </c>
      <c r="H57" s="32">
        <f ca="1">IFERROR(课程目标得分!H57/INDEX(CO_TScore,6),0)</f>
        <v>0</v>
      </c>
      <c r="I57" s="32">
        <f ca="1">IFERROR(课程目标得分!I57/INDEX(CO_TScore,7),0)</f>
        <v>0</v>
      </c>
      <c r="J57" s="34">
        <f t="shared" ca="1" si="1"/>
        <v>0</v>
      </c>
      <c r="K57" s="35"/>
    </row>
    <row r="58" spans="1:11" x14ac:dyDescent="0.25">
      <c r="A58" s="31">
        <f>成绩!$A58</f>
        <v>0</v>
      </c>
      <c r="B58" s="26">
        <f>成绩!$B58</f>
        <v>0</v>
      </c>
      <c r="C58" s="32">
        <f ca="1">IFERROR(课程目标得分!C58/INDEX(CO_TScore,1),0)</f>
        <v>0</v>
      </c>
      <c r="D58" s="32">
        <f ca="1">IFERROR(课程目标得分!D58/INDEX(CO_TScore,2),0)</f>
        <v>0</v>
      </c>
      <c r="E58" s="32">
        <f ca="1">IFERROR(课程目标得分!E58/INDEX(CO_TScore,3),0)</f>
        <v>0</v>
      </c>
      <c r="F58" s="32">
        <f ca="1">IFERROR(课程目标得分!F58/INDEX(CO_TScore,4),0)</f>
        <v>0</v>
      </c>
      <c r="G58" s="32">
        <f ca="1">IFERROR(课程目标得分!G58/INDEX(CO_TScore,5),0)</f>
        <v>0</v>
      </c>
      <c r="H58" s="32">
        <f ca="1">IFERROR(课程目标得分!H58/INDEX(CO_TScore,6),0)</f>
        <v>0</v>
      </c>
      <c r="I58" s="32">
        <f ca="1">IFERROR(课程目标得分!I58/INDEX(CO_TScore,7),0)</f>
        <v>0</v>
      </c>
      <c r="J58" s="34">
        <f t="shared" ca="1" si="1"/>
        <v>0</v>
      </c>
      <c r="K58" s="35"/>
    </row>
    <row r="59" spans="1:11" x14ac:dyDescent="0.25">
      <c r="A59" s="31">
        <f>成绩!$A59</f>
        <v>0</v>
      </c>
      <c r="B59" s="26">
        <f>成绩!$B59</f>
        <v>0</v>
      </c>
      <c r="C59" s="32">
        <f ca="1">IFERROR(课程目标得分!C59/INDEX(CO_TScore,1),0)</f>
        <v>0</v>
      </c>
      <c r="D59" s="32">
        <f ca="1">IFERROR(课程目标得分!D59/INDEX(CO_TScore,2),0)</f>
        <v>0</v>
      </c>
      <c r="E59" s="32">
        <f ca="1">IFERROR(课程目标得分!E59/INDEX(CO_TScore,3),0)</f>
        <v>0</v>
      </c>
      <c r="F59" s="32">
        <f ca="1">IFERROR(课程目标得分!F59/INDEX(CO_TScore,4),0)</f>
        <v>0</v>
      </c>
      <c r="G59" s="32">
        <f ca="1">IFERROR(课程目标得分!G59/INDEX(CO_TScore,5),0)</f>
        <v>0</v>
      </c>
      <c r="H59" s="32">
        <f ca="1">IFERROR(课程目标得分!H59/INDEX(CO_TScore,6),0)</f>
        <v>0</v>
      </c>
      <c r="I59" s="32">
        <f ca="1">IFERROR(课程目标得分!I59/INDEX(CO_TScore,7),0)</f>
        <v>0</v>
      </c>
      <c r="J59" s="34">
        <f t="shared" ca="1" si="1"/>
        <v>0</v>
      </c>
      <c r="K59" s="35"/>
    </row>
    <row r="60" spans="1:11" x14ac:dyDescent="0.25">
      <c r="A60" s="31">
        <f>成绩!$A60</f>
        <v>0</v>
      </c>
      <c r="B60" s="26">
        <f>成绩!$B60</f>
        <v>0</v>
      </c>
      <c r="C60" s="32">
        <f ca="1">IFERROR(课程目标得分!C60/INDEX(CO_TScore,1),0)</f>
        <v>0</v>
      </c>
      <c r="D60" s="32">
        <f ca="1">IFERROR(课程目标得分!D60/INDEX(CO_TScore,2),0)</f>
        <v>0</v>
      </c>
      <c r="E60" s="32">
        <f ca="1">IFERROR(课程目标得分!E60/INDEX(CO_TScore,3),0)</f>
        <v>0</v>
      </c>
      <c r="F60" s="32">
        <f ca="1">IFERROR(课程目标得分!F60/INDEX(CO_TScore,4),0)</f>
        <v>0</v>
      </c>
      <c r="G60" s="32">
        <f ca="1">IFERROR(课程目标得分!G60/INDEX(CO_TScore,5),0)</f>
        <v>0</v>
      </c>
      <c r="H60" s="32">
        <f ca="1">IFERROR(课程目标得分!H60/INDEX(CO_TScore,6),0)</f>
        <v>0</v>
      </c>
      <c r="I60" s="32">
        <f ca="1">IFERROR(课程目标得分!I60/INDEX(CO_TScore,7),0)</f>
        <v>0</v>
      </c>
      <c r="J60" s="34">
        <f t="shared" ca="1" si="1"/>
        <v>0</v>
      </c>
      <c r="K60" s="35"/>
    </row>
    <row r="61" spans="1:11" x14ac:dyDescent="0.25">
      <c r="A61" s="31">
        <f>成绩!$A61</f>
        <v>0</v>
      </c>
      <c r="B61" s="26">
        <f>成绩!$B61</f>
        <v>0</v>
      </c>
      <c r="C61" s="32">
        <f ca="1">IFERROR(课程目标得分!C61/INDEX(CO_TScore,1),0)</f>
        <v>0</v>
      </c>
      <c r="D61" s="32">
        <f ca="1">IFERROR(课程目标得分!D61/INDEX(CO_TScore,2),0)</f>
        <v>0</v>
      </c>
      <c r="E61" s="32">
        <f ca="1">IFERROR(课程目标得分!E61/INDEX(CO_TScore,3),0)</f>
        <v>0</v>
      </c>
      <c r="F61" s="32">
        <f ca="1">IFERROR(课程目标得分!F61/INDEX(CO_TScore,4),0)</f>
        <v>0</v>
      </c>
      <c r="G61" s="32">
        <f ca="1">IFERROR(课程目标得分!G61/INDEX(CO_TScore,5),0)</f>
        <v>0</v>
      </c>
      <c r="H61" s="32">
        <f ca="1">IFERROR(课程目标得分!H61/INDEX(CO_TScore,6),0)</f>
        <v>0</v>
      </c>
      <c r="I61" s="32">
        <f ca="1">IFERROR(课程目标得分!I61/INDEX(CO_TScore,7),0)</f>
        <v>0</v>
      </c>
      <c r="J61" s="34">
        <f t="shared" ca="1" si="1"/>
        <v>0</v>
      </c>
      <c r="K61" s="35"/>
    </row>
    <row r="62" spans="1:11" x14ac:dyDescent="0.25">
      <c r="A62" s="31">
        <f>成绩!$A62</f>
        <v>0</v>
      </c>
      <c r="B62" s="26">
        <f>成绩!$B62</f>
        <v>0</v>
      </c>
      <c r="C62" s="32">
        <f ca="1">IFERROR(课程目标得分!C62/INDEX(CO_TScore,1),0)</f>
        <v>0</v>
      </c>
      <c r="D62" s="32">
        <f ca="1">IFERROR(课程目标得分!D62/INDEX(CO_TScore,2),0)</f>
        <v>0</v>
      </c>
      <c r="E62" s="32">
        <f ca="1">IFERROR(课程目标得分!E62/INDEX(CO_TScore,3),0)</f>
        <v>0</v>
      </c>
      <c r="F62" s="32">
        <f ca="1">IFERROR(课程目标得分!F62/INDEX(CO_TScore,4),0)</f>
        <v>0</v>
      </c>
      <c r="G62" s="32">
        <f ca="1">IFERROR(课程目标得分!G62/INDEX(CO_TScore,5),0)</f>
        <v>0</v>
      </c>
      <c r="H62" s="32">
        <f ca="1">IFERROR(课程目标得分!H62/INDEX(CO_TScore,6),0)</f>
        <v>0</v>
      </c>
      <c r="I62" s="32">
        <f ca="1">IFERROR(课程目标得分!I62/INDEX(CO_TScore,7),0)</f>
        <v>0</v>
      </c>
      <c r="J62" s="34">
        <f t="shared" ca="1" si="1"/>
        <v>0</v>
      </c>
      <c r="K62" s="35"/>
    </row>
    <row r="63" spans="1:11" x14ac:dyDescent="0.25">
      <c r="A63" s="4"/>
      <c r="B63" s="4"/>
      <c r="C63" s="4"/>
      <c r="D63" s="4"/>
      <c r="E63" s="4"/>
      <c r="F63" s="4"/>
      <c r="G63" s="27"/>
      <c r="H63" s="27"/>
      <c r="I63" s="27"/>
      <c r="J63" s="4"/>
      <c r="K63" s="4"/>
    </row>
    <row r="64" spans="1:11" x14ac:dyDescent="0.25">
      <c r="A64" s="4"/>
      <c r="B64" s="4"/>
      <c r="C64" s="4"/>
      <c r="D64" s="4"/>
      <c r="E64" s="4"/>
      <c r="F64" s="4"/>
      <c r="G64" s="27"/>
      <c r="H64" s="27"/>
      <c r="I64" s="27"/>
      <c r="J64" s="4"/>
      <c r="K64" s="4"/>
    </row>
    <row r="65" spans="1:11" x14ac:dyDescent="0.25">
      <c r="A65" s="4"/>
      <c r="B65" s="4"/>
      <c r="C65" s="4"/>
      <c r="D65" s="4"/>
      <c r="E65" s="4"/>
      <c r="F65" s="4"/>
      <c r="G65" s="27"/>
      <c r="H65" s="27"/>
      <c r="I65" s="27"/>
      <c r="J65" s="4"/>
      <c r="K65" s="4"/>
    </row>
    <row r="66" spans="1:11" x14ac:dyDescent="0.25">
      <c r="A66" s="4"/>
      <c r="B66" s="4"/>
      <c r="C66" s="4"/>
      <c r="D66" s="4"/>
      <c r="E66" s="4"/>
      <c r="F66" s="4"/>
      <c r="G66" s="27"/>
      <c r="H66" s="27"/>
      <c r="I66" s="27"/>
      <c r="J66" s="4"/>
      <c r="K66" s="4"/>
    </row>
    <row r="67" spans="1:11" x14ac:dyDescent="0.25">
      <c r="A67" s="4"/>
      <c r="B67" s="4"/>
      <c r="C67" s="4"/>
      <c r="D67" s="4"/>
      <c r="E67" s="4"/>
      <c r="F67" s="4"/>
      <c r="G67" s="27"/>
      <c r="H67" s="27"/>
      <c r="I67" s="27"/>
      <c r="J67" s="4"/>
      <c r="K67" s="4"/>
    </row>
    <row r="68" spans="1:11" x14ac:dyDescent="0.25">
      <c r="A68" s="4"/>
      <c r="B68" s="4"/>
      <c r="C68" s="4"/>
      <c r="D68" s="4"/>
      <c r="E68" s="4"/>
      <c r="F68" s="4"/>
      <c r="G68" s="27"/>
      <c r="H68" s="27"/>
      <c r="I68" s="27"/>
      <c r="J68" s="4"/>
      <c r="K68" s="4"/>
    </row>
    <row r="69" spans="1:11" x14ac:dyDescent="0.25">
      <c r="A69" s="4"/>
      <c r="B69" s="4"/>
      <c r="C69" s="4"/>
      <c r="D69" s="4"/>
      <c r="E69" s="4"/>
      <c r="F69" s="4"/>
      <c r="G69" s="27"/>
      <c r="H69" s="27"/>
      <c r="I69" s="27"/>
      <c r="J69" s="4"/>
      <c r="K69" s="4"/>
    </row>
    <row r="70" spans="1:11" x14ac:dyDescent="0.25">
      <c r="A70" s="4"/>
      <c r="B70" s="4"/>
      <c r="C70" s="4"/>
      <c r="D70" s="4"/>
      <c r="E70" s="4"/>
      <c r="F70" s="4"/>
      <c r="G70" s="27"/>
      <c r="H70" s="27"/>
      <c r="I70" s="27"/>
      <c r="J70" s="4"/>
      <c r="K70" s="4"/>
    </row>
    <row r="71" spans="1:11" x14ac:dyDescent="0.25">
      <c r="A71" s="4"/>
      <c r="B71" s="4"/>
      <c r="C71" s="4"/>
      <c r="D71" s="4"/>
      <c r="E71" s="4"/>
      <c r="F71" s="4"/>
      <c r="G71" s="27"/>
      <c r="H71" s="27"/>
      <c r="I71" s="27"/>
      <c r="J71" s="4"/>
      <c r="K71" s="4"/>
    </row>
    <row r="72" spans="1:11" x14ac:dyDescent="0.25">
      <c r="A72" s="4"/>
      <c r="B72" s="4"/>
      <c r="C72" s="4"/>
      <c r="D72" s="4"/>
      <c r="E72" s="4"/>
      <c r="F72" s="4"/>
      <c r="G72" s="27"/>
      <c r="H72" s="27"/>
      <c r="I72" s="27"/>
      <c r="J72" s="4"/>
      <c r="K72" s="4"/>
    </row>
    <row r="73" spans="1:11" x14ac:dyDescent="0.25">
      <c r="A73" s="4"/>
      <c r="B73" s="4"/>
      <c r="C73" s="4"/>
      <c r="D73" s="4"/>
      <c r="E73" s="4"/>
      <c r="F73" s="4"/>
      <c r="G73" s="27"/>
      <c r="H73" s="27"/>
      <c r="I73" s="27"/>
      <c r="J73" s="4"/>
      <c r="K73" s="4"/>
    </row>
    <row r="74" spans="1:11" x14ac:dyDescent="0.25">
      <c r="A74" s="4"/>
      <c r="B74" s="4"/>
      <c r="C74" s="4"/>
      <c r="D74" s="4"/>
      <c r="E74" s="4"/>
      <c r="F74" s="4"/>
      <c r="G74" s="27"/>
      <c r="H74" s="27"/>
      <c r="I74" s="27"/>
      <c r="J74" s="4"/>
      <c r="K74" s="4"/>
    </row>
    <row r="75" spans="1:11" x14ac:dyDescent="0.25">
      <c r="J75" s="4"/>
      <c r="K75" s="4"/>
    </row>
  </sheetData>
  <mergeCells count="1">
    <mergeCell ref="A1:K1"/>
  </mergeCells>
  <phoneticPr fontId="17" type="noConversion"/>
  <conditionalFormatting sqref="J63:J75">
    <cfRule type="cellIs" dxfId="5" priority="3" stopIfTrue="1" operator="between">
      <formula>39.5</formula>
      <formula>59.4</formula>
    </cfRule>
    <cfRule type="cellIs" dxfId="4" priority="4" stopIfTrue="1" operator="lessThan">
      <formula>39.5</formula>
    </cfRule>
  </conditionalFormatting>
  <conditionalFormatting sqref="K63:K75">
    <cfRule type="cellIs" dxfId="3" priority="1" stopIfTrue="1" operator="between">
      <formula>39.5</formula>
      <formula>59.4</formula>
    </cfRule>
    <cfRule type="cellIs" dxfId="2" priority="2" stopIfTrue="1" operator="lessThan">
      <formula>39.5</formula>
    </cfRule>
  </conditionalFormatting>
  <conditionalFormatting sqref="A63:F74">
    <cfRule type="cellIs" dxfId="1" priority="7" stopIfTrue="1" operator="between">
      <formula>39.5</formula>
      <formula>59.4</formula>
    </cfRule>
    <cfRule type="cellIs" dxfId="0" priority="8" stopIfTrue="1" operator="lessThan">
      <formula>39.5</formula>
    </cfRule>
  </conditionalFormatting>
  <pageMargins left="0.7" right="0.7" top="0.75" bottom="0.75" header="0.3" footer="0.3"/>
  <pageSetup paperSize="9" orientation="landscape" horizontalDpi="300" verticalDpi="300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11"/>
  <sheetViews>
    <sheetView showZeros="0" workbookViewId="0">
      <selection activeCell="H8" sqref="H8:H9"/>
    </sheetView>
  </sheetViews>
  <sheetFormatPr defaultColWidth="9" defaultRowHeight="15" x14ac:dyDescent="0.25"/>
  <cols>
    <col min="1" max="1" width="13.58203125" customWidth="1"/>
    <col min="2" max="7" width="10.58203125" customWidth="1"/>
    <col min="8" max="9" width="10.6640625" customWidth="1"/>
    <col min="10" max="10" width="12.08203125" customWidth="1"/>
    <col min="13" max="13" width="11.6640625" customWidth="1"/>
  </cols>
  <sheetData>
    <row r="1" spans="1:8" ht="21.5" thickBot="1" x14ac:dyDescent="0.45">
      <c r="A1" s="183" t="s">
        <v>210</v>
      </c>
      <c r="B1" s="183"/>
      <c r="C1" s="183"/>
      <c r="D1" s="183"/>
      <c r="E1" s="183"/>
      <c r="F1" s="183"/>
      <c r="G1" s="183"/>
    </row>
    <row r="2" spans="1:8" s="24" customFormat="1" x14ac:dyDescent="0.25">
      <c r="A2" s="137"/>
      <c r="B2" s="138" t="s">
        <v>211</v>
      </c>
      <c r="C2" s="138" t="s">
        <v>212</v>
      </c>
      <c r="D2" s="138" t="s">
        <v>213</v>
      </c>
      <c r="E2" s="25" t="s">
        <v>214</v>
      </c>
      <c r="F2" s="25" t="s">
        <v>215</v>
      </c>
      <c r="G2" s="139" t="s">
        <v>216</v>
      </c>
      <c r="H2" s="128"/>
    </row>
    <row r="3" spans="1:8" x14ac:dyDescent="0.25">
      <c r="A3" s="140" t="str">
        <f>T(考试基本信息!A11)</f>
        <v>课程目标1</v>
      </c>
      <c r="B3" s="141">
        <f ca="1">AVERAGE(OFFSET(课程目标得分!$C$3,0,0,NumOfStudent,1))</f>
        <v>22.744897959183668</v>
      </c>
      <c r="C3" s="142">
        <f ca="1">INDEX(CO_TScore,1)</f>
        <v>30</v>
      </c>
      <c r="D3" s="143">
        <f ca="1">IFERROR(B3/C3,0)</f>
        <v>0.75816326530612221</v>
      </c>
      <c r="E3" s="26">
        <f ca="1">IFERROR(MAX(OFFSET(课程目标得分!$C$3,0,0,NumOfStudent,1))/$C3,0)</f>
        <v>0.95999999999999985</v>
      </c>
      <c r="F3" s="26">
        <f ca="1">IFERROR(MIN(OFFSET(课程目标得分!$C$3,0,0,NumOfStudent,1))/$C3,0)</f>
        <v>0.47000000000000003</v>
      </c>
      <c r="G3" s="144" t="str">
        <f ca="1">IF(T(A3)="","",IF(D3&gt;=0.65,"达成","未达成"))</f>
        <v>达成</v>
      </c>
      <c r="H3" s="28"/>
    </row>
    <row r="4" spans="1:8" x14ac:dyDescent="0.25">
      <c r="A4" s="140" t="str">
        <f>T(考试基本信息!A12)</f>
        <v>课程目标2</v>
      </c>
      <c r="B4" s="141">
        <f ca="1">AVERAGE(OFFSET(课程目标得分!$D$3,0,0,NumOfStudent,1))</f>
        <v>15.700000000000003</v>
      </c>
      <c r="C4" s="142">
        <f ca="1">INDEX(CO_TScore,2)</f>
        <v>19</v>
      </c>
      <c r="D4" s="143">
        <f t="shared" ref="D4:D9" ca="1" si="0">IFERROR(B4/C4,0)</f>
        <v>0.82631578947368434</v>
      </c>
      <c r="E4" s="26">
        <f ca="1">IFERROR(MAX(OFFSET(课程目标得分!$D$3,0,0,NumOfStudent,1))/$C4,0)</f>
        <v>0.96842105263157885</v>
      </c>
      <c r="F4" s="26">
        <f ca="1">IFERROR(MIN(OFFSET(课程目标得分!$D$3,0,0,NumOfStudent,1))/$C4,0)</f>
        <v>0.61052631578947369</v>
      </c>
      <c r="G4" s="144" t="str">
        <f t="shared" ref="G4:G9" ca="1" si="1">IF(T(A4)="","",IF(D4&gt;=0.65,"达成","未达成"))</f>
        <v>达成</v>
      </c>
      <c r="H4" s="28"/>
    </row>
    <row r="5" spans="1:8" x14ac:dyDescent="0.25">
      <c r="A5" s="140" t="str">
        <f>T(考试基本信息!A13)</f>
        <v>课程目标3</v>
      </c>
      <c r="B5" s="141">
        <f ca="1">AVERAGE(OFFSET(课程目标得分!$E$3,0,0,NumOfStudent,1))</f>
        <v>22.744897959183668</v>
      </c>
      <c r="C5" s="142">
        <f ca="1">INDEX(CO_TScore,3)</f>
        <v>30</v>
      </c>
      <c r="D5" s="143">
        <f t="shared" ca="1" si="0"/>
        <v>0.75816326530612221</v>
      </c>
      <c r="E5" s="26">
        <f ca="1">IFERROR(MAX(OFFSET(课程目标得分!$E$3,0,0,NumOfStudent,1))/$C5,0)</f>
        <v>0.95999999999999985</v>
      </c>
      <c r="F5" s="26">
        <f ca="1">IFERROR(MIN(OFFSET(课程目标得分!$E$3,0,0,NumOfStudent,1))/$C5,0)</f>
        <v>0.47000000000000003</v>
      </c>
      <c r="G5" s="144" t="str">
        <f t="shared" ca="1" si="1"/>
        <v>达成</v>
      </c>
      <c r="H5" s="28"/>
    </row>
    <row r="6" spans="1:8" x14ac:dyDescent="0.25">
      <c r="A6" s="140" t="str">
        <f>T(考试基本信息!A14)</f>
        <v>课程目标4</v>
      </c>
      <c r="B6" s="141">
        <f ca="1">AVERAGE(OFFSET(课程目标得分!$F$3,0,0,NumOfStudent,1))</f>
        <v>14.626530612244894</v>
      </c>
      <c r="C6" s="142">
        <f ca="1">INDEX(CO_TScore,4)</f>
        <v>21</v>
      </c>
      <c r="D6" s="143">
        <f t="shared" ca="1" si="0"/>
        <v>0.69650145772594729</v>
      </c>
      <c r="E6" s="26">
        <f ca="1">IFERROR(MAX(OFFSET(课程目标得分!$F$3,0,0,NumOfStudent,1))/$C6,0)</f>
        <v>0.95238095238095233</v>
      </c>
      <c r="F6" s="26">
        <f ca="1">IFERROR(MIN(OFFSET(课程目标得分!$F$3,0,0,NumOfStudent,1))/$C6,0)</f>
        <v>0.34285714285714286</v>
      </c>
      <c r="G6" s="144" t="str">
        <f t="shared" ca="1" si="1"/>
        <v>达成</v>
      </c>
      <c r="H6" s="28"/>
    </row>
    <row r="7" spans="1:8" x14ac:dyDescent="0.25">
      <c r="A7" s="140" t="str">
        <f>T(考试基本信息!A15)</f>
        <v/>
      </c>
      <c r="B7" s="141">
        <f ca="1">AVERAGE(OFFSET(课程目标得分!$G$3,0,0,NumOfStudent,1))</f>
        <v>0</v>
      </c>
      <c r="C7" s="142">
        <f ca="1">INDEX(CO_TScore,5)</f>
        <v>0</v>
      </c>
      <c r="D7" s="143">
        <f t="shared" ca="1" si="0"/>
        <v>0</v>
      </c>
      <c r="E7" s="26">
        <f ca="1">IFERROR(MAX(OFFSET(课程目标得分!$G$3,0,0,NumOfStudent,1))/$C7,0)</f>
        <v>0</v>
      </c>
      <c r="F7" s="26">
        <f ca="1">IFERROR(MIN(OFFSET(课程目标得分!$G$3,0,0,NumOfStudent,1))/$C7,0)</f>
        <v>0</v>
      </c>
      <c r="G7" s="144" t="str">
        <f t="shared" si="1"/>
        <v/>
      </c>
      <c r="H7" s="28"/>
    </row>
    <row r="8" spans="1:8" x14ac:dyDescent="0.25">
      <c r="A8" s="140" t="str">
        <f>T(考试基本信息!A16)</f>
        <v/>
      </c>
      <c r="B8" s="141">
        <f ca="1">AVERAGE(OFFSET(课程目标得分!$H$3,0,0,NumOfStudent,1))</f>
        <v>0</v>
      </c>
      <c r="C8" s="142">
        <f ca="1">INDEX(CO_TScore,6)</f>
        <v>0</v>
      </c>
      <c r="D8" s="143">
        <f t="shared" ca="1" si="0"/>
        <v>0</v>
      </c>
      <c r="E8" s="26">
        <f ca="1">IFERROR(MAX(OFFSET(课程目标得分!$H$3,0,0,NumOfStudent,1))/$C8,0)</f>
        <v>0</v>
      </c>
      <c r="F8" s="26">
        <f ca="1">IFERROR(MIN(OFFSET(课程目标得分!$H$3,0,0,NumOfStudent,1))/$C8,0)</f>
        <v>0</v>
      </c>
      <c r="G8" s="144" t="str">
        <f t="shared" si="1"/>
        <v/>
      </c>
      <c r="H8" s="28"/>
    </row>
    <row r="9" spans="1:8" ht="15.5" thickBot="1" x14ac:dyDescent="0.3">
      <c r="A9" s="145" t="str">
        <f>T(考试基本信息!A17)</f>
        <v/>
      </c>
      <c r="B9" s="151">
        <f ca="1">AVERAGE(OFFSET(课程目标得分!$I$3,0,0,NumOfStudent,1))</f>
        <v>0</v>
      </c>
      <c r="C9" s="152">
        <f ca="1">INDEX(CO_TScore,7)</f>
        <v>0</v>
      </c>
      <c r="D9" s="153">
        <f t="shared" ca="1" si="0"/>
        <v>0</v>
      </c>
      <c r="E9" s="146">
        <f ca="1">IFERROR(MAX(OFFSET(课程目标得分!$I$3,0,0,NumOfStudent,1))/$C9,0)</f>
        <v>0</v>
      </c>
      <c r="F9" s="146">
        <f ca="1">IFERROR(MIN(OFFSET(课程目标得分!$I$3,0,0,NumOfStudent,1))/$C9,0)</f>
        <v>0</v>
      </c>
      <c r="G9" s="147" t="str">
        <f t="shared" si="1"/>
        <v/>
      </c>
      <c r="H9" s="28"/>
    </row>
    <row r="10" spans="1:8" x14ac:dyDescent="0.25">
      <c r="A10" s="148" t="s">
        <v>164</v>
      </c>
      <c r="B10" s="149">
        <f ca="1">MIN(OFFSET($D$3,0,0,NumOfCO,1))</f>
        <v>0.69650145772594729</v>
      </c>
      <c r="C10" s="148"/>
      <c r="D10" s="149"/>
      <c r="G10" s="80"/>
    </row>
    <row r="11" spans="1:8" x14ac:dyDescent="0.25">
      <c r="A11" s="150" t="s">
        <v>165</v>
      </c>
      <c r="B11" s="150" t="str">
        <f ca="1">IF(B10&gt;=0.65,"达成","未达成")</f>
        <v>达成</v>
      </c>
      <c r="C11" s="150"/>
      <c r="D11" s="150"/>
      <c r="G11" s="80"/>
    </row>
  </sheetData>
  <mergeCells count="1">
    <mergeCell ref="A1:G1"/>
  </mergeCells>
  <phoneticPr fontId="17" type="noConversion"/>
  <pageMargins left="0.7" right="0.7" top="0.75" bottom="0.75" header="0.3" footer="0.3"/>
  <pageSetup paperSize="9" orientation="portrait" horizontalDpi="300" verticalDpi="300" r:id="rId1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T59"/>
  <sheetViews>
    <sheetView workbookViewId="0">
      <selection activeCell="H34" sqref="H34"/>
    </sheetView>
  </sheetViews>
  <sheetFormatPr defaultColWidth="9" defaultRowHeight="15" x14ac:dyDescent="0.25"/>
  <cols>
    <col min="1" max="1" width="13.75" customWidth="1"/>
    <col min="2" max="6" width="12.75" customWidth="1"/>
    <col min="12" max="12" width="11.25" customWidth="1"/>
  </cols>
  <sheetData>
    <row r="1" spans="1:20" ht="21" x14ac:dyDescent="0.4">
      <c r="A1" s="184" t="s">
        <v>166</v>
      </c>
      <c r="B1" s="184"/>
      <c r="C1" s="184"/>
      <c r="D1" s="184"/>
      <c r="E1" s="184"/>
      <c r="F1" s="184"/>
    </row>
    <row r="2" spans="1:20" x14ac:dyDescent="0.25">
      <c r="A2" s="13"/>
      <c r="B2" s="14" t="s">
        <v>167</v>
      </c>
      <c r="C2" s="14" t="s">
        <v>168</v>
      </c>
      <c r="D2" s="14" t="s">
        <v>169</v>
      </c>
      <c r="E2" s="14" t="s">
        <v>170</v>
      </c>
      <c r="F2" s="14" t="s">
        <v>171</v>
      </c>
      <c r="M2" s="185"/>
      <c r="N2" s="185"/>
      <c r="O2" s="185"/>
      <c r="P2" s="185"/>
      <c r="Q2" s="185"/>
      <c r="R2" s="185"/>
      <c r="S2" s="185"/>
      <c r="T2" s="185"/>
    </row>
    <row r="3" spans="1:20" x14ac:dyDescent="0.25">
      <c r="A3" s="186" t="s">
        <v>172</v>
      </c>
      <c r="B3" s="15">
        <f ca="1">COUNTIF(OFFSET(个体课程目标达成度!$J$3,0,0,NumOfStudent,1),"&gt;=0.895")</f>
        <v>5</v>
      </c>
      <c r="C3" s="15">
        <f ca="1">COUNTIF(OFFSET(个体课程目标达成度!$J$3,0,0,NumOfStudent,1),"&gt;=0.795")-COUNTIF(OFFSET(个体课程目标达成度!$J$3,0,0,NumOfStudent,1),"&gt;=0.895")</f>
        <v>14</v>
      </c>
      <c r="D3" s="15">
        <f ca="1">COUNTIF(OFFSET(个体课程目标达成度!$J$3,0,0,NumOfStudent,1),"&gt;=0.695")-COUNTIF(OFFSET(个体课程目标达成度!$J$3,0,0,NumOfStudent,1),"&gt;=0.795")</f>
        <v>17</v>
      </c>
      <c r="E3" s="15">
        <f ca="1">COUNTIF(OFFSET(个体课程目标达成度!$J$3,0,0,NumOfStudent,1),"&gt;=0.595")-COUNTIF(OFFSET(个体课程目标达成度!$J$3,0,0,NumOfStudent,1),"&gt;=0.695")</f>
        <v>7</v>
      </c>
      <c r="F3" s="15">
        <f ca="1">NumOfStudent-SUM(B3:E3)</f>
        <v>6</v>
      </c>
      <c r="M3" s="18"/>
      <c r="N3" s="19"/>
      <c r="O3" s="18"/>
      <c r="P3" s="19"/>
      <c r="Q3" s="18"/>
      <c r="R3" s="19"/>
    </row>
    <row r="4" spans="1:20" x14ac:dyDescent="0.25">
      <c r="A4" s="187"/>
      <c r="B4" s="16">
        <f ca="1">B3/NumOfStudent</f>
        <v>0.10204081632653061</v>
      </c>
      <c r="C4" s="16">
        <f ca="1">C3/NumOfStudent</f>
        <v>0.2857142857142857</v>
      </c>
      <c r="D4" s="16">
        <f ca="1">D3/NumOfStudent</f>
        <v>0.34693877551020408</v>
      </c>
      <c r="E4" s="16">
        <f ca="1">E3/NumOfStudent</f>
        <v>0.14285714285714285</v>
      </c>
      <c r="F4" s="16">
        <f ca="1">F3/NumOfStudent</f>
        <v>0.12244897959183673</v>
      </c>
      <c r="M4" s="18"/>
      <c r="N4" s="19"/>
      <c r="O4" s="18"/>
      <c r="P4" s="19"/>
      <c r="Q4" s="18"/>
      <c r="R4" s="19"/>
    </row>
    <row r="5" spans="1:20" x14ac:dyDescent="0.25">
      <c r="A5" s="186" t="s">
        <v>42</v>
      </c>
      <c r="B5" s="15">
        <f ca="1">COUNTIF(OFFSET(个体课程目标达成度!$C$3,0,0,NumOfStudent,1),"&gt;=0.895")</f>
        <v>5</v>
      </c>
      <c r="C5" s="15">
        <f ca="1">COUNTIF(OFFSET(个体课程目标达成度!$C$3,0,0,NumOfStudent,1),"&gt;=0.795")-COUNTIF(OFFSET(个体课程目标达成度!$C$3,0,0,NumOfStudent,1),"&gt;=0.895")</f>
        <v>14</v>
      </c>
      <c r="D5" s="15">
        <f ca="1">COUNTIF(OFFSET(个体课程目标达成度!$C$3,0,0,NumOfStudent,1),"&gt;=0.695")-COUNTIF(OFFSET(个体课程目标达成度!$C$3,0,0,NumOfStudent,1),"&gt;=0.795")</f>
        <v>17</v>
      </c>
      <c r="E5" s="15">
        <f ca="1">COUNTIF(OFFSET(个体课程目标达成度!$C$3,0,0,NumOfStudent,1),"&gt;=0.595")-COUNTIF(OFFSET(个体课程目标达成度!$C$3,0,0,NumOfStudent,1),"&gt;=0.695")</f>
        <v>7</v>
      </c>
      <c r="F5" s="15">
        <f ca="1">NumOfStudent-SUM(B5:E5)</f>
        <v>6</v>
      </c>
      <c r="M5" s="18"/>
      <c r="N5" s="23"/>
      <c r="O5" s="18"/>
      <c r="P5" s="19"/>
      <c r="Q5" s="18"/>
      <c r="R5" s="19"/>
    </row>
    <row r="6" spans="1:20" x14ac:dyDescent="0.25">
      <c r="A6" s="187"/>
      <c r="B6" s="16">
        <f ca="1">B5/NumOfStudent</f>
        <v>0.10204081632653061</v>
      </c>
      <c r="C6" s="16">
        <f ca="1">C5/NumOfStudent</f>
        <v>0.2857142857142857</v>
      </c>
      <c r="D6" s="16">
        <f ca="1">D5/NumOfStudent</f>
        <v>0.34693877551020408</v>
      </c>
      <c r="E6" s="16">
        <f ca="1">E5/NumOfStudent</f>
        <v>0.14285714285714285</v>
      </c>
      <c r="F6" s="16">
        <f ca="1">F5/NumOfStudent</f>
        <v>0.12244897959183673</v>
      </c>
      <c r="M6" s="18"/>
      <c r="N6" s="19"/>
      <c r="O6" s="18"/>
      <c r="P6" s="19"/>
      <c r="Q6" s="18"/>
      <c r="R6" s="19"/>
    </row>
    <row r="7" spans="1:20" x14ac:dyDescent="0.25">
      <c r="A7" s="186" t="s">
        <v>43</v>
      </c>
      <c r="B7" s="15">
        <f ca="1">COUNTIF(OFFSET(个体课程目标达成度!$D$3,0,0,NumOfStudent,1),"&gt;=0.895")</f>
        <v>11</v>
      </c>
      <c r="C7" s="15">
        <f ca="1">COUNTIF(OFFSET(个体课程目标达成度!$D$3,0,0,NumOfStudent,1),"&gt;=0.795")-COUNTIF(OFFSET(个体课程目标达成度!$D$3,0,0,NumOfStudent,1),"&gt;=0.895")</f>
        <v>21</v>
      </c>
      <c r="D7" s="15">
        <f ca="1">COUNTIF(OFFSET(个体课程目标达成度!$D$3,0,0,NumOfStudent,1),"&gt;=0.695")-COUNTIF(OFFSET(个体课程目标达成度!$D$3,0,0,NumOfStudent,1),"&gt;=0.795")</f>
        <v>13</v>
      </c>
      <c r="E7" s="15">
        <f ca="1">COUNTIF(OFFSET(个体课程目标达成度!$D$3,0,0,NumOfStudent,1),"&gt;=0.595")-COUNTIF(OFFSET(个体课程目标达成度!$D$3,0,0,NumOfStudent,1),"&gt;=0.695")</f>
        <v>4</v>
      </c>
      <c r="F7" s="15">
        <f ca="1">NumOfStudent-SUM(B7:E7)</f>
        <v>0</v>
      </c>
      <c r="M7" s="18"/>
      <c r="N7" s="19"/>
      <c r="O7" s="18"/>
      <c r="P7" s="19"/>
      <c r="Q7" s="18"/>
      <c r="R7" s="19"/>
    </row>
    <row r="8" spans="1:20" x14ac:dyDescent="0.25">
      <c r="A8" s="187"/>
      <c r="B8" s="16">
        <f ca="1">B7/NumOfStudent</f>
        <v>0.22448979591836735</v>
      </c>
      <c r="C8" s="16">
        <f ca="1">C7/NumOfStudent</f>
        <v>0.42857142857142855</v>
      </c>
      <c r="D8" s="16">
        <f ca="1">D7/NumOfStudent</f>
        <v>0.26530612244897961</v>
      </c>
      <c r="E8" s="16">
        <f ca="1">E7/NumOfStudent</f>
        <v>8.1632653061224483E-2</v>
      </c>
      <c r="F8" s="16">
        <f ca="1">F7/NumOfStudent</f>
        <v>0</v>
      </c>
    </row>
    <row r="9" spans="1:20" x14ac:dyDescent="0.25">
      <c r="A9" s="186" t="s">
        <v>44</v>
      </c>
      <c r="B9" s="15">
        <f ca="1">COUNTIF(OFFSET(个体课程目标达成度!$E$3,0,0,NumOfStudent,1),"&gt;=0.895")</f>
        <v>5</v>
      </c>
      <c r="C9" s="15">
        <f ca="1">COUNTIF(OFFSET(个体课程目标达成度!$E$3,0,0,NumOfStudent,1),"&gt;=0.795")-COUNTIF(OFFSET(个体课程目标达成度!$E$3,0,0,NumOfStudent,1),"&gt;=0.895")</f>
        <v>14</v>
      </c>
      <c r="D9" s="15">
        <f ca="1">COUNTIF(OFFSET(个体课程目标达成度!$E$3,0,0,NumOfStudent,1),"&gt;=0.695")-COUNTIF(OFFSET(个体课程目标达成度!$E$3,0,0,NumOfStudent,1),"&gt;=0.795")</f>
        <v>17</v>
      </c>
      <c r="E9" s="15">
        <f ca="1">COUNTIF(OFFSET(个体课程目标达成度!$E$3,0,0,NumOfStudent,1),"&gt;=0.595")-COUNTIF(OFFSET(个体课程目标达成度!$E$3,0,0,NumOfStudent,1),"&gt;=0.695")</f>
        <v>7</v>
      </c>
      <c r="F9" s="15">
        <f ca="1">NumOfStudent-SUM(B9:E9)</f>
        <v>6</v>
      </c>
    </row>
    <row r="10" spans="1:20" x14ac:dyDescent="0.25">
      <c r="A10" s="187"/>
      <c r="B10" s="16">
        <f ca="1">B9/NumOfStudent</f>
        <v>0.10204081632653061</v>
      </c>
      <c r="C10" s="16">
        <f ca="1">C9/NumOfStudent</f>
        <v>0.2857142857142857</v>
      </c>
      <c r="D10" s="16">
        <f ca="1">D9/NumOfStudent</f>
        <v>0.34693877551020408</v>
      </c>
      <c r="E10" s="16">
        <f ca="1">E9/NumOfStudent</f>
        <v>0.14285714285714285</v>
      </c>
      <c r="F10" s="16">
        <f ca="1">F9/NumOfStudent</f>
        <v>0.12244897959183673</v>
      </c>
    </row>
    <row r="11" spans="1:20" x14ac:dyDescent="0.25">
      <c r="A11" s="186" t="s">
        <v>45</v>
      </c>
      <c r="B11" s="15">
        <f ca="1">COUNTIF(OFFSET(个体课程目标达成度!$F$3,0,0,NumOfStudent,1),"&gt;=0.895")</f>
        <v>4</v>
      </c>
      <c r="C11" s="15">
        <f ca="1">COUNTIF(OFFSET(个体课程目标达成度!$F$3,0,0,NumOfStudent,1),"&gt;=0.795")-COUNTIF(OFFSET(个体课程目标达成度!$F$3,0,0,NumOfStudent,1),"&gt;=0.895")</f>
        <v>8</v>
      </c>
      <c r="D11" s="15">
        <f ca="1">COUNTIF(OFFSET(个体课程目标达成度!$F$3,0,0,NumOfStudent,1),"&gt;=0.695")-COUNTIF(OFFSET(个体课程目标达成度!$F$3,0,0,NumOfStudent,1),"&gt;=0.795")</f>
        <v>16</v>
      </c>
      <c r="E11" s="15">
        <f ca="1">COUNTIF(OFFSET(个体课程目标达成度!$F$3,0,0,NumOfStudent,1),"&gt;=0.595")-COUNTIF(OFFSET(个体课程目标达成度!$F$3,0,0,NumOfStudent,1),"&gt;=0.695")</f>
        <v>11</v>
      </c>
      <c r="F11" s="15">
        <f ca="1">NumOfStudent-SUM(B11:E11)</f>
        <v>10</v>
      </c>
    </row>
    <row r="12" spans="1:20" x14ac:dyDescent="0.25">
      <c r="A12" s="187"/>
      <c r="B12" s="16">
        <f ca="1">B11/NumOfStudent</f>
        <v>8.1632653061224483E-2</v>
      </c>
      <c r="C12" s="16">
        <f ca="1">C11/NumOfStudent</f>
        <v>0.16326530612244897</v>
      </c>
      <c r="D12" s="16">
        <f ca="1">D11/NumOfStudent</f>
        <v>0.32653061224489793</v>
      </c>
      <c r="E12" s="16">
        <f ca="1">E11/NumOfStudent</f>
        <v>0.22448979591836735</v>
      </c>
      <c r="F12" s="16">
        <f ca="1">F11/NumOfStudent</f>
        <v>0.20408163265306123</v>
      </c>
    </row>
    <row r="13" spans="1:20" x14ac:dyDescent="0.25">
      <c r="A13" s="186" t="s">
        <v>173</v>
      </c>
      <c r="B13" s="15">
        <f ca="1">COUNTIF(OFFSET(个体课程目标达成度!$G$3,0,0,NumOfStudent,1),"&gt;=0.895")</f>
        <v>0</v>
      </c>
      <c r="C13" s="15">
        <f ca="1">COUNTIF(OFFSET(个体课程目标达成度!$G$3,0,0,NumOfStudent,1),"&gt;=0.795")-COUNTIF(OFFSET(个体课程目标达成度!$G$3,0,0,NumOfStudent,1),"&gt;=0.895")</f>
        <v>0</v>
      </c>
      <c r="D13" s="15">
        <f ca="1">COUNTIF(OFFSET(个体课程目标达成度!$G$3,0,0,NumOfStudent,1),"&gt;=0.695")-COUNTIF(OFFSET(个体课程目标达成度!$G$3,0,0,NumOfStudent,1),"&gt;=0.795")</f>
        <v>0</v>
      </c>
      <c r="E13" s="15">
        <f ca="1">COUNTIF(OFFSET(个体课程目标达成度!$G$3,0,0,NumOfStudent,1),"&gt;=0.595")-COUNTIF(OFFSET(个体课程目标达成度!$G$3,0,0,NumOfStudent,1),"&gt;=0.695")</f>
        <v>0</v>
      </c>
      <c r="F13" s="15">
        <f ca="1">NumOfStudent-SUM(B13:E13)</f>
        <v>49</v>
      </c>
    </row>
    <row r="14" spans="1:20" x14ac:dyDescent="0.25">
      <c r="A14" s="187"/>
      <c r="B14" s="16">
        <f ca="1">B13/NumOfStudent</f>
        <v>0</v>
      </c>
      <c r="C14" s="16">
        <f ca="1">C13/NumOfStudent</f>
        <v>0</v>
      </c>
      <c r="D14" s="16">
        <f ca="1">D13/NumOfStudent</f>
        <v>0</v>
      </c>
      <c r="E14" s="16">
        <f ca="1">E13/NumOfStudent</f>
        <v>0</v>
      </c>
      <c r="F14" s="16">
        <f ca="1">F13/NumOfStudent</f>
        <v>1</v>
      </c>
    </row>
    <row r="15" spans="1:20" x14ac:dyDescent="0.25">
      <c r="A15" s="186" t="s">
        <v>174</v>
      </c>
      <c r="B15" s="15">
        <f ca="1">COUNTIF(OFFSET(个体课程目标达成度!$H$3,0,0,NumOfStudent,1),"&gt;=0.895")</f>
        <v>0</v>
      </c>
      <c r="C15" s="15">
        <f ca="1">COUNTIF(OFFSET(个体课程目标达成度!$H$3,0,0,NumOfStudent,1),"&gt;=0.795")-COUNTIF(OFFSET(个体课程目标达成度!$H$3,0,0,NumOfStudent,1),"&gt;=0.895")</f>
        <v>0</v>
      </c>
      <c r="D15" s="15">
        <f ca="1">COUNTIF(OFFSET(个体课程目标达成度!$H$3,0,0,NumOfStudent,1),"&gt;=0.695")-COUNTIF(OFFSET(个体课程目标达成度!$H$3,0,0,NumOfStudent,1),"&gt;=0.795")</f>
        <v>0</v>
      </c>
      <c r="E15" s="15">
        <f ca="1">COUNTIF(OFFSET(个体课程目标达成度!$H$3,0,0,NumOfStudent,1),"&gt;=0.595")-COUNTIF(OFFSET(个体课程目标达成度!$H$3,0,0,NumOfStudent,1),"&gt;=0.695")</f>
        <v>0</v>
      </c>
      <c r="F15" s="15">
        <f ca="1">NumOfStudent-SUM(B15:E15)</f>
        <v>49</v>
      </c>
    </row>
    <row r="16" spans="1:20" x14ac:dyDescent="0.25">
      <c r="A16" s="187"/>
      <c r="B16" s="16">
        <f ca="1">B15/NumOfStudent</f>
        <v>0</v>
      </c>
      <c r="C16" s="16">
        <f ca="1">C15/NumOfStudent</f>
        <v>0</v>
      </c>
      <c r="D16" s="16">
        <f ca="1">D15/NumOfStudent</f>
        <v>0</v>
      </c>
      <c r="E16" s="16">
        <f ca="1">E15/NumOfStudent</f>
        <v>0</v>
      </c>
      <c r="F16" s="16">
        <f ca="1">F15/NumOfStudent</f>
        <v>1</v>
      </c>
    </row>
    <row r="17" spans="1:6" x14ac:dyDescent="0.25">
      <c r="A17" s="188" t="s">
        <v>175</v>
      </c>
      <c r="B17" s="15">
        <f ca="1">COUNTIF(OFFSET(个体课程目标达成度!$I$3,0,0,NumOfStudent,1),"&gt;=0.895")</f>
        <v>0</v>
      </c>
      <c r="C17" s="15">
        <f ca="1">COUNTIF(OFFSET(个体课程目标达成度!$I$3,0,0,NumOfStudent,1),"&gt;=0.795")-COUNTIF(OFFSET(个体课程目标达成度!$I$3,0,0,NumOfStudent,1),"&gt;=0.895")</f>
        <v>0</v>
      </c>
      <c r="D17" s="15">
        <f ca="1">COUNTIF(OFFSET(个体课程目标达成度!$I$3,0,0,NumOfStudent,1),"&gt;=0.695")-COUNTIF(OFFSET(个体课程目标达成度!$I$3,0,0,NumOfStudent,1),"&gt;=0.795")</f>
        <v>0</v>
      </c>
      <c r="E17" s="15">
        <f ca="1">COUNTIF(OFFSET(个体课程目标达成度!$I$3,0,0,NumOfStudent,1),"&gt;=0.595")-COUNTIF(OFFSET(个体课程目标达成度!$I$3,0,0,NumOfStudent,1),"&gt;=0.695")</f>
        <v>0</v>
      </c>
      <c r="F17" s="15">
        <f ca="1">NumOfStudent-SUM(B17:E17)</f>
        <v>49</v>
      </c>
    </row>
    <row r="18" spans="1:6" x14ac:dyDescent="0.25">
      <c r="A18" s="188"/>
      <c r="B18" s="16">
        <f ca="1">B17/NumOfStudent</f>
        <v>0</v>
      </c>
      <c r="C18" s="16">
        <f ca="1">C17/NumOfStudent</f>
        <v>0</v>
      </c>
      <c r="D18" s="16">
        <f ca="1">D17/NumOfStudent</f>
        <v>0</v>
      </c>
      <c r="E18" s="16">
        <f ca="1">E17/NumOfStudent</f>
        <v>0</v>
      </c>
      <c r="F18" s="16">
        <f ca="1">F17/NumOfStudent</f>
        <v>1</v>
      </c>
    </row>
    <row r="19" spans="1:6" x14ac:dyDescent="0.25">
      <c r="A19" s="17"/>
      <c r="B19" s="18"/>
      <c r="C19" s="19"/>
      <c r="D19" s="18"/>
      <c r="E19" s="18"/>
      <c r="F19" s="18"/>
    </row>
    <row r="20" spans="1:6" ht="13.9" customHeight="1" x14ac:dyDescent="0.25">
      <c r="A20" s="17"/>
      <c r="B20" s="18"/>
      <c r="C20" s="19"/>
      <c r="D20" s="19"/>
      <c r="E20" s="19"/>
      <c r="F20" s="20"/>
    </row>
    <row r="21" spans="1:6" ht="15.5" x14ac:dyDescent="0.25">
      <c r="A21" s="21"/>
      <c r="B21" s="22"/>
    </row>
    <row r="28" spans="1:6" x14ac:dyDescent="0.25">
      <c r="A28" s="185"/>
      <c r="B28" s="185"/>
      <c r="C28" s="185"/>
    </row>
    <row r="29" spans="1:6" x14ac:dyDescent="0.25">
      <c r="A29" s="17"/>
      <c r="B29" s="18"/>
      <c r="C29" s="19"/>
    </row>
    <row r="30" spans="1:6" x14ac:dyDescent="0.25">
      <c r="A30" s="17"/>
      <c r="B30" s="18"/>
      <c r="C30" s="19"/>
      <c r="D30" s="17"/>
      <c r="E30" s="17"/>
      <c r="F30" s="17"/>
    </row>
    <row r="31" spans="1:6" x14ac:dyDescent="0.25">
      <c r="A31" s="17"/>
      <c r="B31" s="18"/>
      <c r="C31" s="19"/>
      <c r="D31" s="18"/>
      <c r="E31" s="18"/>
      <c r="F31" s="18"/>
    </row>
    <row r="32" spans="1:6" x14ac:dyDescent="0.25">
      <c r="A32" s="17"/>
      <c r="B32" s="18"/>
      <c r="C32" s="19"/>
      <c r="D32" s="18"/>
      <c r="E32" s="18"/>
      <c r="F32" s="18"/>
    </row>
    <row r="33" spans="1:6" x14ac:dyDescent="0.25">
      <c r="A33" s="17"/>
      <c r="B33" s="18"/>
      <c r="C33" s="19"/>
      <c r="D33" s="19"/>
      <c r="E33" s="19"/>
      <c r="F33" s="20"/>
    </row>
    <row r="41" spans="1:6" x14ac:dyDescent="0.25">
      <c r="A41" s="185"/>
      <c r="B41" s="185"/>
      <c r="C41" s="185"/>
    </row>
    <row r="42" spans="1:6" x14ac:dyDescent="0.25">
      <c r="A42" s="17"/>
      <c r="B42" s="18"/>
      <c r="C42" s="19"/>
    </row>
    <row r="43" spans="1:6" x14ac:dyDescent="0.25">
      <c r="A43" s="17"/>
      <c r="B43" s="18"/>
      <c r="C43" s="19"/>
    </row>
    <row r="44" spans="1:6" x14ac:dyDescent="0.25">
      <c r="A44" s="17"/>
      <c r="B44" s="18"/>
      <c r="C44" s="19"/>
    </row>
    <row r="45" spans="1:6" x14ac:dyDescent="0.25">
      <c r="A45" s="17"/>
      <c r="B45" s="18"/>
      <c r="C45" s="19"/>
    </row>
    <row r="46" spans="1:6" x14ac:dyDescent="0.25">
      <c r="A46" s="17"/>
      <c r="B46" s="18"/>
      <c r="C46" s="19"/>
    </row>
    <row r="54" spans="1:3" x14ac:dyDescent="0.25">
      <c r="A54" s="185"/>
      <c r="B54" s="185"/>
      <c r="C54" s="185"/>
    </row>
    <row r="55" spans="1:3" x14ac:dyDescent="0.25">
      <c r="A55" s="17"/>
      <c r="B55" s="18"/>
      <c r="C55" s="19"/>
    </row>
    <row r="56" spans="1:3" x14ac:dyDescent="0.25">
      <c r="A56" s="17"/>
      <c r="B56" s="18"/>
      <c r="C56" s="19"/>
    </row>
    <row r="57" spans="1:3" x14ac:dyDescent="0.25">
      <c r="A57" s="17"/>
      <c r="B57" s="18"/>
      <c r="C57" s="19"/>
    </row>
    <row r="58" spans="1:3" x14ac:dyDescent="0.25">
      <c r="A58" s="17"/>
      <c r="B58" s="18"/>
      <c r="C58" s="19"/>
    </row>
    <row r="59" spans="1:3" x14ac:dyDescent="0.25">
      <c r="A59" s="17"/>
      <c r="B59" s="18"/>
      <c r="C59" s="19"/>
    </row>
  </sheetData>
  <sheetProtection sheet="1" objects="1" scenarios="1"/>
  <mergeCells count="16">
    <mergeCell ref="A28:C28"/>
    <mergeCell ref="A41:C41"/>
    <mergeCell ref="A54:C54"/>
    <mergeCell ref="A3:A4"/>
    <mergeCell ref="A5:A6"/>
    <mergeCell ref="A7:A8"/>
    <mergeCell ref="A9:A10"/>
    <mergeCell ref="A11:A12"/>
    <mergeCell ref="A13:A14"/>
    <mergeCell ref="A15:A16"/>
    <mergeCell ref="A17:A18"/>
    <mergeCell ref="A1:F1"/>
    <mergeCell ref="M2:N2"/>
    <mergeCell ref="O2:P2"/>
    <mergeCell ref="Q2:R2"/>
    <mergeCell ref="S2:T2"/>
  </mergeCells>
  <phoneticPr fontId="17" type="noConversion"/>
  <pageMargins left="0.7" right="0.7" top="0.75" bottom="0.75" header="0.3" footer="0.3"/>
  <pageSetup paperSize="9" orientation="portrait" horizontalDpi="300" verticalDpi="300"/>
  <headerFooter scaleWithDoc="0" alignWithMargins="0"/>
  <ignoredErrors>
    <ignoredError sqref="B6 B19:F19 B5 F17 C18:F18 F15 C16:F16 F13 C14:F14 F11 C12:F12 F9 C10:F10 C8:F8 C6:F6 C5:F5 C7:F7 C9:E9 C11:E11 C13:E13 C15:E15 C17:E17 B18 B16 B14 B12 B10 B8 B7 B9 B11 B13 B15 B17 F4" formula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D56D5-1B8A-45A4-8D9E-ADD646F1830C}">
  <dimension ref="A1:C10"/>
  <sheetViews>
    <sheetView workbookViewId="0">
      <selection activeCell="A10" sqref="A10"/>
    </sheetView>
  </sheetViews>
  <sheetFormatPr defaultColWidth="8.6640625" defaultRowHeight="15" x14ac:dyDescent="0.25"/>
  <cols>
    <col min="1" max="1" width="6.58203125" style="129" customWidth="1"/>
    <col min="2" max="2" width="32.58203125" style="129" customWidth="1"/>
    <col min="3" max="3" width="38.58203125" style="129" customWidth="1"/>
    <col min="4" max="16384" width="8.6640625" style="129"/>
  </cols>
  <sheetData>
    <row r="1" spans="1:3" ht="21.5" thickBot="1" x14ac:dyDescent="0.3">
      <c r="A1" s="189" t="s">
        <v>207</v>
      </c>
      <c r="B1" s="189"/>
      <c r="C1" s="189"/>
    </row>
    <row r="2" spans="1:3" ht="17.5" x14ac:dyDescent="0.25">
      <c r="A2" s="130"/>
      <c r="B2" s="131" t="s">
        <v>208</v>
      </c>
      <c r="C2" s="132" t="s">
        <v>209</v>
      </c>
    </row>
    <row r="3" spans="1:3" ht="30" x14ac:dyDescent="0.25">
      <c r="A3" s="133" t="str">
        <f>T(考试基本信息!A11)</f>
        <v>课程目标1</v>
      </c>
      <c r="B3" s="134"/>
      <c r="C3" s="135"/>
    </row>
    <row r="4" spans="1:3" ht="30" x14ac:dyDescent="0.25">
      <c r="A4" s="133" t="str">
        <f>T(考试基本信息!A12)</f>
        <v>课程目标2</v>
      </c>
      <c r="B4" s="134"/>
      <c r="C4" s="135"/>
    </row>
    <row r="5" spans="1:3" ht="30" x14ac:dyDescent="0.25">
      <c r="A5" s="133" t="str">
        <f>T(考试基本信息!A13)</f>
        <v>课程目标3</v>
      </c>
      <c r="B5" s="136"/>
      <c r="C5" s="135"/>
    </row>
    <row r="6" spans="1:3" ht="30" x14ac:dyDescent="0.25">
      <c r="A6" s="133" t="str">
        <f>T(考试基本信息!A14)</f>
        <v>课程目标4</v>
      </c>
      <c r="B6" s="134"/>
      <c r="C6" s="135"/>
    </row>
    <row r="7" spans="1:3" x14ac:dyDescent="0.25">
      <c r="A7" s="133" t="str">
        <f>T(考试基本信息!A15)</f>
        <v/>
      </c>
      <c r="B7" s="134"/>
      <c r="C7" s="135"/>
    </row>
    <row r="8" spans="1:3" x14ac:dyDescent="0.25">
      <c r="A8" s="133" t="str">
        <f>T(考试基本信息!A16)</f>
        <v/>
      </c>
      <c r="B8" s="134"/>
      <c r="C8" s="135"/>
    </row>
    <row r="9" spans="1:3" x14ac:dyDescent="0.25">
      <c r="A9" s="133" t="str">
        <f>T(考试基本信息!A17)</f>
        <v/>
      </c>
      <c r="B9" s="134"/>
      <c r="C9" s="135"/>
    </row>
    <row r="10" spans="1:3" ht="117" customHeight="1" thickBot="1" x14ac:dyDescent="0.3">
      <c r="A10" s="133" t="s">
        <v>217</v>
      </c>
      <c r="B10" s="190"/>
      <c r="C10" s="191"/>
    </row>
  </sheetData>
  <mergeCells count="2">
    <mergeCell ref="A1:C1"/>
    <mergeCell ref="B10:C10"/>
  </mergeCells>
  <phoneticPr fontId="17" type="noConversion"/>
  <pageMargins left="0.7" right="0.7" top="0.75" bottom="0.75" header="0.3" footer="0.3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7</vt:i4>
      </vt:variant>
    </vt:vector>
  </HeadingPairs>
  <TitlesOfParts>
    <vt:vector size="18" baseType="lpstr">
      <vt:lpstr>课程基本信息</vt:lpstr>
      <vt:lpstr>考试基本信息</vt:lpstr>
      <vt:lpstr>成绩</vt:lpstr>
      <vt:lpstr>成绩分布</vt:lpstr>
      <vt:lpstr>课程目标得分</vt:lpstr>
      <vt:lpstr>个体课程目标达成度</vt:lpstr>
      <vt:lpstr>总体课程目标达成度</vt:lpstr>
      <vt:lpstr>课程目标达成度分布</vt:lpstr>
      <vt:lpstr>课程目标达成分析</vt:lpstr>
      <vt:lpstr>毕业要求达成度</vt:lpstr>
      <vt:lpstr>表说明</vt:lpstr>
      <vt:lpstr>CO_FESP</vt:lpstr>
      <vt:lpstr>CO_OSP</vt:lpstr>
      <vt:lpstr>CO_TScore</vt:lpstr>
      <vt:lpstr>EF_SP</vt:lpstr>
      <vt:lpstr>FE_TScore</vt:lpstr>
      <vt:lpstr>NumOfCO</vt:lpstr>
      <vt:lpstr>NumOfStudent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cp:lastPrinted>2020-03-13T10:38:00Z</cp:lastPrinted>
  <dcterms:created xsi:type="dcterms:W3CDTF">2020-01-16T01:45:00Z</dcterms:created>
  <dcterms:modified xsi:type="dcterms:W3CDTF">2020-10-09T13:59:08Z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