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 activeTab="3"/>
  </bookViews>
  <sheets>
    <sheet name="Dam" sheetId="1" r:id="rId1"/>
    <sheet name="DriveThru" sheetId="2" r:id="rId2"/>
    <sheet name="LBJ" sheetId="3" r:id="rId3"/>
    <sheet name="LBJ-mannings" sheetId="4" r:id="rId4"/>
  </sheets>
  <calcPr calcId="125725"/>
</workbook>
</file>

<file path=xl/calcChain.xml><?xml version="1.0" encoding="utf-8"?>
<calcChain xmlns="http://schemas.openxmlformats.org/spreadsheetml/2006/main">
  <c r="AC22" i="4"/>
  <c r="P22"/>
  <c r="S5"/>
  <c r="S6"/>
  <c r="S7"/>
  <c r="S8"/>
  <c r="S9"/>
  <c r="S10"/>
  <c r="S11"/>
  <c r="S12"/>
  <c r="S13"/>
  <c r="S14"/>
  <c r="S15"/>
  <c r="S16"/>
  <c r="S17"/>
  <c r="S18"/>
  <c r="S19"/>
  <c r="S20"/>
  <c r="S4"/>
  <c r="R5"/>
  <c r="S21"/>
  <c r="S22" s="1"/>
  <c r="R6"/>
  <c r="R7"/>
  <c r="R8"/>
  <c r="R9"/>
  <c r="R10"/>
  <c r="R11"/>
  <c r="R12"/>
  <c r="R13"/>
  <c r="R14"/>
  <c r="R15"/>
  <c r="R16"/>
  <c r="R17"/>
  <c r="R18"/>
  <c r="R19"/>
  <c r="R20"/>
  <c r="Q6"/>
  <c r="Q7"/>
  <c r="Q8"/>
  <c r="Q9"/>
  <c r="Q10"/>
  <c r="Q11"/>
  <c r="Q12"/>
  <c r="Q13"/>
  <c r="Q14"/>
  <c r="Q15"/>
  <c r="Q16"/>
  <c r="Q17"/>
  <c r="Q18"/>
  <c r="Q19"/>
  <c r="Q20"/>
  <c r="P5"/>
  <c r="M4"/>
  <c r="N4"/>
  <c r="M5" s="1"/>
  <c r="C21"/>
  <c r="K20"/>
  <c r="P20"/>
  <c r="F20"/>
  <c r="G20" s="1"/>
  <c r="H20" s="1"/>
  <c r="I20" s="1"/>
  <c r="J20" s="1"/>
  <c r="E20"/>
  <c r="N19"/>
  <c r="M20" s="1"/>
  <c r="K19"/>
  <c r="P19"/>
  <c r="F19"/>
  <c r="G19" s="1"/>
  <c r="H19" s="1"/>
  <c r="I19" s="1"/>
  <c r="J19" s="1"/>
  <c r="E19"/>
  <c r="N18"/>
  <c r="M19" s="1"/>
  <c r="K18"/>
  <c r="P18"/>
  <c r="F18"/>
  <c r="G18" s="1"/>
  <c r="H18" s="1"/>
  <c r="I18" s="1"/>
  <c r="J18" s="1"/>
  <c r="E18"/>
  <c r="N17"/>
  <c r="M18" s="1"/>
  <c r="K17"/>
  <c r="P17"/>
  <c r="F17"/>
  <c r="G17" s="1"/>
  <c r="H17" s="1"/>
  <c r="I17" s="1"/>
  <c r="J17" s="1"/>
  <c r="E17"/>
  <c r="N16"/>
  <c r="K16"/>
  <c r="P16"/>
  <c r="F16"/>
  <c r="G16" s="1"/>
  <c r="H16" s="1"/>
  <c r="I16" s="1"/>
  <c r="J16" s="1"/>
  <c r="E16"/>
  <c r="N15"/>
  <c r="K15"/>
  <c r="P15"/>
  <c r="F15"/>
  <c r="G15" s="1"/>
  <c r="H15" s="1"/>
  <c r="I15" s="1"/>
  <c r="J15" s="1"/>
  <c r="E15"/>
  <c r="N14"/>
  <c r="M15" s="1"/>
  <c r="K14"/>
  <c r="P14"/>
  <c r="F14"/>
  <c r="G14" s="1"/>
  <c r="H14" s="1"/>
  <c r="I14" s="1"/>
  <c r="J14" s="1"/>
  <c r="E14"/>
  <c r="N13"/>
  <c r="M14" s="1"/>
  <c r="K13"/>
  <c r="P13"/>
  <c r="F13"/>
  <c r="G13" s="1"/>
  <c r="H13" s="1"/>
  <c r="I13" s="1"/>
  <c r="J13" s="1"/>
  <c r="E13"/>
  <c r="N12"/>
  <c r="M13" s="1"/>
  <c r="K12"/>
  <c r="P12"/>
  <c r="F12"/>
  <c r="G12" s="1"/>
  <c r="H12" s="1"/>
  <c r="I12" s="1"/>
  <c r="J12" s="1"/>
  <c r="E12"/>
  <c r="N11"/>
  <c r="K11"/>
  <c r="P11"/>
  <c r="F11"/>
  <c r="G11" s="1"/>
  <c r="H11" s="1"/>
  <c r="I11" s="1"/>
  <c r="J11" s="1"/>
  <c r="E11"/>
  <c r="N10"/>
  <c r="M11" s="1"/>
  <c r="K10"/>
  <c r="P10"/>
  <c r="F10"/>
  <c r="G10" s="1"/>
  <c r="H10" s="1"/>
  <c r="I10" s="1"/>
  <c r="J10" s="1"/>
  <c r="E10"/>
  <c r="N9"/>
  <c r="M10" s="1"/>
  <c r="K9"/>
  <c r="P9"/>
  <c r="F9"/>
  <c r="G9" s="1"/>
  <c r="H9" s="1"/>
  <c r="I9" s="1"/>
  <c r="J9" s="1"/>
  <c r="E9"/>
  <c r="N8"/>
  <c r="M9" s="1"/>
  <c r="K8"/>
  <c r="P8"/>
  <c r="F8"/>
  <c r="G8" s="1"/>
  <c r="H8" s="1"/>
  <c r="I8" s="1"/>
  <c r="J8" s="1"/>
  <c r="E8"/>
  <c r="N7"/>
  <c r="K7"/>
  <c r="P7"/>
  <c r="F7"/>
  <c r="G7" s="1"/>
  <c r="H7" s="1"/>
  <c r="I7" s="1"/>
  <c r="J7" s="1"/>
  <c r="E7"/>
  <c r="N6"/>
  <c r="M7" s="1"/>
  <c r="K6"/>
  <c r="P6"/>
  <c r="F6"/>
  <c r="G6" s="1"/>
  <c r="H6" s="1"/>
  <c r="I6" s="1"/>
  <c r="J6" s="1"/>
  <c r="E6"/>
  <c r="N5"/>
  <c r="M6" s="1"/>
  <c r="K5"/>
  <c r="F5"/>
  <c r="G5" s="1"/>
  <c r="H5" s="1"/>
  <c r="I5" s="1"/>
  <c r="J5" s="1"/>
  <c r="E5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K4"/>
  <c r="I4"/>
  <c r="J4" s="1"/>
  <c r="E4"/>
  <c r="C29" i="3"/>
  <c r="C30" s="1"/>
  <c r="C31" s="1"/>
  <c r="H7"/>
  <c r="H8"/>
  <c r="E6"/>
  <c r="J27"/>
  <c r="H9"/>
  <c r="H10"/>
  <c r="H11"/>
  <c r="H12"/>
  <c r="H13"/>
  <c r="H14"/>
  <c r="H15"/>
  <c r="H16"/>
  <c r="H17"/>
  <c r="H6"/>
  <c r="G5"/>
  <c r="E17"/>
  <c r="F17" s="1"/>
  <c r="J17" s="1"/>
  <c r="K17" s="1"/>
  <c r="L17" s="1"/>
  <c r="D17"/>
  <c r="E16"/>
  <c r="F16" s="1"/>
  <c r="J16" s="1"/>
  <c r="K16" s="1"/>
  <c r="L16" s="1"/>
  <c r="D16"/>
  <c r="E15"/>
  <c r="F15" s="1"/>
  <c r="J15" s="1"/>
  <c r="K15" s="1"/>
  <c r="L15" s="1"/>
  <c r="D15"/>
  <c r="E14"/>
  <c r="F14" s="1"/>
  <c r="J14" s="1"/>
  <c r="K14" s="1"/>
  <c r="L14" s="1"/>
  <c r="D14"/>
  <c r="E13"/>
  <c r="F13" s="1"/>
  <c r="J13" s="1"/>
  <c r="K13" s="1"/>
  <c r="L13" s="1"/>
  <c r="D13"/>
  <c r="E12"/>
  <c r="F12" s="1"/>
  <c r="J12" s="1"/>
  <c r="K12" s="1"/>
  <c r="L12" s="1"/>
  <c r="D12"/>
  <c r="E11"/>
  <c r="F11" s="1"/>
  <c r="J11" s="1"/>
  <c r="K11" s="1"/>
  <c r="L11" s="1"/>
  <c r="D11"/>
  <c r="E10"/>
  <c r="F10" s="1"/>
  <c r="J10" s="1"/>
  <c r="K10" s="1"/>
  <c r="L10" s="1"/>
  <c r="D10"/>
  <c r="E9"/>
  <c r="F9" s="1"/>
  <c r="J9" s="1"/>
  <c r="K9" s="1"/>
  <c r="L9" s="1"/>
  <c r="D9"/>
  <c r="E8"/>
  <c r="F8" s="1"/>
  <c r="J8" s="1"/>
  <c r="K8" s="1"/>
  <c r="L8" s="1"/>
  <c r="D8"/>
  <c r="E7"/>
  <c r="F7" s="1"/>
  <c r="J7" s="1"/>
  <c r="C23" s="1"/>
  <c r="D7"/>
  <c r="F6"/>
  <c r="D6"/>
  <c r="K5"/>
  <c r="L5" s="1"/>
  <c r="D5"/>
  <c r="H5" s="1"/>
  <c r="K13" i="2"/>
  <c r="J13"/>
  <c r="F12"/>
  <c r="G12" s="1"/>
  <c r="H12" s="1"/>
  <c r="I12" s="1"/>
  <c r="D12"/>
  <c r="E11"/>
  <c r="F11" s="1"/>
  <c r="G11" s="1"/>
  <c r="H11" s="1"/>
  <c r="I11" s="1"/>
  <c r="D11"/>
  <c r="E10"/>
  <c r="F10" s="1"/>
  <c r="G10" s="1"/>
  <c r="H10" s="1"/>
  <c r="I10" s="1"/>
  <c r="D10"/>
  <c r="E9"/>
  <c r="F9" s="1"/>
  <c r="G9" s="1"/>
  <c r="H9" s="1"/>
  <c r="I9" s="1"/>
  <c r="D9"/>
  <c r="E8"/>
  <c r="F8" s="1"/>
  <c r="G8" s="1"/>
  <c r="H8" s="1"/>
  <c r="I8" s="1"/>
  <c r="D8"/>
  <c r="E7"/>
  <c r="F7" s="1"/>
  <c r="G7" s="1"/>
  <c r="H7" s="1"/>
  <c r="I7" s="1"/>
  <c r="D7"/>
  <c r="E6"/>
  <c r="F6" s="1"/>
  <c r="G6" s="1"/>
  <c r="H6" s="1"/>
  <c r="I6" s="1"/>
  <c r="D6"/>
  <c r="I5"/>
  <c r="I13" s="1"/>
  <c r="H5"/>
  <c r="D5"/>
  <c r="L21" i="1"/>
  <c r="K21"/>
  <c r="C21"/>
  <c r="F20"/>
  <c r="G20" s="1"/>
  <c r="H20" s="1"/>
  <c r="I20" s="1"/>
  <c r="J20" s="1"/>
  <c r="E20"/>
  <c r="F19"/>
  <c r="G19" s="1"/>
  <c r="H19" s="1"/>
  <c r="I19" s="1"/>
  <c r="J19" s="1"/>
  <c r="E19"/>
  <c r="F18"/>
  <c r="G18" s="1"/>
  <c r="H18" s="1"/>
  <c r="I18" s="1"/>
  <c r="J18" s="1"/>
  <c r="E18"/>
  <c r="F17"/>
  <c r="G17" s="1"/>
  <c r="H17" s="1"/>
  <c r="I17" s="1"/>
  <c r="J17" s="1"/>
  <c r="E17"/>
  <c r="F16"/>
  <c r="G16" s="1"/>
  <c r="H16" s="1"/>
  <c r="I16" s="1"/>
  <c r="J16" s="1"/>
  <c r="E16"/>
  <c r="F15"/>
  <c r="G15" s="1"/>
  <c r="H15" s="1"/>
  <c r="I15" s="1"/>
  <c r="J15" s="1"/>
  <c r="E15"/>
  <c r="F14"/>
  <c r="G14" s="1"/>
  <c r="H14" s="1"/>
  <c r="I14" s="1"/>
  <c r="J14" s="1"/>
  <c r="E14"/>
  <c r="F13"/>
  <c r="G13" s="1"/>
  <c r="H13" s="1"/>
  <c r="I13" s="1"/>
  <c r="J13" s="1"/>
  <c r="E13"/>
  <c r="F12"/>
  <c r="G12" s="1"/>
  <c r="H12" s="1"/>
  <c r="I12" s="1"/>
  <c r="J12" s="1"/>
  <c r="E12"/>
  <c r="F11"/>
  <c r="G11" s="1"/>
  <c r="H11" s="1"/>
  <c r="I11" s="1"/>
  <c r="J11" s="1"/>
  <c r="E11"/>
  <c r="F10"/>
  <c r="G10" s="1"/>
  <c r="H10" s="1"/>
  <c r="I10" s="1"/>
  <c r="J10" s="1"/>
  <c r="E10"/>
  <c r="F9"/>
  <c r="G9" s="1"/>
  <c r="H9" s="1"/>
  <c r="I9" s="1"/>
  <c r="J9" s="1"/>
  <c r="E9"/>
  <c r="F8"/>
  <c r="G8" s="1"/>
  <c r="H8" s="1"/>
  <c r="I8" s="1"/>
  <c r="J8" s="1"/>
  <c r="E8"/>
  <c r="F7"/>
  <c r="G7" s="1"/>
  <c r="H7" s="1"/>
  <c r="I7" s="1"/>
  <c r="J7" s="1"/>
  <c r="E7"/>
  <c r="J6"/>
  <c r="J21" s="1"/>
  <c r="I6"/>
  <c r="E6"/>
  <c r="Q4" i="4" l="1"/>
  <c r="R4" s="1"/>
  <c r="Q5"/>
  <c r="M17"/>
  <c r="D27"/>
  <c r="M16"/>
  <c r="M12"/>
  <c r="M8"/>
  <c r="J21"/>
  <c r="J22" s="1"/>
  <c r="K7" i="3"/>
  <c r="L7" s="1"/>
  <c r="J6"/>
  <c r="K6" s="1"/>
  <c r="L6" s="1"/>
  <c r="G7"/>
  <c r="I5"/>
  <c r="I7"/>
  <c r="G9"/>
  <c r="I9" s="1"/>
  <c r="G11"/>
  <c r="G13"/>
  <c r="I13" s="1"/>
  <c r="G15"/>
  <c r="I15" s="1"/>
  <c r="G17"/>
  <c r="I17" s="1"/>
  <c r="G8"/>
  <c r="I8" s="1"/>
  <c r="G10"/>
  <c r="G12"/>
  <c r="I12" s="1"/>
  <c r="G14"/>
  <c r="G16"/>
  <c r="I16" s="1"/>
  <c r="G6"/>
  <c r="I6" s="1"/>
  <c r="I11"/>
  <c r="I10"/>
  <c r="I14"/>
  <c r="I14" i="2"/>
  <c r="M13" s="1"/>
  <c r="L13"/>
  <c r="J22" i="1"/>
  <c r="N21" s="1"/>
  <c r="M21"/>
  <c r="D26" i="4" l="1"/>
  <c r="D28" s="1"/>
  <c r="D32" s="1"/>
  <c r="D33" s="1"/>
  <c r="D34" s="1"/>
  <c r="C24" i="3"/>
  <c r="C25" s="1"/>
  <c r="L18"/>
  <c r="L19" s="1"/>
</calcChain>
</file>

<file path=xl/sharedStrings.xml><?xml version="1.0" encoding="utf-8"?>
<sst xmlns="http://schemas.openxmlformats.org/spreadsheetml/2006/main" count="147" uniqueCount="65">
  <si>
    <t>Location</t>
  </si>
  <si>
    <t>Date</t>
  </si>
  <si>
    <t xml:space="preserve">Time </t>
  </si>
  <si>
    <t>Stage</t>
  </si>
  <si>
    <t>FlowMeter</t>
  </si>
  <si>
    <t>Dam</t>
  </si>
  <si>
    <t>Field Measurements</t>
  </si>
  <si>
    <t>Calculated Parameters</t>
  </si>
  <si>
    <t>Dist(S to N)(ft)</t>
  </si>
  <si>
    <t>Depth(cm)</t>
  </si>
  <si>
    <t>Flow(m/s)</t>
  </si>
  <si>
    <t>Width (in)</t>
  </si>
  <si>
    <t>Width (cm)</t>
  </si>
  <si>
    <t>Area(cm2)</t>
  </si>
  <si>
    <t>Area(m2)</t>
  </si>
  <si>
    <t>Flow*Area</t>
  </si>
  <si>
    <t>Discharge(m3/sec):</t>
  </si>
  <si>
    <t>Discharge(L/sec):</t>
  </si>
  <si>
    <t>DT</t>
  </si>
  <si>
    <t>LBJ</t>
  </si>
  <si>
    <t>Var</t>
  </si>
  <si>
    <t>a</t>
  </si>
  <si>
    <t>n</t>
  </si>
  <si>
    <t>S</t>
  </si>
  <si>
    <t>WP</t>
  </si>
  <si>
    <t>Xa</t>
  </si>
  <si>
    <t>R = Xa/WP</t>
  </si>
  <si>
    <t>b</t>
  </si>
  <si>
    <t>m3/s</t>
  </si>
  <si>
    <t>L/s</t>
  </si>
  <si>
    <t>Xa=x-section area</t>
  </si>
  <si>
    <t>x</t>
  </si>
  <si>
    <t>y</t>
  </si>
  <si>
    <t>m/m</t>
  </si>
  <si>
    <t>m2</t>
  </si>
  <si>
    <t>m</t>
  </si>
  <si>
    <t xml:space="preserve">ManningsVelocity = </t>
  </si>
  <si>
    <t>Mannings Velocity</t>
  </si>
  <si>
    <t>V =  (1 * R^2/3 * S^1/2)/n</t>
  </si>
  <si>
    <t>ManningsQ=</t>
  </si>
  <si>
    <t>m/s</t>
  </si>
  <si>
    <t>h</t>
  </si>
  <si>
    <t>RectangularArea(cm2)</t>
  </si>
  <si>
    <t>(Dist1+Dist2)/2</t>
  </si>
  <si>
    <t>Trapezoidal Area</t>
  </si>
  <si>
    <t>width (cm)</t>
  </si>
  <si>
    <t>b1</t>
  </si>
  <si>
    <t>b2</t>
  </si>
  <si>
    <t>(DepthAbove+Depth)/2</t>
  </si>
  <si>
    <t>(DepthBelow+Depth)/2</t>
  </si>
  <si>
    <t>Calculated Parameters - Rectangular Bins</t>
  </si>
  <si>
    <t>Calculated Parameters - Trapezoidal Bins</t>
  </si>
  <si>
    <t>Dist (cm)</t>
  </si>
  <si>
    <t>WP where depth!=0</t>
  </si>
  <si>
    <t>Q(m3/s)</t>
  </si>
  <si>
    <t>Q(L/s)</t>
  </si>
  <si>
    <t>Treapezoidal Area = 1/2 * (b1+b2) * h</t>
  </si>
  <si>
    <t>dist</t>
  </si>
  <si>
    <t>depth</t>
  </si>
  <si>
    <t>flow</t>
  </si>
  <si>
    <t>width</t>
  </si>
  <si>
    <t>trapezoidal-area</t>
  </si>
  <si>
    <t>Q-Area</t>
  </si>
  <si>
    <t>NaN</t>
  </si>
  <si>
    <t>Python output</t>
  </si>
</sst>
</file>

<file path=xl/styles.xml><?xml version="1.0" encoding="utf-8"?>
<styleSheet xmlns="http://schemas.openxmlformats.org/spreadsheetml/2006/main">
  <numFmts count="3">
    <numFmt numFmtId="164" formatCode="0.00000"/>
    <numFmt numFmtId="166" formatCode="0.000"/>
    <numFmt numFmtId="167" formatCode="0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13" xfId="0" applyFont="1" applyFill="1" applyBorder="1"/>
    <xf numFmtId="0" fontId="1" fillId="4" borderId="0" xfId="0" applyFont="1" applyFill="1" applyBorder="1"/>
    <xf numFmtId="0" fontId="1" fillId="4" borderId="1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0" borderId="0" xfId="0" applyNumberFormat="1"/>
    <xf numFmtId="2" fontId="1" fillId="3" borderId="4" xfId="0" applyNumberFormat="1" applyFont="1" applyFill="1" applyBorder="1"/>
    <xf numFmtId="2" fontId="1" fillId="3" borderId="5" xfId="0" applyNumberFormat="1" applyFont="1" applyFill="1" applyBorder="1"/>
    <xf numFmtId="2" fontId="1" fillId="3" borderId="6" xfId="0" applyNumberFormat="1" applyFont="1" applyFill="1" applyBorder="1"/>
    <xf numFmtId="2" fontId="1" fillId="3" borderId="7" xfId="0" applyNumberFormat="1" applyFont="1" applyFill="1" applyBorder="1"/>
    <xf numFmtId="2" fontId="1" fillId="3" borderId="8" xfId="0" applyNumberFormat="1" applyFont="1" applyFill="1" applyBorder="1"/>
    <xf numFmtId="2" fontId="1" fillId="4" borderId="9" xfId="0" applyNumberFormat="1" applyFont="1" applyFill="1" applyBorder="1"/>
    <xf numFmtId="2" fontId="1" fillId="4" borderId="10" xfId="0" applyNumberFormat="1" applyFont="1" applyFill="1" applyBorder="1"/>
    <xf numFmtId="2" fontId="1" fillId="4" borderId="11" xfId="0" applyNumberFormat="1" applyFont="1" applyFill="1" applyBorder="1"/>
    <xf numFmtId="2" fontId="1" fillId="4" borderId="12" xfId="0" applyNumberFormat="1" applyFont="1" applyFill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164" fontId="0" fillId="0" borderId="0" xfId="0" applyNumberFormat="1"/>
    <xf numFmtId="0" fontId="0" fillId="0" borderId="0" xfId="0" applyNumberFormat="1"/>
    <xf numFmtId="164" fontId="2" fillId="0" borderId="0" xfId="0" applyNumberFormat="1" applyFont="1"/>
    <xf numFmtId="166" fontId="2" fillId="0" borderId="0" xfId="0" applyNumberFormat="1" applyFont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ont="1" applyFill="1" applyBorder="1"/>
    <xf numFmtId="167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93"/>
          <c:y val="0.73535353535353565"/>
        </c:manualLayout>
      </c:layout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Dam!$B$6:$B$20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cat>
          <c:val>
            <c:numRef>
              <c:f>Dam!$E$6:$E$20</c:f>
              <c:numCache>
                <c:formatCode>General</c:formatCode>
                <c:ptCount val="15"/>
                <c:pt idx="0">
                  <c:v>0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</c:numCache>
            </c:numRef>
          </c:val>
        </c:ser>
        <c:marker val="1"/>
        <c:axId val="87715200"/>
        <c:axId val="87896832"/>
      </c:lineChart>
      <c:catAx>
        <c:axId val="87715200"/>
        <c:scaling>
          <c:orientation val="minMax"/>
        </c:scaling>
        <c:axPos val="b"/>
        <c:numFmt formatCode="General" sourceLinked="1"/>
        <c:tickLblPos val="nextTo"/>
        <c:crossAx val="87896832"/>
        <c:crosses val="autoZero"/>
        <c:auto val="1"/>
        <c:lblAlgn val="ctr"/>
        <c:lblOffset val="100"/>
      </c:catAx>
      <c:valAx>
        <c:axId val="87896832"/>
        <c:scaling>
          <c:orientation val="minMax"/>
        </c:scaling>
        <c:axPos val="l"/>
        <c:majorGridlines/>
        <c:numFmt formatCode="General" sourceLinked="1"/>
        <c:tickLblPos val="nextTo"/>
        <c:crossAx val="87715200"/>
        <c:crosses val="autoZero"/>
        <c:crossBetween val="between"/>
      </c:valAx>
    </c:plotArea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DriveThru!$A$5:$A$12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DriveThru!$D$5:$D$12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</c:ser>
        <c:marker val="1"/>
        <c:axId val="88086016"/>
        <c:axId val="88087552"/>
      </c:lineChart>
      <c:catAx>
        <c:axId val="88086016"/>
        <c:scaling>
          <c:orientation val="minMax"/>
        </c:scaling>
        <c:axPos val="b"/>
        <c:numFmt formatCode="General" sourceLinked="1"/>
        <c:tickLblPos val="nextTo"/>
        <c:crossAx val="88087552"/>
        <c:crosses val="autoZero"/>
        <c:auto val="1"/>
        <c:lblAlgn val="ctr"/>
        <c:lblOffset val="100"/>
      </c:catAx>
      <c:valAx>
        <c:axId val="88087552"/>
        <c:scaling>
          <c:orientation val="minMax"/>
        </c:scaling>
        <c:axPos val="l"/>
        <c:majorGridlines/>
        <c:numFmt formatCode="General" sourceLinked="1"/>
        <c:tickLblPos val="nextTo"/>
        <c:crossAx val="880860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LBJ Stream Cross</a:t>
            </a:r>
            <a:r>
              <a:rPr lang="en-US" baseline="0"/>
              <a:t> Section</a:t>
            </a:r>
            <a:endParaRPr lang="en-US"/>
          </a:p>
        </c:rich>
      </c:tx>
      <c:layout>
        <c:manualLayout>
          <c:xMode val="edge"/>
          <c:yMode val="edge"/>
          <c:x val="0.35875683624653304"/>
          <c:y val="6.7558768268720501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31837456488152"/>
          <c:y val="0.19018229278717216"/>
          <c:w val="0.86033871298002662"/>
          <c:h val="0.72817807610114338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LBJ!$A$5:$A$17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</c:numCache>
            </c:numRef>
          </c:cat>
          <c:val>
            <c:numRef>
              <c:f>LBJ!$D$5:$D$17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-12</c:v>
                </c:pt>
                <c:pt idx="3">
                  <c:v>-24</c:v>
                </c:pt>
                <c:pt idx="4">
                  <c:v>-23</c:v>
                </c:pt>
                <c:pt idx="5">
                  <c:v>-23</c:v>
                </c:pt>
                <c:pt idx="6">
                  <c:v>-31</c:v>
                </c:pt>
                <c:pt idx="7">
                  <c:v>-33</c:v>
                </c:pt>
                <c:pt idx="8">
                  <c:v>-31</c:v>
                </c:pt>
                <c:pt idx="9">
                  <c:v>-15</c:v>
                </c:pt>
                <c:pt idx="10">
                  <c:v>-12</c:v>
                </c:pt>
                <c:pt idx="11">
                  <c:v>-12</c:v>
                </c:pt>
                <c:pt idx="12">
                  <c:v>-9</c:v>
                </c:pt>
              </c:numCache>
            </c:numRef>
          </c:val>
        </c:ser>
        <c:marker val="1"/>
        <c:axId val="88164608"/>
        <c:axId val="88170880"/>
      </c:lineChart>
      <c:catAx>
        <c:axId val="8816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/>
        </c:title>
        <c:numFmt formatCode="0.00" sourceLinked="1"/>
        <c:tickLblPos val="nextTo"/>
        <c:crossAx val="88170880"/>
        <c:crosses val="autoZero"/>
        <c:auto val="1"/>
        <c:lblAlgn val="ctr"/>
        <c:lblOffset val="100"/>
      </c:catAx>
      <c:valAx>
        <c:axId val="8817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layout/>
        </c:title>
        <c:numFmt formatCode="0.00" sourceLinked="1"/>
        <c:tickLblPos val="nextTo"/>
        <c:crossAx val="88164608"/>
        <c:crosses val="autoZero"/>
        <c:crossBetween val="between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2</xdr:row>
      <xdr:rowOff>9525</xdr:rowOff>
    </xdr:from>
    <xdr:to>
      <xdr:col>19</xdr:col>
      <xdr:colOff>381000</xdr:colOff>
      <xdr:row>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161925</xdr:rowOff>
    </xdr:from>
    <xdr:to>
      <xdr:col>21</xdr:col>
      <xdr:colOff>152400</xdr:colOff>
      <xdr:row>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</xdr:row>
      <xdr:rowOff>76200</xdr:rowOff>
    </xdr:from>
    <xdr:to>
      <xdr:col>23</xdr:col>
      <xdr:colOff>114300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800100</xdr:colOff>
      <xdr:row>22</xdr:row>
      <xdr:rowOff>152400</xdr:rowOff>
    </xdr:from>
    <xdr:to>
      <xdr:col>12</xdr:col>
      <xdr:colOff>714375</xdr:colOff>
      <xdr:row>29</xdr:row>
      <xdr:rowOff>180975</xdr:rowOff>
    </xdr:to>
    <xdr:pic>
      <xdr:nvPicPr>
        <xdr:cNvPr id="2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16200000">
          <a:off x="8924925" y="4610100"/>
          <a:ext cx="1362075" cy="866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2"/>
  <sheetViews>
    <sheetView workbookViewId="0">
      <selection activeCell="G23" sqref="G23"/>
    </sheetView>
  </sheetViews>
  <sheetFormatPr defaultRowHeight="15"/>
  <cols>
    <col min="3" max="3" width="9.85546875" customWidth="1"/>
    <col min="11" max="11" width="10.5703125" customWidth="1"/>
  </cols>
  <sheetData>
    <row r="2" spans="2:10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</row>
    <row r="3" spans="2:10" ht="15.75" thickBot="1">
      <c r="B3" t="s">
        <v>5</v>
      </c>
      <c r="C3" s="4">
        <v>40989</v>
      </c>
      <c r="D3">
        <v>1600</v>
      </c>
      <c r="F3">
        <v>5</v>
      </c>
    </row>
    <row r="4" spans="2:10">
      <c r="B4" s="5" t="s">
        <v>6</v>
      </c>
      <c r="C4" s="6"/>
      <c r="D4" s="7"/>
      <c r="E4" s="8" t="s">
        <v>7</v>
      </c>
      <c r="F4" s="8"/>
      <c r="G4" s="8"/>
      <c r="H4" s="8"/>
      <c r="I4" s="8"/>
      <c r="J4" s="9"/>
    </row>
    <row r="5" spans="2:10">
      <c r="B5" s="10" t="s">
        <v>8</v>
      </c>
      <c r="C5" s="11" t="s">
        <v>9</v>
      </c>
      <c r="D5" s="12" t="s">
        <v>10</v>
      </c>
      <c r="E5" s="11" t="s">
        <v>9</v>
      </c>
      <c r="F5" s="11" t="s">
        <v>11</v>
      </c>
      <c r="G5" s="11" t="s">
        <v>12</v>
      </c>
      <c r="H5" s="11" t="s">
        <v>13</v>
      </c>
      <c r="I5" s="11" t="s">
        <v>14</v>
      </c>
      <c r="J5" s="13" t="s">
        <v>15</v>
      </c>
    </row>
    <row r="6" spans="2:10">
      <c r="B6" s="14">
        <v>0</v>
      </c>
      <c r="C6" s="15">
        <v>0</v>
      </c>
      <c r="D6" s="16">
        <v>0</v>
      </c>
      <c r="E6">
        <f t="shared" ref="E6:E20" si="0">0-C6</f>
        <v>0</v>
      </c>
      <c r="F6">
        <v>0</v>
      </c>
      <c r="G6">
        <v>0</v>
      </c>
      <c r="H6">
        <v>0</v>
      </c>
      <c r="I6">
        <f>H6/10000</f>
        <v>0</v>
      </c>
      <c r="J6">
        <f t="shared" ref="J6:J20" si="1">D6*I6</f>
        <v>0</v>
      </c>
    </row>
    <row r="7" spans="2:10">
      <c r="B7" s="14">
        <v>0.5</v>
      </c>
      <c r="C7">
        <v>7</v>
      </c>
      <c r="D7" s="16">
        <v>0.47</v>
      </c>
      <c r="E7">
        <f t="shared" si="0"/>
        <v>-7</v>
      </c>
      <c r="F7">
        <f>(B7-B6)*12</f>
        <v>6</v>
      </c>
      <c r="G7">
        <f t="shared" ref="G7:G20" si="2">F7*2.54</f>
        <v>15.24</v>
      </c>
      <c r="H7">
        <f>G7*((C8+C6)/2)</f>
        <v>53.34</v>
      </c>
      <c r="I7">
        <f t="shared" ref="I7:I20" si="3">H7/10000</f>
        <v>5.3340000000000002E-3</v>
      </c>
      <c r="J7">
        <f t="shared" si="1"/>
        <v>2.5069799999999998E-3</v>
      </c>
    </row>
    <row r="8" spans="2:10">
      <c r="B8" s="14">
        <v>1</v>
      </c>
      <c r="C8" s="15">
        <v>7</v>
      </c>
      <c r="D8" s="16">
        <v>0.6</v>
      </c>
      <c r="E8">
        <f t="shared" si="0"/>
        <v>-7</v>
      </c>
      <c r="F8">
        <f>(B8-B7)*12</f>
        <v>6</v>
      </c>
      <c r="G8">
        <f t="shared" si="2"/>
        <v>15.24</v>
      </c>
      <c r="H8">
        <f t="shared" ref="H8:H13" si="4">G8*((C9+C8)/2)</f>
        <v>106.68</v>
      </c>
      <c r="I8">
        <f t="shared" si="3"/>
        <v>1.0668E-2</v>
      </c>
      <c r="J8">
        <f t="shared" si="1"/>
        <v>6.4007999999999999E-3</v>
      </c>
    </row>
    <row r="9" spans="2:10">
      <c r="B9" s="14">
        <v>1.5</v>
      </c>
      <c r="C9" s="17">
        <v>7</v>
      </c>
      <c r="D9" s="16">
        <v>0.7</v>
      </c>
      <c r="E9">
        <f t="shared" si="0"/>
        <v>-7</v>
      </c>
      <c r="F9">
        <f t="shared" ref="F9:F20" si="5">(B9-B8)*12</f>
        <v>6</v>
      </c>
      <c r="G9">
        <f t="shared" si="2"/>
        <v>15.24</v>
      </c>
      <c r="H9">
        <f t="shared" si="4"/>
        <v>106.68</v>
      </c>
      <c r="I9">
        <f t="shared" si="3"/>
        <v>1.0668E-2</v>
      </c>
      <c r="J9">
        <f t="shared" si="1"/>
        <v>7.4675999999999996E-3</v>
      </c>
    </row>
    <row r="10" spans="2:10">
      <c r="B10" s="14">
        <v>2</v>
      </c>
      <c r="C10" s="17">
        <v>7</v>
      </c>
      <c r="D10" s="16">
        <v>0.84</v>
      </c>
      <c r="E10">
        <f t="shared" si="0"/>
        <v>-7</v>
      </c>
      <c r="F10">
        <f t="shared" si="5"/>
        <v>6</v>
      </c>
      <c r="G10">
        <f t="shared" si="2"/>
        <v>15.24</v>
      </c>
      <c r="H10">
        <f t="shared" si="4"/>
        <v>99.06</v>
      </c>
      <c r="I10">
        <f t="shared" si="3"/>
        <v>9.9059999999999999E-3</v>
      </c>
      <c r="J10">
        <f t="shared" si="1"/>
        <v>8.32104E-3</v>
      </c>
    </row>
    <row r="11" spans="2:10">
      <c r="B11" s="14">
        <v>2.5</v>
      </c>
      <c r="C11" s="17">
        <v>6</v>
      </c>
      <c r="D11" s="16">
        <v>0.77</v>
      </c>
      <c r="E11">
        <f t="shared" si="0"/>
        <v>-6</v>
      </c>
      <c r="F11">
        <f t="shared" si="5"/>
        <v>6</v>
      </c>
      <c r="G11">
        <f t="shared" si="2"/>
        <v>15.24</v>
      </c>
      <c r="H11">
        <f t="shared" si="4"/>
        <v>91.44</v>
      </c>
      <c r="I11">
        <f t="shared" si="3"/>
        <v>9.1439999999999994E-3</v>
      </c>
      <c r="J11">
        <f t="shared" si="1"/>
        <v>7.0408799999999994E-3</v>
      </c>
    </row>
    <row r="12" spans="2:10">
      <c r="B12" s="14">
        <v>3</v>
      </c>
      <c r="C12" s="17">
        <v>6</v>
      </c>
      <c r="D12" s="16">
        <v>0.82</v>
      </c>
      <c r="E12">
        <f t="shared" si="0"/>
        <v>-6</v>
      </c>
      <c r="F12">
        <f t="shared" si="5"/>
        <v>6</v>
      </c>
      <c r="G12">
        <f t="shared" si="2"/>
        <v>15.24</v>
      </c>
      <c r="H12">
        <f t="shared" si="4"/>
        <v>91.44</v>
      </c>
      <c r="I12">
        <f t="shared" si="3"/>
        <v>9.1439999999999994E-3</v>
      </c>
      <c r="J12">
        <f t="shared" si="1"/>
        <v>7.498079999999999E-3</v>
      </c>
    </row>
    <row r="13" spans="2:10">
      <c r="B13" s="14">
        <v>3.5</v>
      </c>
      <c r="C13" s="17">
        <v>6</v>
      </c>
      <c r="D13" s="16">
        <v>0.81</v>
      </c>
      <c r="E13">
        <f t="shared" si="0"/>
        <v>-6</v>
      </c>
      <c r="F13">
        <f t="shared" si="5"/>
        <v>6</v>
      </c>
      <c r="G13">
        <f t="shared" si="2"/>
        <v>15.24</v>
      </c>
      <c r="H13">
        <f t="shared" si="4"/>
        <v>83.820000000000007</v>
      </c>
      <c r="I13">
        <f t="shared" si="3"/>
        <v>8.3820000000000006E-3</v>
      </c>
      <c r="J13">
        <f t="shared" si="1"/>
        <v>6.7894200000000009E-3</v>
      </c>
    </row>
    <row r="14" spans="2:10">
      <c r="B14" s="14">
        <v>4</v>
      </c>
      <c r="C14" s="17">
        <v>5</v>
      </c>
      <c r="D14" s="16">
        <v>0.77</v>
      </c>
      <c r="E14">
        <f t="shared" si="0"/>
        <v>-5</v>
      </c>
      <c r="F14">
        <f t="shared" si="5"/>
        <v>6</v>
      </c>
      <c r="G14">
        <f t="shared" si="2"/>
        <v>15.24</v>
      </c>
      <c r="H14">
        <f>G14*((C19+C14)/2)</f>
        <v>60.96</v>
      </c>
      <c r="I14">
        <f t="shared" si="3"/>
        <v>6.0959999999999999E-3</v>
      </c>
      <c r="J14">
        <f t="shared" si="1"/>
        <v>4.6939199999999999E-3</v>
      </c>
    </row>
    <row r="15" spans="2:10">
      <c r="B15" s="14">
        <v>4.5</v>
      </c>
      <c r="C15" s="17">
        <v>5</v>
      </c>
      <c r="D15" s="16">
        <v>0.67</v>
      </c>
      <c r="E15">
        <f t="shared" si="0"/>
        <v>-5</v>
      </c>
      <c r="F15">
        <f t="shared" si="5"/>
        <v>6</v>
      </c>
      <c r="G15">
        <f t="shared" si="2"/>
        <v>15.24</v>
      </c>
      <c r="H15">
        <f>G15*((C19+C15)/2)</f>
        <v>60.96</v>
      </c>
      <c r="I15">
        <f t="shared" si="3"/>
        <v>6.0959999999999999E-3</v>
      </c>
      <c r="J15">
        <f t="shared" si="1"/>
        <v>4.0843199999999998E-3</v>
      </c>
    </row>
    <row r="16" spans="2:10">
      <c r="B16" s="14">
        <v>5</v>
      </c>
      <c r="C16" s="17">
        <v>5</v>
      </c>
      <c r="D16" s="16">
        <v>0.4</v>
      </c>
      <c r="E16">
        <f t="shared" si="0"/>
        <v>-5</v>
      </c>
      <c r="F16">
        <f t="shared" si="5"/>
        <v>6</v>
      </c>
      <c r="G16">
        <f t="shared" si="2"/>
        <v>15.24</v>
      </c>
      <c r="H16">
        <f>G16*((C20+C16)/2)</f>
        <v>53.34</v>
      </c>
      <c r="I16">
        <f t="shared" si="3"/>
        <v>5.3340000000000002E-3</v>
      </c>
      <c r="J16">
        <f t="shared" si="1"/>
        <v>2.1336000000000003E-3</v>
      </c>
    </row>
    <row r="17" spans="2:14">
      <c r="B17" s="14">
        <v>5.5</v>
      </c>
      <c r="C17" s="17">
        <v>5</v>
      </c>
      <c r="D17" s="16">
        <v>0.17</v>
      </c>
      <c r="E17">
        <f t="shared" si="0"/>
        <v>-5</v>
      </c>
      <c r="F17">
        <f t="shared" si="5"/>
        <v>6</v>
      </c>
      <c r="G17">
        <f t="shared" si="2"/>
        <v>15.24</v>
      </c>
      <c r="H17">
        <f>G17*((C19+C17)/2)</f>
        <v>60.96</v>
      </c>
      <c r="I17">
        <f t="shared" si="3"/>
        <v>6.0959999999999999E-3</v>
      </c>
      <c r="J17">
        <f t="shared" si="1"/>
        <v>1.0363200000000001E-3</v>
      </c>
    </row>
    <row r="18" spans="2:14">
      <c r="B18" s="14">
        <v>6</v>
      </c>
      <c r="C18" s="17">
        <v>4</v>
      </c>
      <c r="D18" s="16">
        <v>7.0000000000000007E-2</v>
      </c>
      <c r="E18">
        <f t="shared" si="0"/>
        <v>-4</v>
      </c>
      <c r="F18">
        <f t="shared" si="5"/>
        <v>6</v>
      </c>
      <c r="G18">
        <f t="shared" si="2"/>
        <v>15.24</v>
      </c>
      <c r="H18">
        <f>G18*((C20+C18)/2)</f>
        <v>45.72</v>
      </c>
      <c r="I18">
        <f t="shared" si="3"/>
        <v>4.5719999999999997E-3</v>
      </c>
      <c r="J18">
        <f t="shared" si="1"/>
        <v>3.2004000000000001E-4</v>
      </c>
    </row>
    <row r="19" spans="2:14">
      <c r="B19" s="14">
        <v>6.5</v>
      </c>
      <c r="C19" s="17">
        <v>3</v>
      </c>
      <c r="D19" s="16">
        <v>0.16</v>
      </c>
      <c r="E19">
        <f t="shared" si="0"/>
        <v>-3</v>
      </c>
      <c r="F19">
        <f t="shared" si="5"/>
        <v>6</v>
      </c>
      <c r="G19">
        <f t="shared" si="2"/>
        <v>15.24</v>
      </c>
      <c r="H19">
        <f>G19*((C20+C19)/2)</f>
        <v>38.1</v>
      </c>
      <c r="I19">
        <f t="shared" si="3"/>
        <v>3.81E-3</v>
      </c>
      <c r="J19">
        <f t="shared" si="1"/>
        <v>6.0959999999999996E-4</v>
      </c>
    </row>
    <row r="20" spans="2:14" ht="15.75" thickBot="1">
      <c r="B20" s="18">
        <v>7</v>
      </c>
      <c r="C20" s="19">
        <v>2</v>
      </c>
      <c r="D20" s="20">
        <v>0.28000000000000003</v>
      </c>
      <c r="E20">
        <f t="shared" si="0"/>
        <v>-2</v>
      </c>
      <c r="F20">
        <f t="shared" si="5"/>
        <v>6</v>
      </c>
      <c r="G20">
        <f t="shared" si="2"/>
        <v>15.24</v>
      </c>
      <c r="H20">
        <f t="shared" ref="H20" si="6">G20*((C21+C20)/2)</f>
        <v>56.061428571428571</v>
      </c>
      <c r="I20">
        <f t="shared" si="3"/>
        <v>5.6061428571428573E-3</v>
      </c>
      <c r="J20">
        <f t="shared" si="1"/>
        <v>1.5697200000000001E-3</v>
      </c>
    </row>
    <row r="21" spans="2:14">
      <c r="C21">
        <f>AVERAGE(C7:C20)</f>
        <v>5.3571428571428568</v>
      </c>
      <c r="H21" t="s">
        <v>16</v>
      </c>
      <c r="J21">
        <f>SUM(J6:J19)</f>
        <v>5.8902600000000006E-2</v>
      </c>
      <c r="K21" s="4">
        <f>C3</f>
        <v>40989</v>
      </c>
      <c r="L21">
        <f>D3</f>
        <v>1600</v>
      </c>
      <c r="M21">
        <f>J21</f>
        <v>5.8902600000000006E-2</v>
      </c>
      <c r="N21">
        <f>J22</f>
        <v>58.902600000000007</v>
      </c>
    </row>
    <row r="22" spans="2:14">
      <c r="H22" t="s">
        <v>17</v>
      </c>
      <c r="J22">
        <f>J21*1000</f>
        <v>58.902600000000007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D5" activeCellId="1" sqref="A5:A12 D5:D12"/>
    </sheetView>
  </sheetViews>
  <sheetFormatPr defaultRowHeight="15"/>
  <cols>
    <col min="2" max="2" width="13.42578125" customWidth="1"/>
    <col min="10" max="10" width="13.140625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13" ht="15.75" thickBot="1">
      <c r="A2" t="s">
        <v>18</v>
      </c>
      <c r="B2" s="4">
        <v>40933</v>
      </c>
      <c r="C2">
        <v>1856</v>
      </c>
      <c r="E2">
        <v>15</v>
      </c>
    </row>
    <row r="3" spans="1:13">
      <c r="A3" s="5" t="s">
        <v>6</v>
      </c>
      <c r="B3" s="6"/>
      <c r="C3" s="7"/>
      <c r="D3" s="8" t="s">
        <v>7</v>
      </c>
      <c r="E3" s="8"/>
      <c r="F3" s="8"/>
      <c r="G3" s="8"/>
      <c r="H3" s="8"/>
      <c r="I3" s="9"/>
    </row>
    <row r="4" spans="1:13" ht="15.75" thickBot="1">
      <c r="A4" s="21" t="s">
        <v>8</v>
      </c>
      <c r="B4" s="22" t="s">
        <v>9</v>
      </c>
      <c r="C4" s="23" t="s">
        <v>10</v>
      </c>
      <c r="D4" s="11" t="s">
        <v>9</v>
      </c>
      <c r="E4" s="11" t="s">
        <v>11</v>
      </c>
      <c r="F4" s="11" t="s">
        <v>12</v>
      </c>
      <c r="G4" s="11" t="s">
        <v>13</v>
      </c>
      <c r="H4" s="11" t="s">
        <v>14</v>
      </c>
      <c r="I4" s="13" t="s">
        <v>15</v>
      </c>
    </row>
    <row r="5" spans="1:13">
      <c r="A5" s="24">
        <v>0</v>
      </c>
      <c r="B5" s="25">
        <v>0</v>
      </c>
      <c r="C5" s="26">
        <v>0</v>
      </c>
      <c r="D5">
        <f t="shared" ref="D5:D12" si="0">0-B5</f>
        <v>0</v>
      </c>
      <c r="E5">
        <v>0</v>
      </c>
      <c r="F5">
        <v>0</v>
      </c>
      <c r="G5">
        <v>0</v>
      </c>
      <c r="H5">
        <f>G5/10000</f>
        <v>0</v>
      </c>
      <c r="I5">
        <f t="shared" ref="I5:I12" si="1">C5*H5</f>
        <v>0</v>
      </c>
    </row>
    <row r="6" spans="1:13">
      <c r="A6" s="14">
        <v>1</v>
      </c>
      <c r="B6" s="15">
        <v>23</v>
      </c>
      <c r="C6" s="16">
        <v>0.2</v>
      </c>
      <c r="D6">
        <f t="shared" si="0"/>
        <v>-23</v>
      </c>
      <c r="E6">
        <f>(A6-A5)*12</f>
        <v>12</v>
      </c>
      <c r="F6">
        <f>E6*2.54</f>
        <v>30.48</v>
      </c>
      <c r="G6">
        <f t="shared" ref="G6:G11" si="2">F6*((B6+B5)/2)</f>
        <v>350.52</v>
      </c>
      <c r="H6">
        <f t="shared" ref="H6:H12" si="3">G6/10000</f>
        <v>3.5052E-2</v>
      </c>
      <c r="I6">
        <f t="shared" si="1"/>
        <v>7.0104E-3</v>
      </c>
    </row>
    <row r="7" spans="1:13">
      <c r="A7" s="14">
        <v>2</v>
      </c>
      <c r="B7" s="15">
        <v>35</v>
      </c>
      <c r="C7" s="16">
        <v>0.23</v>
      </c>
      <c r="D7">
        <f t="shared" si="0"/>
        <v>-35</v>
      </c>
      <c r="E7">
        <f t="shared" ref="E7:E11" si="4">(A7-A6)*12</f>
        <v>12</v>
      </c>
      <c r="F7">
        <f t="shared" ref="F7:F12" si="5">E7*2.54</f>
        <v>30.48</v>
      </c>
      <c r="G7">
        <f t="shared" si="2"/>
        <v>883.92</v>
      </c>
      <c r="H7">
        <f t="shared" si="3"/>
        <v>8.8391999999999998E-2</v>
      </c>
      <c r="I7">
        <f t="shared" si="1"/>
        <v>2.033016E-2</v>
      </c>
    </row>
    <row r="8" spans="1:13">
      <c r="A8" s="14">
        <v>3</v>
      </c>
      <c r="B8" s="17">
        <v>34</v>
      </c>
      <c r="C8" s="16">
        <v>0.25</v>
      </c>
      <c r="D8">
        <f t="shared" si="0"/>
        <v>-34</v>
      </c>
      <c r="E8">
        <f t="shared" si="4"/>
        <v>12</v>
      </c>
      <c r="F8">
        <f t="shared" si="5"/>
        <v>30.48</v>
      </c>
      <c r="G8">
        <f t="shared" si="2"/>
        <v>1051.56</v>
      </c>
      <c r="H8">
        <f t="shared" si="3"/>
        <v>0.105156</v>
      </c>
      <c r="I8">
        <f t="shared" si="1"/>
        <v>2.6289E-2</v>
      </c>
    </row>
    <row r="9" spans="1:13">
      <c r="A9" s="14">
        <v>4</v>
      </c>
      <c r="B9" s="17">
        <v>29</v>
      </c>
      <c r="C9" s="16">
        <v>0.36</v>
      </c>
      <c r="D9">
        <f t="shared" si="0"/>
        <v>-29</v>
      </c>
      <c r="E9">
        <f t="shared" si="4"/>
        <v>12</v>
      </c>
      <c r="F9">
        <f t="shared" si="5"/>
        <v>30.48</v>
      </c>
      <c r="G9">
        <f t="shared" si="2"/>
        <v>960.12</v>
      </c>
      <c r="H9">
        <f t="shared" si="3"/>
        <v>9.6012E-2</v>
      </c>
      <c r="I9">
        <f t="shared" si="1"/>
        <v>3.4564319999999996E-2</v>
      </c>
    </row>
    <row r="10" spans="1:13">
      <c r="A10" s="14">
        <v>5</v>
      </c>
      <c r="B10" s="17">
        <v>23</v>
      </c>
      <c r="C10" s="16">
        <v>0.34</v>
      </c>
      <c r="D10">
        <f t="shared" si="0"/>
        <v>-23</v>
      </c>
      <c r="E10">
        <f t="shared" si="4"/>
        <v>12</v>
      </c>
      <c r="F10">
        <f t="shared" si="5"/>
        <v>30.48</v>
      </c>
      <c r="G10">
        <f t="shared" si="2"/>
        <v>792.48</v>
      </c>
      <c r="H10">
        <f t="shared" si="3"/>
        <v>7.9247999999999999E-2</v>
      </c>
      <c r="I10">
        <f t="shared" si="1"/>
        <v>2.6944320000000001E-2</v>
      </c>
    </row>
    <row r="11" spans="1:13">
      <c r="A11" s="14">
        <v>6</v>
      </c>
      <c r="B11" s="17">
        <v>24</v>
      </c>
      <c r="C11" s="16">
        <v>0.27</v>
      </c>
      <c r="D11">
        <f t="shared" si="0"/>
        <v>-24</v>
      </c>
      <c r="E11">
        <f t="shared" si="4"/>
        <v>12</v>
      </c>
      <c r="F11">
        <f t="shared" si="5"/>
        <v>30.48</v>
      </c>
      <c r="G11">
        <f t="shared" si="2"/>
        <v>716.28</v>
      </c>
      <c r="H11">
        <f t="shared" si="3"/>
        <v>7.1627999999999997E-2</v>
      </c>
      <c r="I11">
        <f t="shared" si="1"/>
        <v>1.9339560000000002E-2</v>
      </c>
    </row>
    <row r="12" spans="1:13" ht="15.75" thickBot="1">
      <c r="A12" s="18">
        <v>7</v>
      </c>
      <c r="B12" s="19">
        <v>0</v>
      </c>
      <c r="C12" s="20">
        <v>0</v>
      </c>
      <c r="D12">
        <f t="shared" si="0"/>
        <v>0</v>
      </c>
      <c r="E12">
        <v>12</v>
      </c>
      <c r="F12">
        <f t="shared" si="5"/>
        <v>30.48</v>
      </c>
      <c r="G12">
        <f>F12*((B12+B10)/2)</f>
        <v>350.52</v>
      </c>
      <c r="H12">
        <f t="shared" si="3"/>
        <v>3.5052E-2</v>
      </c>
      <c r="I12">
        <f t="shared" si="1"/>
        <v>0</v>
      </c>
    </row>
    <row r="13" spans="1:13">
      <c r="G13" t="s">
        <v>16</v>
      </c>
      <c r="I13">
        <f>SUM(I5:I12)</f>
        <v>0.13447776</v>
      </c>
      <c r="J13" s="4">
        <f>B2</f>
        <v>40933</v>
      </c>
      <c r="K13">
        <f>C2</f>
        <v>1856</v>
      </c>
      <c r="L13">
        <f>I13</f>
        <v>0.13447776</v>
      </c>
      <c r="M13">
        <f>I14</f>
        <v>134.47775999999999</v>
      </c>
    </row>
    <row r="14" spans="1:13">
      <c r="G14" t="s">
        <v>17</v>
      </c>
      <c r="I14">
        <f>I13*1000</f>
        <v>134.47775999999999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D18" sqref="D18"/>
    </sheetView>
  </sheetViews>
  <sheetFormatPr defaultRowHeight="15"/>
  <cols>
    <col min="1" max="1" width="16.85546875" style="30" customWidth="1"/>
    <col min="2" max="2" width="10.7109375" style="30" customWidth="1"/>
    <col min="3" max="3" width="11" style="30" customWidth="1"/>
    <col min="4" max="4" width="12.140625" style="30" customWidth="1"/>
    <col min="5" max="5" width="11.140625" style="30" customWidth="1"/>
    <col min="6" max="9" width="11.7109375" style="30" customWidth="1"/>
    <col min="10" max="10" width="10.85546875" style="30" customWidth="1"/>
    <col min="11" max="11" width="9.28515625" style="30" customWidth="1"/>
    <col min="12" max="12" width="12" style="30" customWidth="1"/>
    <col min="13" max="16384" width="9.140625" style="30"/>
  </cols>
  <sheetData>
    <row r="1" spans="1:12">
      <c r="A1" s="27" t="s">
        <v>0</v>
      </c>
      <c r="B1" s="28" t="s">
        <v>1</v>
      </c>
      <c r="C1" s="28" t="s">
        <v>2</v>
      </c>
      <c r="D1" s="29" t="s">
        <v>3</v>
      </c>
      <c r="E1" s="29" t="s">
        <v>4</v>
      </c>
    </row>
    <row r="2" spans="1:12" ht="15.75" thickBot="1">
      <c r="A2" s="30" t="s">
        <v>19</v>
      </c>
      <c r="B2" s="4">
        <v>40989</v>
      </c>
      <c r="C2" s="47">
        <v>1445</v>
      </c>
      <c r="D2" s="30">
        <v>15</v>
      </c>
      <c r="E2" s="30" t="s">
        <v>20</v>
      </c>
    </row>
    <row r="3" spans="1:12">
      <c r="A3" s="31" t="s">
        <v>6</v>
      </c>
      <c r="B3" s="32"/>
      <c r="C3" s="33"/>
      <c r="D3" s="34" t="s">
        <v>7</v>
      </c>
      <c r="E3" s="34"/>
      <c r="F3" s="34"/>
      <c r="G3" s="34"/>
      <c r="H3" s="34"/>
      <c r="I3" s="34"/>
      <c r="J3" s="34"/>
      <c r="K3" s="34"/>
      <c r="L3" s="35"/>
    </row>
    <row r="4" spans="1:12">
      <c r="A4" s="36" t="s">
        <v>8</v>
      </c>
      <c r="B4" s="37" t="s">
        <v>9</v>
      </c>
      <c r="C4" s="38" t="s">
        <v>10</v>
      </c>
      <c r="D4" s="37" t="s">
        <v>9</v>
      </c>
      <c r="E4" s="37" t="s">
        <v>11</v>
      </c>
      <c r="F4" s="37" t="s">
        <v>12</v>
      </c>
      <c r="G4" s="37" t="s">
        <v>21</v>
      </c>
      <c r="H4" s="37" t="s">
        <v>27</v>
      </c>
      <c r="I4" s="37" t="s">
        <v>24</v>
      </c>
      <c r="J4" s="37" t="s">
        <v>13</v>
      </c>
      <c r="K4" s="37" t="s">
        <v>14</v>
      </c>
      <c r="L4" s="39" t="s">
        <v>15</v>
      </c>
    </row>
    <row r="5" spans="1:12">
      <c r="A5" s="40">
        <v>0</v>
      </c>
      <c r="B5" s="41">
        <v>0</v>
      </c>
      <c r="C5" s="42">
        <v>0</v>
      </c>
      <c r="D5" s="30">
        <f>0-B5</f>
        <v>0</v>
      </c>
      <c r="E5" s="30">
        <v>0</v>
      </c>
      <c r="F5" s="30">
        <v>0</v>
      </c>
      <c r="G5" s="30">
        <f>F5</f>
        <v>0</v>
      </c>
      <c r="H5" s="30">
        <f>D5</f>
        <v>0</v>
      </c>
      <c r="I5" s="30">
        <f>SQRT((G5^2)+(H5^2))</f>
        <v>0</v>
      </c>
      <c r="J5" s="30">
        <v>0</v>
      </c>
      <c r="K5" s="30">
        <f>J5/10000</f>
        <v>0</v>
      </c>
      <c r="L5" s="30">
        <f t="shared" ref="L5:L17" si="0">C5*K5</f>
        <v>0</v>
      </c>
    </row>
    <row r="6" spans="1:12">
      <c r="A6" s="40">
        <v>1</v>
      </c>
      <c r="B6" s="41">
        <v>0</v>
      </c>
      <c r="C6" s="42">
        <v>0</v>
      </c>
      <c r="D6" s="30">
        <f t="shared" ref="D6:D17" si="1">0-B6</f>
        <v>0</v>
      </c>
      <c r="E6" s="30">
        <f>(A6-A5)*12</f>
        <v>12</v>
      </c>
      <c r="F6" s="30">
        <f>E6*2.54</f>
        <v>30.48</v>
      </c>
      <c r="G6" s="30">
        <f>F6</f>
        <v>30.48</v>
      </c>
      <c r="H6" s="30">
        <f>B6-B5</f>
        <v>0</v>
      </c>
      <c r="I6" s="30">
        <f>SQRT((G6^2)+(H6^2))</f>
        <v>30.48</v>
      </c>
      <c r="J6" s="30">
        <f>F6*((B6+B5)/2)</f>
        <v>0</v>
      </c>
      <c r="K6" s="30">
        <f t="shared" ref="K6:K17" si="2">J6/10000</f>
        <v>0</v>
      </c>
      <c r="L6" s="30">
        <f t="shared" si="0"/>
        <v>0</v>
      </c>
    </row>
    <row r="7" spans="1:12">
      <c r="A7" s="40">
        <v>2</v>
      </c>
      <c r="B7" s="41">
        <v>12</v>
      </c>
      <c r="C7" s="42">
        <v>0</v>
      </c>
      <c r="D7" s="30">
        <f t="shared" si="1"/>
        <v>-12</v>
      </c>
      <c r="E7" s="30">
        <f t="shared" ref="E7:E17" si="3">(A7-A6)*12</f>
        <v>12</v>
      </c>
      <c r="F7" s="30">
        <f t="shared" ref="F7:F17" si="4">E7*2.54</f>
        <v>30.48</v>
      </c>
      <c r="G7" s="30">
        <f>F7</f>
        <v>30.48</v>
      </c>
      <c r="H7" s="30">
        <f>B7-B6</f>
        <v>12</v>
      </c>
      <c r="I7" s="30">
        <f>SQRT((G7^2)+(H7^2))</f>
        <v>32.757142732540032</v>
      </c>
      <c r="J7" s="30">
        <f>F7*((B7+B6)/2)</f>
        <v>182.88</v>
      </c>
      <c r="K7" s="30">
        <f t="shared" si="2"/>
        <v>1.8287999999999999E-2</v>
      </c>
      <c r="L7" s="30">
        <f t="shared" si="0"/>
        <v>0</v>
      </c>
    </row>
    <row r="8" spans="1:12">
      <c r="A8" s="40">
        <v>2.5</v>
      </c>
      <c r="B8" s="41">
        <v>24</v>
      </c>
      <c r="C8" s="42">
        <v>0.03</v>
      </c>
      <c r="D8" s="30">
        <f t="shared" si="1"/>
        <v>-24</v>
      </c>
      <c r="E8" s="30">
        <f t="shared" si="3"/>
        <v>6</v>
      </c>
      <c r="F8" s="30">
        <f t="shared" si="4"/>
        <v>15.24</v>
      </c>
      <c r="G8" s="30">
        <f t="shared" ref="G8:G17" si="5">F8</f>
        <v>15.24</v>
      </c>
      <c r="H8" s="30">
        <f>B8-B7</f>
        <v>12</v>
      </c>
      <c r="I8" s="30">
        <f>SQRT((G8^2)+(H8^2))</f>
        <v>19.397360645201193</v>
      </c>
      <c r="J8" s="30">
        <f t="shared" ref="J8:J13" si="6">F8*((B8+B7)/2)</f>
        <v>274.32</v>
      </c>
      <c r="K8" s="30">
        <f t="shared" si="2"/>
        <v>2.7431999999999998E-2</v>
      </c>
      <c r="L8" s="30">
        <f t="shared" si="0"/>
        <v>8.2295999999999986E-4</v>
      </c>
    </row>
    <row r="9" spans="1:12">
      <c r="A9" s="40">
        <v>3</v>
      </c>
      <c r="B9" s="41">
        <v>23</v>
      </c>
      <c r="C9" s="42">
        <v>0.28000000000000003</v>
      </c>
      <c r="D9" s="30">
        <f t="shared" si="1"/>
        <v>-23</v>
      </c>
      <c r="E9" s="30">
        <f t="shared" si="3"/>
        <v>6</v>
      </c>
      <c r="F9" s="30">
        <f t="shared" si="4"/>
        <v>15.24</v>
      </c>
      <c r="G9" s="30">
        <f t="shared" si="5"/>
        <v>15.24</v>
      </c>
      <c r="H9" s="30">
        <f t="shared" ref="H9:H17" si="7">B9-B8</f>
        <v>-1</v>
      </c>
      <c r="I9" s="30">
        <f t="shared" ref="I9:I17" si="8">SQRT((G9^2)+(H9^2))</f>
        <v>15.272773160104226</v>
      </c>
      <c r="J9" s="30">
        <f t="shared" si="6"/>
        <v>358.14</v>
      </c>
      <c r="K9" s="30">
        <f t="shared" si="2"/>
        <v>3.5813999999999999E-2</v>
      </c>
      <c r="L9" s="30">
        <f t="shared" si="0"/>
        <v>1.0027920000000001E-2</v>
      </c>
    </row>
    <row r="10" spans="1:12">
      <c r="A10" s="40">
        <v>3.5</v>
      </c>
      <c r="B10" s="41">
        <v>23</v>
      </c>
      <c r="C10" s="42">
        <v>0.28999999999999998</v>
      </c>
      <c r="D10" s="30">
        <f t="shared" si="1"/>
        <v>-23</v>
      </c>
      <c r="E10" s="30">
        <f t="shared" si="3"/>
        <v>6</v>
      </c>
      <c r="F10" s="30">
        <f t="shared" si="4"/>
        <v>15.24</v>
      </c>
      <c r="G10" s="30">
        <f t="shared" si="5"/>
        <v>15.24</v>
      </c>
      <c r="H10" s="30">
        <f t="shared" si="7"/>
        <v>0</v>
      </c>
      <c r="I10" s="30">
        <f t="shared" si="8"/>
        <v>15.24</v>
      </c>
      <c r="J10" s="30">
        <f t="shared" si="6"/>
        <v>350.52</v>
      </c>
      <c r="K10" s="30">
        <f t="shared" si="2"/>
        <v>3.5052E-2</v>
      </c>
      <c r="L10" s="30">
        <f t="shared" si="0"/>
        <v>1.016508E-2</v>
      </c>
    </row>
    <row r="11" spans="1:12">
      <c r="A11" s="40">
        <v>4</v>
      </c>
      <c r="B11" s="41">
        <v>31</v>
      </c>
      <c r="C11" s="42">
        <v>0.25</v>
      </c>
      <c r="D11" s="30">
        <f t="shared" si="1"/>
        <v>-31</v>
      </c>
      <c r="E11" s="30">
        <f t="shared" si="3"/>
        <v>6</v>
      </c>
      <c r="F11" s="30">
        <f t="shared" si="4"/>
        <v>15.24</v>
      </c>
      <c r="G11" s="30">
        <f t="shared" si="5"/>
        <v>15.24</v>
      </c>
      <c r="H11" s="30">
        <f t="shared" si="7"/>
        <v>8</v>
      </c>
      <c r="I11" s="30">
        <f t="shared" si="8"/>
        <v>17.212135253942204</v>
      </c>
      <c r="J11" s="30">
        <f t="shared" si="6"/>
        <v>411.48</v>
      </c>
      <c r="K11" s="30">
        <f t="shared" si="2"/>
        <v>4.1148000000000004E-2</v>
      </c>
      <c r="L11" s="30">
        <f t="shared" si="0"/>
        <v>1.0287000000000001E-2</v>
      </c>
    </row>
    <row r="12" spans="1:12">
      <c r="A12" s="40">
        <v>4.5</v>
      </c>
      <c r="B12" s="41">
        <v>33</v>
      </c>
      <c r="C12" s="42">
        <v>0.63</v>
      </c>
      <c r="D12" s="30">
        <f t="shared" si="1"/>
        <v>-33</v>
      </c>
      <c r="E12" s="30">
        <f t="shared" si="3"/>
        <v>6</v>
      </c>
      <c r="F12" s="30">
        <f t="shared" si="4"/>
        <v>15.24</v>
      </c>
      <c r="G12" s="30">
        <f t="shared" si="5"/>
        <v>15.24</v>
      </c>
      <c r="H12" s="30">
        <f t="shared" si="7"/>
        <v>2</v>
      </c>
      <c r="I12" s="30">
        <f t="shared" si="8"/>
        <v>15.370673374969622</v>
      </c>
      <c r="J12" s="30">
        <f t="shared" si="6"/>
        <v>487.68</v>
      </c>
      <c r="K12" s="30">
        <f t="shared" si="2"/>
        <v>4.8767999999999999E-2</v>
      </c>
      <c r="L12" s="30">
        <f t="shared" si="0"/>
        <v>3.0723839999999999E-2</v>
      </c>
    </row>
    <row r="13" spans="1:12">
      <c r="A13" s="40">
        <v>5</v>
      </c>
      <c r="B13" s="41">
        <v>31</v>
      </c>
      <c r="C13" s="42">
        <v>0.7</v>
      </c>
      <c r="D13" s="30">
        <f t="shared" si="1"/>
        <v>-31</v>
      </c>
      <c r="E13" s="30">
        <f t="shared" si="3"/>
        <v>6</v>
      </c>
      <c r="F13" s="30">
        <f t="shared" si="4"/>
        <v>15.24</v>
      </c>
      <c r="G13" s="30">
        <f t="shared" si="5"/>
        <v>15.24</v>
      </c>
      <c r="H13" s="30">
        <f t="shared" si="7"/>
        <v>-2</v>
      </c>
      <c r="I13" s="30">
        <f t="shared" si="8"/>
        <v>15.370673374969622</v>
      </c>
      <c r="J13" s="30">
        <f t="shared" si="6"/>
        <v>487.68</v>
      </c>
      <c r="K13" s="30">
        <f t="shared" si="2"/>
        <v>4.8767999999999999E-2</v>
      </c>
      <c r="L13" s="30">
        <f t="shared" si="0"/>
        <v>3.4137599999999997E-2</v>
      </c>
    </row>
    <row r="14" spans="1:12">
      <c r="A14" s="40">
        <v>5.5</v>
      </c>
      <c r="B14" s="41">
        <v>15</v>
      </c>
      <c r="C14" s="42">
        <v>0.28999999999999998</v>
      </c>
      <c r="D14" s="30">
        <f t="shared" si="1"/>
        <v>-15</v>
      </c>
      <c r="E14" s="30">
        <f t="shared" si="3"/>
        <v>6</v>
      </c>
      <c r="F14" s="30">
        <f t="shared" si="4"/>
        <v>15.24</v>
      </c>
      <c r="G14" s="30">
        <f t="shared" si="5"/>
        <v>15.24</v>
      </c>
      <c r="H14" s="30">
        <f t="shared" si="7"/>
        <v>-16</v>
      </c>
      <c r="I14" s="30">
        <f t="shared" si="8"/>
        <v>22.096551767187567</v>
      </c>
      <c r="J14" s="30">
        <f>F14*((B14+B12)/2)</f>
        <v>365.76</v>
      </c>
      <c r="K14" s="30">
        <f t="shared" si="2"/>
        <v>3.6575999999999997E-2</v>
      </c>
      <c r="L14" s="30">
        <f t="shared" si="0"/>
        <v>1.0607039999999998E-2</v>
      </c>
    </row>
    <row r="15" spans="1:12">
      <c r="A15" s="40">
        <v>6</v>
      </c>
      <c r="B15" s="41">
        <v>12</v>
      </c>
      <c r="C15" s="42">
        <v>0.06</v>
      </c>
      <c r="D15" s="30">
        <f t="shared" si="1"/>
        <v>-12</v>
      </c>
      <c r="E15" s="30">
        <f t="shared" si="3"/>
        <v>6</v>
      </c>
      <c r="F15" s="30">
        <f t="shared" si="4"/>
        <v>15.24</v>
      </c>
      <c r="G15" s="30">
        <f t="shared" si="5"/>
        <v>15.24</v>
      </c>
      <c r="H15" s="30">
        <f t="shared" si="7"/>
        <v>-3</v>
      </c>
      <c r="I15" s="30">
        <f t="shared" si="8"/>
        <v>15.532469217738692</v>
      </c>
      <c r="J15" s="30">
        <f>F15*((B15+B13)/2)</f>
        <v>327.66000000000003</v>
      </c>
      <c r="K15" s="30">
        <f t="shared" si="2"/>
        <v>3.2766000000000003E-2</v>
      </c>
      <c r="L15" s="30">
        <f t="shared" si="0"/>
        <v>1.9659600000000001E-3</v>
      </c>
    </row>
    <row r="16" spans="1:12">
      <c r="A16" s="40">
        <v>6.5</v>
      </c>
      <c r="B16" s="41">
        <v>12</v>
      </c>
      <c r="C16" s="42">
        <v>0</v>
      </c>
      <c r="D16" s="30">
        <f t="shared" si="1"/>
        <v>-12</v>
      </c>
      <c r="E16" s="30">
        <f t="shared" si="3"/>
        <v>6</v>
      </c>
      <c r="F16" s="30">
        <f t="shared" si="4"/>
        <v>15.24</v>
      </c>
      <c r="G16" s="30">
        <f t="shared" si="5"/>
        <v>15.24</v>
      </c>
      <c r="H16" s="30">
        <f t="shared" si="7"/>
        <v>0</v>
      </c>
      <c r="I16" s="30">
        <f t="shared" si="8"/>
        <v>15.24</v>
      </c>
      <c r="J16" s="30">
        <f>F16*((B16+B13)/2)</f>
        <v>327.66000000000003</v>
      </c>
      <c r="K16" s="30">
        <f t="shared" si="2"/>
        <v>3.2766000000000003E-2</v>
      </c>
      <c r="L16" s="30">
        <f t="shared" si="0"/>
        <v>0</v>
      </c>
    </row>
    <row r="17" spans="1:12" ht="15.75" thickBot="1">
      <c r="A17" s="43">
        <v>7</v>
      </c>
      <c r="B17" s="44">
        <v>9</v>
      </c>
      <c r="C17" s="45">
        <v>0</v>
      </c>
      <c r="D17" s="30">
        <f t="shared" si="1"/>
        <v>-9</v>
      </c>
      <c r="E17" s="30">
        <f t="shared" si="3"/>
        <v>6</v>
      </c>
      <c r="F17" s="30">
        <f t="shared" si="4"/>
        <v>15.24</v>
      </c>
      <c r="G17" s="30">
        <f t="shared" si="5"/>
        <v>15.24</v>
      </c>
      <c r="H17" s="30">
        <f t="shared" si="7"/>
        <v>-3</v>
      </c>
      <c r="I17" s="30">
        <f t="shared" si="8"/>
        <v>15.532469217738692</v>
      </c>
      <c r="J17" s="30">
        <f t="shared" ref="J17" si="9">F17*((B17+B16)/2)</f>
        <v>160.02000000000001</v>
      </c>
      <c r="K17" s="30">
        <f t="shared" si="2"/>
        <v>1.6002000000000002E-2</v>
      </c>
      <c r="L17" s="30">
        <f t="shared" si="0"/>
        <v>0</v>
      </c>
    </row>
    <row r="18" spans="1:12">
      <c r="J18" s="30" t="s">
        <v>16</v>
      </c>
      <c r="L18" s="30">
        <f>SUM(L5:L17)</f>
        <v>0.10873740000000001</v>
      </c>
    </row>
    <row r="19" spans="1:12">
      <c r="J19" s="30" t="s">
        <v>17</v>
      </c>
      <c r="L19" s="30">
        <f>L18*1000</f>
        <v>108.73740000000001</v>
      </c>
    </row>
    <row r="21" spans="1:12">
      <c r="B21" s="30" t="s">
        <v>37</v>
      </c>
    </row>
    <row r="22" spans="1:12">
      <c r="B22" s="30" t="s">
        <v>38</v>
      </c>
    </row>
    <row r="23" spans="1:12">
      <c r="A23" s="30" t="s">
        <v>30</v>
      </c>
      <c r="B23" s="30" t="s">
        <v>25</v>
      </c>
      <c r="C23" s="30">
        <f>SUM(J7:J17)/10000</f>
        <v>0.37337999999999999</v>
      </c>
      <c r="D23" s="30" t="s">
        <v>34</v>
      </c>
    </row>
    <row r="24" spans="1:12">
      <c r="B24" s="30" t="s">
        <v>24</v>
      </c>
      <c r="C24" s="30">
        <f>SUM(I7:I17)/100</f>
        <v>1.9902224874439185</v>
      </c>
      <c r="D24" s="30" t="s">
        <v>35</v>
      </c>
    </row>
    <row r="25" spans="1:12">
      <c r="B25" s="30" t="s">
        <v>26</v>
      </c>
      <c r="C25" s="30">
        <f>C23/C24</f>
        <v>0.18760716570916611</v>
      </c>
      <c r="D25" s="30" t="s">
        <v>35</v>
      </c>
      <c r="I25" s="30" t="s">
        <v>31</v>
      </c>
      <c r="J25" s="30" t="s">
        <v>32</v>
      </c>
    </row>
    <row r="26" spans="1:12">
      <c r="B26" s="30" t="s">
        <v>23</v>
      </c>
      <c r="C26" s="48">
        <v>1.61E-2</v>
      </c>
      <c r="D26" s="30" t="s">
        <v>33</v>
      </c>
      <c r="I26" s="30">
        <v>0</v>
      </c>
      <c r="J26" s="30">
        <v>0</v>
      </c>
    </row>
    <row r="27" spans="1:12">
      <c r="B27" s="30" t="s">
        <v>22</v>
      </c>
      <c r="C27" s="49">
        <v>0.05</v>
      </c>
      <c r="I27" s="30">
        <v>1000</v>
      </c>
      <c r="J27" s="30">
        <f>0.0083*1000</f>
        <v>8.3000000000000007</v>
      </c>
    </row>
    <row r="28" spans="1:12">
      <c r="C28" s="30" t="s">
        <v>28</v>
      </c>
    </row>
    <row r="29" spans="1:12">
      <c r="B29" s="30" t="s">
        <v>36</v>
      </c>
      <c r="C29" s="30">
        <f>((C25^(2/3))*(C26^0.5))/C27</f>
        <v>0.83165374704081108</v>
      </c>
      <c r="D29" s="30" t="s">
        <v>40</v>
      </c>
    </row>
    <row r="30" spans="1:12">
      <c r="B30" s="30" t="s">
        <v>39</v>
      </c>
      <c r="C30" s="30">
        <f>C23*C29</f>
        <v>0.31052287607009804</v>
      </c>
      <c r="D30" s="30" t="s">
        <v>28</v>
      </c>
    </row>
    <row r="31" spans="1:12">
      <c r="C31" s="46">
        <f>C30*1000</f>
        <v>310.52287607009805</v>
      </c>
      <c r="D31" s="30" t="s">
        <v>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34"/>
  <sheetViews>
    <sheetView tabSelected="1" topLeftCell="A19" workbookViewId="0">
      <selection activeCell="U23" sqref="U23:W41"/>
    </sheetView>
  </sheetViews>
  <sheetFormatPr defaultRowHeight="15"/>
  <cols>
    <col min="4" max="4" width="10.7109375" customWidth="1"/>
    <col min="5" max="5" width="11" customWidth="1"/>
    <col min="6" max="6" width="10" customWidth="1"/>
    <col min="7" max="7" width="11" customWidth="1"/>
    <col min="8" max="8" width="20.140625" customWidth="1"/>
    <col min="9" max="9" width="9.28515625" customWidth="1"/>
    <col min="10" max="10" width="11.85546875" customWidth="1"/>
    <col min="11" max="11" width="14.140625" customWidth="1"/>
    <col min="12" max="12" width="14.28515625" customWidth="1"/>
    <col min="13" max="13" width="22.140625" customWidth="1"/>
    <col min="14" max="14" width="22.28515625" customWidth="1"/>
    <col min="15" max="15" width="10" customWidth="1"/>
    <col min="16" max="16" width="16.28515625" customWidth="1"/>
    <col min="17" max="17" width="16" customWidth="1"/>
    <col min="19" max="19" width="12.5703125" customWidth="1"/>
    <col min="28" max="28" width="15.42578125" customWidth="1"/>
  </cols>
  <sheetData>
    <row r="1" spans="2:30" ht="15.75" thickBot="1">
      <c r="K1" t="s">
        <v>51</v>
      </c>
    </row>
    <row r="2" spans="2:30">
      <c r="B2" s="5" t="s">
        <v>6</v>
      </c>
      <c r="C2" s="6"/>
      <c r="D2" s="7"/>
      <c r="E2" s="8" t="s">
        <v>50</v>
      </c>
      <c r="F2" s="8"/>
      <c r="G2" s="8"/>
      <c r="H2" s="8"/>
      <c r="I2" s="8"/>
      <c r="J2" s="9"/>
      <c r="K2" t="s">
        <v>41</v>
      </c>
      <c r="M2" t="s">
        <v>46</v>
      </c>
      <c r="N2" t="s">
        <v>47</v>
      </c>
      <c r="O2" t="s">
        <v>45</v>
      </c>
      <c r="U2" t="s">
        <v>64</v>
      </c>
    </row>
    <row r="3" spans="2:30">
      <c r="B3" s="21" t="s">
        <v>8</v>
      </c>
      <c r="C3" s="22" t="s">
        <v>9</v>
      </c>
      <c r="D3" s="23" t="s">
        <v>10</v>
      </c>
      <c r="E3" s="11" t="s">
        <v>9</v>
      </c>
      <c r="F3" s="11" t="s">
        <v>11</v>
      </c>
      <c r="G3" s="11" t="s">
        <v>12</v>
      </c>
      <c r="H3" s="11" t="s">
        <v>42</v>
      </c>
      <c r="I3" s="11" t="s">
        <v>14</v>
      </c>
      <c r="J3" s="13" t="s">
        <v>15</v>
      </c>
      <c r="K3" s="55" t="s">
        <v>52</v>
      </c>
      <c r="L3" t="s">
        <v>43</v>
      </c>
      <c r="M3" t="s">
        <v>48</v>
      </c>
      <c r="N3" t="s">
        <v>49</v>
      </c>
      <c r="P3" t="s">
        <v>24</v>
      </c>
      <c r="Q3" t="s">
        <v>44</v>
      </c>
      <c r="R3" t="s">
        <v>34</v>
      </c>
      <c r="S3" t="s">
        <v>15</v>
      </c>
      <c r="V3" t="s">
        <v>57</v>
      </c>
      <c r="W3" t="s">
        <v>58</v>
      </c>
      <c r="X3" t="s">
        <v>59</v>
      </c>
      <c r="Y3" t="s">
        <v>60</v>
      </c>
      <c r="Z3" t="s">
        <v>46</v>
      </c>
      <c r="AA3" t="s">
        <v>47</v>
      </c>
      <c r="AB3" t="s">
        <v>61</v>
      </c>
      <c r="AC3" t="s">
        <v>62</v>
      </c>
      <c r="AD3" t="s">
        <v>24</v>
      </c>
    </row>
    <row r="4" spans="2:30">
      <c r="B4" s="14">
        <v>0</v>
      </c>
      <c r="C4" s="15">
        <v>0</v>
      </c>
      <c r="D4" s="16">
        <v>0</v>
      </c>
      <c r="E4">
        <f>0-C4</f>
        <v>0</v>
      </c>
      <c r="F4">
        <v>0</v>
      </c>
      <c r="G4">
        <v>0</v>
      </c>
      <c r="H4">
        <v>0</v>
      </c>
      <c r="I4">
        <f>H4/10000</f>
        <v>0</v>
      </c>
      <c r="J4">
        <f t="shared" ref="J4:J20" si="0">D4*I4</f>
        <v>0</v>
      </c>
      <c r="K4">
        <f>B4*12*2.54</f>
        <v>0</v>
      </c>
      <c r="L4">
        <f>(B4+B5)/2</f>
        <v>0.5</v>
      </c>
      <c r="M4">
        <f>0</f>
        <v>0</v>
      </c>
      <c r="N4">
        <f>(C4+C5)/2</f>
        <v>3</v>
      </c>
      <c r="O4">
        <v>15.24</v>
      </c>
      <c r="Q4">
        <f>1/2*(M4+N4)*O4</f>
        <v>22.86</v>
      </c>
      <c r="R4">
        <f>Q4/10000</f>
        <v>2.2859999999999998E-3</v>
      </c>
      <c r="S4">
        <f>R4*D4</f>
        <v>0</v>
      </c>
      <c r="U4" s="4">
        <v>41382</v>
      </c>
      <c r="V4" s="57">
        <v>0.66666666666666663</v>
      </c>
      <c r="W4" t="s">
        <v>63</v>
      </c>
      <c r="X4" t="s">
        <v>63</v>
      </c>
      <c r="Y4" t="s">
        <v>63</v>
      </c>
      <c r="Z4" t="s">
        <v>63</v>
      </c>
      <c r="AA4" t="s">
        <v>63</v>
      </c>
      <c r="AB4">
        <v>0</v>
      </c>
      <c r="AC4" t="s">
        <v>63</v>
      </c>
      <c r="AD4" s="57">
        <v>0.66666666666666663</v>
      </c>
    </row>
    <row r="5" spans="2:30">
      <c r="B5" s="14">
        <v>1</v>
      </c>
      <c r="C5" s="15">
        <v>6</v>
      </c>
      <c r="D5" s="16">
        <v>0.39</v>
      </c>
      <c r="E5">
        <f t="shared" ref="E5:E20" si="1">0-C5</f>
        <v>-6</v>
      </c>
      <c r="F5">
        <f>(B5-B4)*12</f>
        <v>12</v>
      </c>
      <c r="G5">
        <f>F5*2.54</f>
        <v>30.48</v>
      </c>
      <c r="H5">
        <f>C5*G5</f>
        <v>182.88</v>
      </c>
      <c r="I5">
        <f>H5/10000</f>
        <v>1.8287999999999999E-2</v>
      </c>
      <c r="J5">
        <f t="shared" si="0"/>
        <v>7.1323200000000002E-3</v>
      </c>
      <c r="K5">
        <f>B5</f>
        <v>1</v>
      </c>
      <c r="L5">
        <f>L4+1</f>
        <v>1.5</v>
      </c>
      <c r="M5">
        <f>N4</f>
        <v>3</v>
      </c>
      <c r="N5">
        <f>(C5+C6)/2</f>
        <v>10</v>
      </c>
      <c r="O5">
        <v>30.48</v>
      </c>
      <c r="P5" s="56">
        <f>SQRT((C5-C4)^2+((B5-B4)*12*2.54)^2)</f>
        <v>31.064938435477384</v>
      </c>
      <c r="Q5">
        <f>1/2*(M5+N5)*O5</f>
        <v>198.12</v>
      </c>
      <c r="R5">
        <f>Q5/10000</f>
        <v>1.9812E-2</v>
      </c>
      <c r="S5">
        <f t="shared" ref="S5:S20" si="2">R5*D5</f>
        <v>7.7266800000000005E-3</v>
      </c>
      <c r="U5">
        <v>0</v>
      </c>
      <c r="V5">
        <v>0</v>
      </c>
      <c r="W5">
        <v>0</v>
      </c>
      <c r="X5">
        <v>0</v>
      </c>
      <c r="Y5">
        <v>15.24</v>
      </c>
      <c r="Z5">
        <v>0</v>
      </c>
      <c r="AA5">
        <v>3</v>
      </c>
      <c r="AB5">
        <v>2.2859999999999998E-3</v>
      </c>
      <c r="AC5">
        <v>0</v>
      </c>
      <c r="AD5">
        <v>0</v>
      </c>
    </row>
    <row r="6" spans="2:30">
      <c r="B6" s="14">
        <v>2</v>
      </c>
      <c r="C6" s="15">
        <v>14</v>
      </c>
      <c r="D6" s="16">
        <v>0.25</v>
      </c>
      <c r="E6">
        <f t="shared" si="1"/>
        <v>-14</v>
      </c>
      <c r="F6">
        <f t="shared" ref="F6:F20" si="3">(B6-B5)*12</f>
        <v>12</v>
      </c>
      <c r="G6">
        <f t="shared" ref="G6:G20" si="4">F6*2.54</f>
        <v>30.48</v>
      </c>
      <c r="H6">
        <f t="shared" ref="H6:H20" si="5">C6*G6</f>
        <v>426.72</v>
      </c>
      <c r="I6">
        <f t="shared" ref="I6:I20" si="6">H6/10000</f>
        <v>4.2672000000000002E-2</v>
      </c>
      <c r="J6">
        <f t="shared" si="0"/>
        <v>1.0668E-2</v>
      </c>
      <c r="K6">
        <f t="shared" ref="K6:K20" si="7">B6</f>
        <v>2</v>
      </c>
      <c r="L6">
        <f t="shared" ref="L6:L20" si="8">L5+1</f>
        <v>2.5</v>
      </c>
      <c r="M6">
        <f t="shared" ref="M6:M20" si="9">N5</f>
        <v>10</v>
      </c>
      <c r="N6">
        <f>(C6+C7)/2</f>
        <v>14</v>
      </c>
      <c r="O6">
        <v>30.48</v>
      </c>
      <c r="P6" s="56">
        <f>SQRT((C6-C5)^2+((B6-B5)*12*2.54)^2)</f>
        <v>31.512384866905901</v>
      </c>
      <c r="Q6">
        <f t="shared" ref="Q6:Q20" si="10">1/2*(M6+N6)*O6</f>
        <v>365.76</v>
      </c>
      <c r="R6">
        <f t="shared" ref="R5:R20" si="11">Q6/10000</f>
        <v>3.6575999999999997E-2</v>
      </c>
      <c r="S6">
        <f t="shared" si="2"/>
        <v>9.1439999999999994E-3</v>
      </c>
      <c r="U6">
        <v>1</v>
      </c>
      <c r="V6">
        <v>1</v>
      </c>
      <c r="W6">
        <v>6</v>
      </c>
      <c r="X6">
        <v>0.39</v>
      </c>
      <c r="Y6">
        <v>30.48</v>
      </c>
      <c r="Z6">
        <v>3</v>
      </c>
      <c r="AA6">
        <v>10</v>
      </c>
      <c r="AB6">
        <v>1.9812E-2</v>
      </c>
      <c r="AC6">
        <v>7.72668</v>
      </c>
      <c r="AD6">
        <v>0.31064900000000001</v>
      </c>
    </row>
    <row r="7" spans="2:30">
      <c r="B7" s="14">
        <v>3</v>
      </c>
      <c r="C7" s="15">
        <v>14</v>
      </c>
      <c r="D7" s="16">
        <v>0.24</v>
      </c>
      <c r="E7">
        <f t="shared" si="1"/>
        <v>-14</v>
      </c>
      <c r="F7">
        <f t="shared" si="3"/>
        <v>12</v>
      </c>
      <c r="G7">
        <f t="shared" si="4"/>
        <v>30.48</v>
      </c>
      <c r="H7">
        <f t="shared" si="5"/>
        <v>426.72</v>
      </c>
      <c r="I7">
        <f t="shared" si="6"/>
        <v>4.2672000000000002E-2</v>
      </c>
      <c r="J7">
        <f t="shared" si="0"/>
        <v>1.024128E-2</v>
      </c>
      <c r="K7">
        <f t="shared" si="7"/>
        <v>3</v>
      </c>
      <c r="L7">
        <f t="shared" si="8"/>
        <v>3.5</v>
      </c>
      <c r="M7">
        <f t="shared" si="9"/>
        <v>14</v>
      </c>
      <c r="N7">
        <f>(C7+C8)/2</f>
        <v>16.5</v>
      </c>
      <c r="O7">
        <v>30.48</v>
      </c>
      <c r="P7" s="56">
        <f>SQRT((C7-C6)^2+((B7-B6)*12*2.54)^2)</f>
        <v>30.48</v>
      </c>
      <c r="Q7">
        <f t="shared" si="10"/>
        <v>464.82</v>
      </c>
      <c r="R7">
        <f t="shared" si="11"/>
        <v>4.6482000000000002E-2</v>
      </c>
      <c r="S7">
        <f t="shared" si="2"/>
        <v>1.1155679999999999E-2</v>
      </c>
      <c r="U7">
        <v>2</v>
      </c>
      <c r="V7">
        <v>2</v>
      </c>
      <c r="W7">
        <v>14</v>
      </c>
      <c r="X7">
        <v>0.25</v>
      </c>
      <c r="Y7">
        <v>30.48</v>
      </c>
      <c r="Z7">
        <v>10</v>
      </c>
      <c r="AA7">
        <v>14</v>
      </c>
      <c r="AB7">
        <v>3.6575999999999997E-2</v>
      </c>
      <c r="AC7">
        <v>9.1440000000000001</v>
      </c>
      <c r="AD7">
        <v>0.31512400000000002</v>
      </c>
    </row>
    <row r="8" spans="2:30">
      <c r="B8" s="14">
        <v>4</v>
      </c>
      <c r="C8" s="15">
        <v>19</v>
      </c>
      <c r="D8" s="16">
        <v>0.06</v>
      </c>
      <c r="E8">
        <f t="shared" si="1"/>
        <v>-19</v>
      </c>
      <c r="F8">
        <f t="shared" si="3"/>
        <v>12</v>
      </c>
      <c r="G8">
        <f t="shared" si="4"/>
        <v>30.48</v>
      </c>
      <c r="H8">
        <f t="shared" si="5"/>
        <v>579.12</v>
      </c>
      <c r="I8">
        <f t="shared" si="6"/>
        <v>5.7911999999999998E-2</v>
      </c>
      <c r="J8">
        <f t="shared" si="0"/>
        <v>3.4747199999999997E-3</v>
      </c>
      <c r="K8">
        <f t="shared" si="7"/>
        <v>4</v>
      </c>
      <c r="L8">
        <f t="shared" si="8"/>
        <v>4.5</v>
      </c>
      <c r="M8">
        <f t="shared" si="9"/>
        <v>16.5</v>
      </c>
      <c r="N8">
        <f>(C8+C9)/2</f>
        <v>19.5</v>
      </c>
      <c r="O8">
        <v>30.48</v>
      </c>
      <c r="P8" s="56">
        <f>SQRT((C8-C7)^2+((B8-B7)*12*2.54)^2)</f>
        <v>30.887382537210886</v>
      </c>
      <c r="Q8">
        <f t="shared" si="10"/>
        <v>548.64</v>
      </c>
      <c r="R8">
        <f t="shared" si="11"/>
        <v>5.4863999999999996E-2</v>
      </c>
      <c r="S8">
        <f t="shared" si="2"/>
        <v>3.2918399999999994E-3</v>
      </c>
      <c r="U8">
        <v>3</v>
      </c>
      <c r="V8">
        <v>3</v>
      </c>
      <c r="W8">
        <v>14</v>
      </c>
      <c r="X8">
        <v>0.24</v>
      </c>
      <c r="Y8">
        <v>30.48</v>
      </c>
      <c r="Z8">
        <v>14</v>
      </c>
      <c r="AA8">
        <v>16.5</v>
      </c>
      <c r="AB8">
        <v>4.6482000000000002E-2</v>
      </c>
      <c r="AC8">
        <v>11.15568</v>
      </c>
      <c r="AD8">
        <v>0.30480000000000002</v>
      </c>
    </row>
    <row r="9" spans="2:30">
      <c r="B9" s="14">
        <v>5</v>
      </c>
      <c r="C9" s="15">
        <v>20</v>
      </c>
      <c r="D9" s="16">
        <v>0.32</v>
      </c>
      <c r="E9">
        <f t="shared" si="1"/>
        <v>-20</v>
      </c>
      <c r="F9">
        <f t="shared" si="3"/>
        <v>12</v>
      </c>
      <c r="G9">
        <f t="shared" si="4"/>
        <v>30.48</v>
      </c>
      <c r="H9">
        <f t="shared" si="5"/>
        <v>609.6</v>
      </c>
      <c r="I9">
        <f t="shared" si="6"/>
        <v>6.096E-2</v>
      </c>
      <c r="J9">
        <f t="shared" si="0"/>
        <v>1.9507199999999999E-2</v>
      </c>
      <c r="K9">
        <f t="shared" si="7"/>
        <v>5</v>
      </c>
      <c r="L9">
        <f t="shared" si="8"/>
        <v>5.5</v>
      </c>
      <c r="M9">
        <f t="shared" si="9"/>
        <v>19.5</v>
      </c>
      <c r="N9">
        <f>(C9+C10)/2</f>
        <v>16</v>
      </c>
      <c r="O9">
        <v>30.48</v>
      </c>
      <c r="P9" s="56">
        <f>SQRT((C9-C8)^2+((B9-B8)*12*2.54)^2)</f>
        <v>30.496399787515902</v>
      </c>
      <c r="Q9">
        <f t="shared" si="10"/>
        <v>541.02</v>
      </c>
      <c r="R9">
        <f t="shared" si="11"/>
        <v>5.4101999999999997E-2</v>
      </c>
      <c r="S9">
        <f t="shared" si="2"/>
        <v>1.7312640000000001E-2</v>
      </c>
      <c r="U9">
        <v>4</v>
      </c>
      <c r="V9">
        <v>4</v>
      </c>
      <c r="W9">
        <v>19</v>
      </c>
      <c r="X9">
        <v>0.06</v>
      </c>
      <c r="Y9">
        <v>30.48</v>
      </c>
      <c r="Z9">
        <v>16.5</v>
      </c>
      <c r="AA9">
        <v>19.5</v>
      </c>
      <c r="AB9">
        <v>5.4864000000000003E-2</v>
      </c>
      <c r="AC9">
        <v>3.2918400000000001</v>
      </c>
      <c r="AD9">
        <v>0.30887399999999998</v>
      </c>
    </row>
    <row r="10" spans="2:30">
      <c r="B10" s="14">
        <v>6</v>
      </c>
      <c r="C10" s="15">
        <v>12</v>
      </c>
      <c r="D10" s="16">
        <v>0.47</v>
      </c>
      <c r="E10">
        <f t="shared" si="1"/>
        <v>-12</v>
      </c>
      <c r="F10">
        <f t="shared" si="3"/>
        <v>12</v>
      </c>
      <c r="G10">
        <f t="shared" si="4"/>
        <v>30.48</v>
      </c>
      <c r="H10">
        <f t="shared" si="5"/>
        <v>365.76</v>
      </c>
      <c r="I10">
        <f t="shared" si="6"/>
        <v>3.6575999999999997E-2</v>
      </c>
      <c r="J10">
        <f t="shared" si="0"/>
        <v>1.7190719999999996E-2</v>
      </c>
      <c r="K10">
        <f t="shared" si="7"/>
        <v>6</v>
      </c>
      <c r="L10">
        <f t="shared" si="8"/>
        <v>6.5</v>
      </c>
      <c r="M10">
        <f t="shared" si="9"/>
        <v>16</v>
      </c>
      <c r="N10">
        <f>(C10+C11)/2</f>
        <v>11</v>
      </c>
      <c r="O10">
        <v>30.48</v>
      </c>
      <c r="P10" s="56">
        <f>SQRT((C10-C9)^2+((B10-B9)*12*2.54)^2)</f>
        <v>31.512384866905901</v>
      </c>
      <c r="Q10">
        <f t="shared" si="10"/>
        <v>411.48</v>
      </c>
      <c r="R10">
        <f t="shared" si="11"/>
        <v>4.1148000000000004E-2</v>
      </c>
      <c r="S10">
        <f t="shared" si="2"/>
        <v>1.9339560000000002E-2</v>
      </c>
      <c r="U10">
        <v>5</v>
      </c>
      <c r="V10">
        <v>5</v>
      </c>
      <c r="W10">
        <v>20</v>
      </c>
      <c r="X10">
        <v>0.32</v>
      </c>
      <c r="Y10">
        <v>30.48</v>
      </c>
      <c r="Z10">
        <v>19.5</v>
      </c>
      <c r="AA10">
        <v>16</v>
      </c>
      <c r="AB10">
        <v>5.4101999999999997E-2</v>
      </c>
      <c r="AC10">
        <v>17.312639999999998</v>
      </c>
      <c r="AD10">
        <v>0.30496400000000001</v>
      </c>
    </row>
    <row r="11" spans="2:30">
      <c r="B11" s="14">
        <v>7</v>
      </c>
      <c r="C11" s="15">
        <v>10</v>
      </c>
      <c r="D11" s="16">
        <v>0.26</v>
      </c>
      <c r="E11">
        <f t="shared" si="1"/>
        <v>-10</v>
      </c>
      <c r="F11">
        <f t="shared" si="3"/>
        <v>12</v>
      </c>
      <c r="G11">
        <f t="shared" si="4"/>
        <v>30.48</v>
      </c>
      <c r="H11">
        <f t="shared" si="5"/>
        <v>304.8</v>
      </c>
      <c r="I11">
        <f t="shared" si="6"/>
        <v>3.048E-2</v>
      </c>
      <c r="J11">
        <f t="shared" si="0"/>
        <v>7.9248000000000009E-3</v>
      </c>
      <c r="K11">
        <f t="shared" si="7"/>
        <v>7</v>
      </c>
      <c r="L11">
        <f t="shared" si="8"/>
        <v>7.5</v>
      </c>
      <c r="M11">
        <f t="shared" si="9"/>
        <v>11</v>
      </c>
      <c r="N11">
        <f>(C11+C12)/2</f>
        <v>10</v>
      </c>
      <c r="O11">
        <v>30.48</v>
      </c>
      <c r="P11" s="56">
        <f>SQRT((C11-C10)^2+((B11-B10)*12*2.54)^2)</f>
        <v>30.545546320208452</v>
      </c>
      <c r="Q11">
        <f t="shared" si="10"/>
        <v>320.04000000000002</v>
      </c>
      <c r="R11">
        <f t="shared" si="11"/>
        <v>3.2004000000000005E-2</v>
      </c>
      <c r="S11">
        <f t="shared" si="2"/>
        <v>8.3210400000000018E-3</v>
      </c>
      <c r="U11">
        <v>6</v>
      </c>
      <c r="V11">
        <v>6</v>
      </c>
      <c r="W11">
        <v>12</v>
      </c>
      <c r="X11">
        <v>0.47</v>
      </c>
      <c r="Y11">
        <v>30.48</v>
      </c>
      <c r="Z11">
        <v>16</v>
      </c>
      <c r="AA11">
        <v>11</v>
      </c>
      <c r="AB11">
        <v>4.1147999999999997E-2</v>
      </c>
      <c r="AC11">
        <v>19.339559999999999</v>
      </c>
      <c r="AD11">
        <v>0.31512400000000002</v>
      </c>
    </row>
    <row r="12" spans="2:30">
      <c r="B12" s="14">
        <v>8</v>
      </c>
      <c r="C12" s="15">
        <v>10</v>
      </c>
      <c r="D12" s="16">
        <v>0.33</v>
      </c>
      <c r="E12">
        <f t="shared" si="1"/>
        <v>-10</v>
      </c>
      <c r="F12">
        <f t="shared" si="3"/>
        <v>12</v>
      </c>
      <c r="G12">
        <f t="shared" si="4"/>
        <v>30.48</v>
      </c>
      <c r="H12">
        <f t="shared" si="5"/>
        <v>304.8</v>
      </c>
      <c r="I12">
        <f t="shared" si="6"/>
        <v>3.048E-2</v>
      </c>
      <c r="J12">
        <f t="shared" si="0"/>
        <v>1.00584E-2</v>
      </c>
      <c r="K12">
        <f t="shared" si="7"/>
        <v>8</v>
      </c>
      <c r="L12">
        <f t="shared" si="8"/>
        <v>8.5</v>
      </c>
      <c r="M12">
        <f t="shared" si="9"/>
        <v>10</v>
      </c>
      <c r="N12">
        <f>(C12+C13)/2</f>
        <v>7</v>
      </c>
      <c r="O12">
        <v>30.48</v>
      </c>
      <c r="P12" s="56">
        <f>SQRT((C12-C11)^2+((B12-B11)*12*2.54)^2)</f>
        <v>30.48</v>
      </c>
      <c r="Q12">
        <f t="shared" si="10"/>
        <v>259.08</v>
      </c>
      <c r="R12">
        <f t="shared" si="11"/>
        <v>2.5907999999999997E-2</v>
      </c>
      <c r="S12">
        <f t="shared" si="2"/>
        <v>8.549639999999999E-3</v>
      </c>
      <c r="U12">
        <v>7</v>
      </c>
      <c r="V12">
        <v>7</v>
      </c>
      <c r="W12">
        <v>10</v>
      </c>
      <c r="X12">
        <v>0.26</v>
      </c>
      <c r="Y12">
        <v>30.48</v>
      </c>
      <c r="Z12">
        <v>11</v>
      </c>
      <c r="AA12">
        <v>10</v>
      </c>
      <c r="AB12">
        <v>3.2003999999999998E-2</v>
      </c>
      <c r="AC12">
        <v>8.32104</v>
      </c>
      <c r="AD12">
        <v>0.30545499999999998</v>
      </c>
    </row>
    <row r="13" spans="2:30">
      <c r="B13" s="14">
        <v>9</v>
      </c>
      <c r="C13" s="15">
        <v>4</v>
      </c>
      <c r="D13" s="16">
        <v>0.2</v>
      </c>
      <c r="E13">
        <f t="shared" si="1"/>
        <v>-4</v>
      </c>
      <c r="F13">
        <f t="shared" si="3"/>
        <v>12</v>
      </c>
      <c r="G13">
        <f t="shared" si="4"/>
        <v>30.48</v>
      </c>
      <c r="H13">
        <f t="shared" si="5"/>
        <v>121.92</v>
      </c>
      <c r="I13">
        <f t="shared" si="6"/>
        <v>1.2192E-2</v>
      </c>
      <c r="J13">
        <f t="shared" si="0"/>
        <v>2.4384000000000003E-3</v>
      </c>
      <c r="K13">
        <f t="shared" si="7"/>
        <v>9</v>
      </c>
      <c r="L13">
        <f t="shared" si="8"/>
        <v>9.5</v>
      </c>
      <c r="M13">
        <f t="shared" si="9"/>
        <v>7</v>
      </c>
      <c r="N13">
        <f>(C13+C14)/2</f>
        <v>6</v>
      </c>
      <c r="O13">
        <v>30.48</v>
      </c>
      <c r="P13" s="56">
        <f>SQRT((C13-C12)^2+((B13-B12)*12*2.54)^2)</f>
        <v>31.064938435477384</v>
      </c>
      <c r="Q13">
        <f t="shared" si="10"/>
        <v>198.12</v>
      </c>
      <c r="R13">
        <f t="shared" si="11"/>
        <v>1.9812E-2</v>
      </c>
      <c r="S13">
        <f t="shared" si="2"/>
        <v>3.9624000000000005E-3</v>
      </c>
      <c r="U13">
        <v>8</v>
      </c>
      <c r="V13">
        <v>8</v>
      </c>
      <c r="W13">
        <v>10</v>
      </c>
      <c r="X13">
        <v>0.33</v>
      </c>
      <c r="Y13">
        <v>30.48</v>
      </c>
      <c r="Z13">
        <v>10</v>
      </c>
      <c r="AA13">
        <v>7</v>
      </c>
      <c r="AB13">
        <v>2.5908E-2</v>
      </c>
      <c r="AC13">
        <v>8.5496400000000001</v>
      </c>
      <c r="AD13">
        <v>0.30480000000000002</v>
      </c>
    </row>
    <row r="14" spans="2:30">
      <c r="B14" s="14">
        <v>10</v>
      </c>
      <c r="C14" s="15">
        <v>8</v>
      </c>
      <c r="D14" s="16">
        <v>0.13</v>
      </c>
      <c r="E14">
        <f t="shared" si="1"/>
        <v>-8</v>
      </c>
      <c r="F14">
        <f t="shared" si="3"/>
        <v>12</v>
      </c>
      <c r="G14">
        <f t="shared" si="4"/>
        <v>30.48</v>
      </c>
      <c r="H14">
        <f t="shared" si="5"/>
        <v>243.84</v>
      </c>
      <c r="I14">
        <f t="shared" si="6"/>
        <v>2.4383999999999999E-2</v>
      </c>
      <c r="J14">
        <f t="shared" si="0"/>
        <v>3.1699200000000001E-3</v>
      </c>
      <c r="K14">
        <f t="shared" si="7"/>
        <v>10</v>
      </c>
      <c r="L14">
        <f t="shared" si="8"/>
        <v>10.5</v>
      </c>
      <c r="M14">
        <f t="shared" si="9"/>
        <v>6</v>
      </c>
      <c r="N14">
        <f>(C14+C15)/2</f>
        <v>7.5</v>
      </c>
      <c r="O14">
        <v>30.48</v>
      </c>
      <c r="P14" s="56">
        <f>SQRT((C14-C13)^2+((B14-B13)*12*2.54)^2)</f>
        <v>30.741346749939243</v>
      </c>
      <c r="Q14">
        <f t="shared" si="10"/>
        <v>205.74</v>
      </c>
      <c r="R14">
        <f t="shared" si="11"/>
        <v>2.0574000000000002E-2</v>
      </c>
      <c r="S14">
        <f t="shared" si="2"/>
        <v>2.6746200000000004E-3</v>
      </c>
      <c r="U14">
        <v>9</v>
      </c>
      <c r="V14">
        <v>9</v>
      </c>
      <c r="W14">
        <v>4</v>
      </c>
      <c r="X14">
        <v>0.2</v>
      </c>
      <c r="Y14">
        <v>30.48</v>
      </c>
      <c r="Z14">
        <v>7</v>
      </c>
      <c r="AA14">
        <v>6</v>
      </c>
      <c r="AB14">
        <v>1.9812E-2</v>
      </c>
      <c r="AC14">
        <v>3.9624000000000001</v>
      </c>
      <c r="AD14">
        <v>0.31064900000000001</v>
      </c>
    </row>
    <row r="15" spans="2:30">
      <c r="B15" s="14">
        <v>11</v>
      </c>
      <c r="C15" s="15">
        <v>7</v>
      </c>
      <c r="D15" s="16">
        <v>0.02</v>
      </c>
      <c r="E15">
        <f t="shared" si="1"/>
        <v>-7</v>
      </c>
      <c r="F15">
        <f t="shared" si="3"/>
        <v>12</v>
      </c>
      <c r="G15">
        <f t="shared" si="4"/>
        <v>30.48</v>
      </c>
      <c r="H15">
        <f t="shared" si="5"/>
        <v>213.36</v>
      </c>
      <c r="I15">
        <f t="shared" si="6"/>
        <v>2.1336000000000001E-2</v>
      </c>
      <c r="J15">
        <f t="shared" si="0"/>
        <v>4.2672000000000001E-4</v>
      </c>
      <c r="K15">
        <f t="shared" si="7"/>
        <v>11</v>
      </c>
      <c r="L15">
        <f t="shared" si="8"/>
        <v>11.5</v>
      </c>
      <c r="M15">
        <f t="shared" si="9"/>
        <v>7.5</v>
      </c>
      <c r="N15">
        <f>(C15+C16)/2</f>
        <v>4.5</v>
      </c>
      <c r="O15">
        <v>30.48</v>
      </c>
      <c r="P15" s="56">
        <f>SQRT((C15-C14)^2+((B15-B14)*12*2.54)^2)</f>
        <v>30.496399787515902</v>
      </c>
      <c r="Q15">
        <f t="shared" si="10"/>
        <v>182.88</v>
      </c>
      <c r="R15">
        <f t="shared" si="11"/>
        <v>1.8287999999999999E-2</v>
      </c>
      <c r="S15">
        <f t="shared" si="2"/>
        <v>3.6575999999999997E-4</v>
      </c>
      <c r="U15">
        <v>10</v>
      </c>
      <c r="V15">
        <v>10</v>
      </c>
      <c r="W15">
        <v>8</v>
      </c>
      <c r="X15">
        <v>0.13</v>
      </c>
      <c r="Y15">
        <v>30.48</v>
      </c>
      <c r="Z15">
        <v>6</v>
      </c>
      <c r="AA15">
        <v>7.5</v>
      </c>
      <c r="AB15">
        <v>2.0573999999999999E-2</v>
      </c>
      <c r="AC15">
        <v>2.67462</v>
      </c>
      <c r="AD15">
        <v>0.30741299999999999</v>
      </c>
    </row>
    <row r="16" spans="2:30">
      <c r="B16" s="14">
        <v>12</v>
      </c>
      <c r="C16" s="15">
        <v>2</v>
      </c>
      <c r="D16" s="16">
        <v>0.45</v>
      </c>
      <c r="E16">
        <f t="shared" si="1"/>
        <v>-2</v>
      </c>
      <c r="F16">
        <f t="shared" si="3"/>
        <v>12</v>
      </c>
      <c r="G16">
        <f t="shared" si="4"/>
        <v>30.48</v>
      </c>
      <c r="H16">
        <f t="shared" si="5"/>
        <v>60.96</v>
      </c>
      <c r="I16">
        <f t="shared" si="6"/>
        <v>6.0959999999999999E-3</v>
      </c>
      <c r="J16">
        <f t="shared" si="0"/>
        <v>2.7431999999999999E-3</v>
      </c>
      <c r="K16">
        <f t="shared" si="7"/>
        <v>12</v>
      </c>
      <c r="L16">
        <f t="shared" si="8"/>
        <v>12.5</v>
      </c>
      <c r="M16">
        <f t="shared" si="9"/>
        <v>4.5</v>
      </c>
      <c r="N16">
        <f>(C16+C17)/2</f>
        <v>3.5</v>
      </c>
      <c r="O16">
        <v>30.48</v>
      </c>
      <c r="P16" s="56">
        <f>SQRT((C16-C15)^2+((B16-B15)*12*2.54)^2)</f>
        <v>30.887382537210886</v>
      </c>
      <c r="Q16">
        <f t="shared" si="10"/>
        <v>121.92</v>
      </c>
      <c r="R16">
        <f t="shared" si="11"/>
        <v>1.2192E-2</v>
      </c>
      <c r="S16">
        <f t="shared" si="2"/>
        <v>5.4863999999999998E-3</v>
      </c>
      <c r="U16">
        <v>11</v>
      </c>
      <c r="V16">
        <v>11</v>
      </c>
      <c r="W16">
        <v>7</v>
      </c>
      <c r="X16">
        <v>0.02</v>
      </c>
      <c r="Y16">
        <v>30.48</v>
      </c>
      <c r="Z16">
        <v>7.5</v>
      </c>
      <c r="AA16">
        <v>4.5</v>
      </c>
      <c r="AB16">
        <v>1.8287999999999999E-2</v>
      </c>
      <c r="AC16">
        <v>0.36575999999999997</v>
      </c>
      <c r="AD16">
        <v>0.30496400000000001</v>
      </c>
    </row>
    <row r="17" spans="2:30">
      <c r="B17" s="50">
        <v>13</v>
      </c>
      <c r="C17" s="17">
        <v>5</v>
      </c>
      <c r="D17" s="51">
        <v>0</v>
      </c>
      <c r="E17">
        <f t="shared" si="1"/>
        <v>-5</v>
      </c>
      <c r="F17">
        <f t="shared" si="3"/>
        <v>12</v>
      </c>
      <c r="G17">
        <f t="shared" si="4"/>
        <v>30.48</v>
      </c>
      <c r="H17">
        <f t="shared" si="5"/>
        <v>152.4</v>
      </c>
      <c r="I17">
        <f t="shared" si="6"/>
        <v>1.524E-2</v>
      </c>
      <c r="J17">
        <f t="shared" si="0"/>
        <v>0</v>
      </c>
      <c r="K17">
        <f t="shared" si="7"/>
        <v>13</v>
      </c>
      <c r="L17">
        <f t="shared" si="8"/>
        <v>13.5</v>
      </c>
      <c r="M17">
        <f t="shared" si="9"/>
        <v>3.5</v>
      </c>
      <c r="N17">
        <f>(C17+C18)/2</f>
        <v>2.5</v>
      </c>
      <c r="O17">
        <v>30.48</v>
      </c>
      <c r="P17" s="56">
        <f>SQRT((C17-C16)^2+((B17-B16)*12*2.54)^2)</f>
        <v>30.627281955798821</v>
      </c>
      <c r="Q17">
        <f t="shared" si="10"/>
        <v>91.44</v>
      </c>
      <c r="R17">
        <f t="shared" si="11"/>
        <v>9.1439999999999994E-3</v>
      </c>
      <c r="S17">
        <f t="shared" si="2"/>
        <v>0</v>
      </c>
      <c r="U17">
        <v>12</v>
      </c>
      <c r="V17">
        <v>12</v>
      </c>
      <c r="W17">
        <v>2</v>
      </c>
      <c r="X17">
        <v>0.45</v>
      </c>
      <c r="Y17">
        <v>30.48</v>
      </c>
      <c r="Z17">
        <v>4.5</v>
      </c>
      <c r="AA17">
        <v>3.5</v>
      </c>
      <c r="AB17">
        <v>1.2192E-2</v>
      </c>
      <c r="AC17">
        <v>5.4863999999999997</v>
      </c>
      <c r="AD17">
        <v>0.30887399999999998</v>
      </c>
    </row>
    <row r="18" spans="2:30">
      <c r="B18" s="50">
        <v>14</v>
      </c>
      <c r="C18" s="17">
        <v>0</v>
      </c>
      <c r="D18" s="51">
        <v>0</v>
      </c>
      <c r="E18">
        <f t="shared" si="1"/>
        <v>0</v>
      </c>
      <c r="F18">
        <f t="shared" si="3"/>
        <v>12</v>
      </c>
      <c r="G18">
        <f t="shared" si="4"/>
        <v>30.48</v>
      </c>
      <c r="H18">
        <f t="shared" si="5"/>
        <v>0</v>
      </c>
      <c r="I18">
        <f t="shared" si="6"/>
        <v>0</v>
      </c>
      <c r="J18">
        <f t="shared" si="0"/>
        <v>0</v>
      </c>
      <c r="K18">
        <f t="shared" si="7"/>
        <v>14</v>
      </c>
      <c r="L18">
        <f t="shared" si="8"/>
        <v>14.5</v>
      </c>
      <c r="M18">
        <f t="shared" si="9"/>
        <v>2.5</v>
      </c>
      <c r="N18">
        <f>(C18+C19)/2</f>
        <v>0</v>
      </c>
      <c r="O18">
        <v>30.48</v>
      </c>
      <c r="P18" s="56">
        <f>SQRT((C18-C17)^2+((B18-B17)*12*2.54)^2)</f>
        <v>30.887382537210886</v>
      </c>
      <c r="Q18">
        <f t="shared" si="10"/>
        <v>38.1</v>
      </c>
      <c r="R18">
        <f t="shared" si="11"/>
        <v>3.81E-3</v>
      </c>
      <c r="S18">
        <f t="shared" si="2"/>
        <v>0</v>
      </c>
      <c r="U18">
        <v>13</v>
      </c>
      <c r="V18">
        <v>13</v>
      </c>
      <c r="W18">
        <v>5</v>
      </c>
      <c r="X18">
        <v>0</v>
      </c>
      <c r="Y18">
        <v>30.48</v>
      </c>
      <c r="Z18">
        <v>3.5</v>
      </c>
      <c r="AA18">
        <v>2.5</v>
      </c>
      <c r="AB18">
        <v>9.1439999999999994E-3</v>
      </c>
      <c r="AC18">
        <v>0</v>
      </c>
      <c r="AD18">
        <v>0.30627300000000002</v>
      </c>
    </row>
    <row r="19" spans="2:30">
      <c r="B19" s="50">
        <v>15</v>
      </c>
      <c r="C19" s="17">
        <v>0</v>
      </c>
      <c r="D19" s="51">
        <v>0</v>
      </c>
      <c r="E19">
        <f t="shared" si="1"/>
        <v>0</v>
      </c>
      <c r="F19">
        <f t="shared" si="3"/>
        <v>12</v>
      </c>
      <c r="G19">
        <f t="shared" si="4"/>
        <v>30.48</v>
      </c>
      <c r="H19">
        <f t="shared" si="5"/>
        <v>0</v>
      </c>
      <c r="I19">
        <f t="shared" si="6"/>
        <v>0</v>
      </c>
      <c r="J19">
        <f t="shared" si="0"/>
        <v>0</v>
      </c>
      <c r="K19">
        <f t="shared" si="7"/>
        <v>15</v>
      </c>
      <c r="L19">
        <f t="shared" si="8"/>
        <v>15.5</v>
      </c>
      <c r="M19">
        <f t="shared" si="9"/>
        <v>0</v>
      </c>
      <c r="N19">
        <f>(C19+C20)/2</f>
        <v>0</v>
      </c>
      <c r="O19">
        <v>30.48</v>
      </c>
      <c r="P19" s="56">
        <f>SQRT((C19-C18)^2+((B19-B18)*12*2.54)^2)</f>
        <v>30.48</v>
      </c>
      <c r="Q19">
        <f t="shared" si="10"/>
        <v>0</v>
      </c>
      <c r="R19">
        <f t="shared" si="11"/>
        <v>0</v>
      </c>
      <c r="S19">
        <f t="shared" si="2"/>
        <v>0</v>
      </c>
      <c r="U19">
        <v>14</v>
      </c>
      <c r="V19">
        <v>14</v>
      </c>
      <c r="W19">
        <v>0</v>
      </c>
      <c r="X19">
        <v>0</v>
      </c>
      <c r="Y19">
        <v>30.48</v>
      </c>
      <c r="Z19">
        <v>2.5</v>
      </c>
      <c r="AA19">
        <v>0</v>
      </c>
      <c r="AB19">
        <v>3.81E-3</v>
      </c>
      <c r="AC19">
        <v>0</v>
      </c>
      <c r="AD19">
        <v>0.30887399999999998</v>
      </c>
    </row>
    <row r="20" spans="2:30" ht="15.75" thickBot="1">
      <c r="B20" s="52">
        <v>16</v>
      </c>
      <c r="C20" s="53">
        <v>0</v>
      </c>
      <c r="D20" s="54">
        <v>0</v>
      </c>
      <c r="E20">
        <f t="shared" si="1"/>
        <v>0</v>
      </c>
      <c r="F20">
        <f t="shared" si="3"/>
        <v>12</v>
      </c>
      <c r="G20">
        <f t="shared" si="4"/>
        <v>30.48</v>
      </c>
      <c r="H20">
        <f t="shared" si="5"/>
        <v>0</v>
      </c>
      <c r="I20">
        <f t="shared" si="6"/>
        <v>0</v>
      </c>
      <c r="J20">
        <f t="shared" si="0"/>
        <v>0</v>
      </c>
      <c r="K20">
        <f t="shared" si="7"/>
        <v>16</v>
      </c>
      <c r="L20">
        <f t="shared" si="8"/>
        <v>16.5</v>
      </c>
      <c r="M20">
        <f t="shared" si="9"/>
        <v>0</v>
      </c>
      <c r="N20">
        <v>0</v>
      </c>
      <c r="O20">
        <v>30.48</v>
      </c>
      <c r="P20" s="56">
        <f>SQRT((C20-C19)^2+((B20-B19)*12*2.54)^2)</f>
        <v>30.48</v>
      </c>
      <c r="Q20">
        <f t="shared" si="10"/>
        <v>0</v>
      </c>
      <c r="R20">
        <f t="shared" si="11"/>
        <v>0</v>
      </c>
      <c r="S20">
        <f t="shared" si="2"/>
        <v>0</v>
      </c>
      <c r="U20">
        <v>15</v>
      </c>
      <c r="V20">
        <v>15</v>
      </c>
      <c r="W20">
        <v>0</v>
      </c>
      <c r="X20">
        <v>0</v>
      </c>
      <c r="Y20">
        <v>30.48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2:30">
      <c r="C21">
        <f>AVERAGE(C6:C16)</f>
        <v>10.909090909090908</v>
      </c>
      <c r="H21" t="s">
        <v>16</v>
      </c>
      <c r="I21" t="s">
        <v>54</v>
      </c>
      <c r="J21">
        <f>SUM(J4:J16)</f>
        <v>9.4975680000000007E-2</v>
      </c>
      <c r="P21" s="56" t="s">
        <v>53</v>
      </c>
      <c r="R21" t="s">
        <v>54</v>
      </c>
      <c r="S21">
        <f>SUM(S4:S20)</f>
        <v>9.7330260000000016E-2</v>
      </c>
      <c r="U21">
        <v>16</v>
      </c>
      <c r="V21">
        <v>16</v>
      </c>
      <c r="W21">
        <v>0</v>
      </c>
      <c r="X21">
        <v>0</v>
      </c>
      <c r="Y21">
        <v>-228.6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2:30">
      <c r="H22" t="s">
        <v>17</v>
      </c>
      <c r="I22" t="s">
        <v>55</v>
      </c>
      <c r="J22">
        <f>J21*1000</f>
        <v>94.975680000000011</v>
      </c>
      <c r="P22" s="56">
        <f>SUM(P5:P18)</f>
        <v>431.68376881737748</v>
      </c>
      <c r="R22" t="s">
        <v>55</v>
      </c>
      <c r="S22">
        <f>S21*1000</f>
        <v>97.33026000000001</v>
      </c>
      <c r="AC22">
        <f>SUM(AC5:AC21)</f>
        <v>97.330259999999996</v>
      </c>
    </row>
    <row r="23" spans="2:30">
      <c r="L23" t="s">
        <v>56</v>
      </c>
    </row>
    <row r="24" spans="2:30">
      <c r="B24" s="30"/>
      <c r="C24" s="30" t="s">
        <v>37</v>
      </c>
      <c r="D24" s="30"/>
      <c r="E24" s="30"/>
      <c r="U24" s="4"/>
    </row>
    <row r="25" spans="2:30">
      <c r="B25" s="30"/>
      <c r="C25" s="30" t="s">
        <v>38</v>
      </c>
      <c r="D25" s="30"/>
      <c r="E25" s="30"/>
    </row>
    <row r="26" spans="2:30">
      <c r="B26" s="30" t="s">
        <v>30</v>
      </c>
      <c r="C26" s="30" t="s">
        <v>25</v>
      </c>
      <c r="D26" s="30">
        <f>SUM(Q5:Q18)/10000</f>
        <v>0.39471600000000001</v>
      </c>
      <c r="E26" s="30" t="s">
        <v>34</v>
      </c>
    </row>
    <row r="27" spans="2:30">
      <c r="B27" s="30"/>
      <c r="C27" s="30" t="s">
        <v>24</v>
      </c>
      <c r="D27" s="30">
        <f>SUM(P5:P18)/100</f>
        <v>4.3168376881737744</v>
      </c>
      <c r="E27" s="30" t="s">
        <v>35</v>
      </c>
    </row>
    <row r="28" spans="2:30">
      <c r="B28" s="30"/>
      <c r="C28" s="30" t="s">
        <v>26</v>
      </c>
      <c r="D28" s="30">
        <f>D26/D27</f>
        <v>9.1436377392957638E-2</v>
      </c>
      <c r="E28" s="30" t="s">
        <v>35</v>
      </c>
    </row>
    <row r="29" spans="2:30">
      <c r="B29" s="30"/>
      <c r="C29" s="30" t="s">
        <v>23</v>
      </c>
      <c r="D29" s="48">
        <v>1.61E-2</v>
      </c>
      <c r="E29" s="30" t="s">
        <v>33</v>
      </c>
    </row>
    <row r="30" spans="2:30">
      <c r="B30" s="30"/>
      <c r="C30" s="30" t="s">
        <v>22</v>
      </c>
      <c r="D30" s="49">
        <v>0.05</v>
      </c>
      <c r="E30" s="30"/>
    </row>
    <row r="31" spans="2:30">
      <c r="B31" s="30"/>
      <c r="C31" s="30"/>
      <c r="D31" s="30" t="s">
        <v>28</v>
      </c>
      <c r="E31" s="30"/>
    </row>
    <row r="32" spans="2:30">
      <c r="B32" s="30"/>
      <c r="C32" s="30" t="s">
        <v>36</v>
      </c>
      <c r="D32" s="30">
        <f>((D28^(2/3))*(D29^0.5))/D30</f>
        <v>0.51505737246923444</v>
      </c>
      <c r="E32" s="30" t="s">
        <v>40</v>
      </c>
    </row>
    <row r="33" spans="2:5">
      <c r="B33" s="30"/>
      <c r="C33" s="30" t="s">
        <v>39</v>
      </c>
      <c r="D33" s="30">
        <f>D26*D32</f>
        <v>0.20330138583156634</v>
      </c>
      <c r="E33" s="30" t="s">
        <v>28</v>
      </c>
    </row>
    <row r="34" spans="2:5">
      <c r="B34" s="30"/>
      <c r="C34" s="30"/>
      <c r="D34" s="46">
        <f>D33*1000</f>
        <v>203.30138583156634</v>
      </c>
      <c r="E34" s="3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Dam</vt:lpstr>
      <vt:lpstr>DriveThru</vt:lpstr>
      <vt:lpstr>LBJ</vt:lpstr>
      <vt:lpstr>LBJ-mannings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2012-09-28T01:40:51Z</dcterms:created>
  <dcterms:modified xsi:type="dcterms:W3CDTF">2013-04-30T03:39:56Z</dcterms:modified>
</cp:coreProperties>
</file>