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amoa\WATERSHED_ANALYSIS\FAGAALU\Discharge\"/>
    </mc:Choice>
  </mc:AlternateContent>
  <bookViews>
    <workbookView minimized="1" xWindow="480" yWindow="60" windowWidth="11475" windowHeight="6945"/>
  </bookViews>
  <sheets>
    <sheet name="alt V-notch" sheetId="1" r:id="rId1"/>
    <sheet name="alt V-notch (ft)" sheetId="4" r:id="rId2"/>
    <sheet name="rectangular" sheetId="2" r:id="rId3"/>
    <sheet name="rectangular sup" sheetId="5" r:id="rId4"/>
  </sheets>
  <calcPr calcId="152511"/>
</workbook>
</file>

<file path=xl/calcChain.xml><?xml version="1.0" encoding="utf-8"?>
<calcChain xmlns="http://schemas.openxmlformats.org/spreadsheetml/2006/main">
  <c r="F13" i="1" l="1"/>
  <c r="F12" i="1"/>
  <c r="F5" i="4" l="1"/>
  <c r="G5" i="4" s="1"/>
  <c r="C5" i="4"/>
  <c r="F3" i="5"/>
  <c r="C3" i="5" s="1"/>
  <c r="G3" i="5" s="1"/>
  <c r="D5" i="5" s="1"/>
  <c r="F3" i="2"/>
  <c r="C3" i="2" s="1"/>
  <c r="G3" i="2" s="1"/>
  <c r="D5" i="2" s="1"/>
  <c r="D7" i="4"/>
  <c r="E5" i="4"/>
  <c r="C7" i="4"/>
  <c r="B7" i="1"/>
  <c r="B5" i="1"/>
  <c r="E7" i="1"/>
  <c r="B9" i="1"/>
  <c r="B10" i="1" s="1"/>
  <c r="D7" i="1"/>
  <c r="C5" i="1"/>
  <c r="C7" i="1" s="1"/>
  <c r="E7" i="4" l="1"/>
  <c r="G7" i="4" s="1"/>
  <c r="G5" i="1"/>
  <c r="F7" i="1" s="1"/>
  <c r="H7" i="1" s="1"/>
</calcChain>
</file>

<file path=xl/sharedStrings.xml><?xml version="1.0" encoding="utf-8"?>
<sst xmlns="http://schemas.openxmlformats.org/spreadsheetml/2006/main" count="44" uniqueCount="26">
  <si>
    <t>Q = 8/15*Cd*(2g)^1/2*tan(theta/2)*(H+k)^5/2</t>
  </si>
  <si>
    <t>8 / 15</t>
  </si>
  <si>
    <t>Cd</t>
  </si>
  <si>
    <t>2g^(1/2)</t>
  </si>
  <si>
    <t>tan(theta/2)</t>
  </si>
  <si>
    <t>H</t>
  </si>
  <si>
    <t>k</t>
  </si>
  <si>
    <t>(H+k)^(5/2)</t>
  </si>
  <si>
    <t>H (cm)</t>
  </si>
  <si>
    <t>theta (deg)</t>
  </si>
  <si>
    <t>Q</t>
  </si>
  <si>
    <t>4.28</t>
  </si>
  <si>
    <t>k(ft)</t>
  </si>
  <si>
    <t>k(cm)</t>
  </si>
  <si>
    <t>H(ft)</t>
  </si>
  <si>
    <t>Q = 4.28*Cd*tan(theta/2)*(H+k)^5/2</t>
  </si>
  <si>
    <t>Hw</t>
  </si>
  <si>
    <t>H/Hw</t>
  </si>
  <si>
    <t>Cw = 4.28*Cd</t>
  </si>
  <si>
    <t>2/3(2g^.5)</t>
  </si>
  <si>
    <t>b</t>
  </si>
  <si>
    <t>from LMNO engineering</t>
  </si>
  <si>
    <t>Q =Cw*(b-.1nH)*H(3/2)</t>
  </si>
  <si>
    <t>Q =Cw*b*H(3/2)</t>
  </si>
  <si>
    <t>Flume</t>
  </si>
  <si>
    <t>Weir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</si>
</sst>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1" fillId="3" borderId="0" xfId="0" applyFont="1" applyFill="1" applyAlignment="1">
      <alignment horizontal="right"/>
    </xf>
    <xf numFmtId="2" fontId="2" fillId="3" borderId="0" xfId="0" applyNumberFormat="1" applyFont="1" applyFill="1" applyAlignment="1">
      <alignment horizontal="right"/>
    </xf>
    <xf numFmtId="49" fontId="0" fillId="4" borderId="0" xfId="0" applyNumberFormat="1" applyFill="1" applyAlignment="1">
      <alignment horizontal="right"/>
    </xf>
    <xf numFmtId="0" fontId="4" fillId="4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0" fontId="1" fillId="4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2" fillId="3" borderId="0" xfId="0" applyFont="1" applyFill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tabSelected="1" workbookViewId="0">
      <selection activeCell="I12" sqref="I12"/>
    </sheetView>
  </sheetViews>
  <sheetFormatPr defaultRowHeight="15" x14ac:dyDescent="0.25"/>
  <cols>
    <col min="2" max="2" width="11.140625" customWidth="1"/>
    <col min="5" max="5" width="11.7109375" customWidth="1"/>
    <col min="6" max="6" width="13.7109375" customWidth="1"/>
  </cols>
  <sheetData>
    <row r="2" spans="2:8" x14ac:dyDescent="0.25">
      <c r="B2" t="s">
        <v>0</v>
      </c>
    </row>
    <row r="4" spans="2:8" x14ac:dyDescent="0.25">
      <c r="B4" s="2" t="s">
        <v>9</v>
      </c>
      <c r="C4" s="9" t="s">
        <v>2</v>
      </c>
      <c r="D4" s="1"/>
      <c r="E4" s="1"/>
      <c r="F4" s="2" t="s">
        <v>8</v>
      </c>
      <c r="G4" s="9" t="s">
        <v>6</v>
      </c>
      <c r="H4" s="1"/>
    </row>
    <row r="5" spans="2:8" x14ac:dyDescent="0.25">
      <c r="B5" s="3">
        <f>2*81.45</f>
        <v>162.9</v>
      </c>
      <c r="C5" s="4">
        <f>0.6072-(0.000874*B5)+(0.0000061*(B5^2))</f>
        <v>0.62669750099999999</v>
      </c>
      <c r="D5" s="13"/>
      <c r="E5" s="13"/>
      <c r="F5" s="3">
        <v>40</v>
      </c>
      <c r="G5" s="4">
        <f>4.42-(0.1035*B5)+(0.001005*(B5^2))-(0.00000324*(B5^3))</f>
        <v>0.22313099763999844</v>
      </c>
      <c r="H5" s="1"/>
    </row>
    <row r="6" spans="2:8" x14ac:dyDescent="0.25">
      <c r="B6" s="8" t="s">
        <v>1</v>
      </c>
      <c r="C6" s="9" t="s">
        <v>2</v>
      </c>
      <c r="D6" s="10" t="s">
        <v>3</v>
      </c>
      <c r="E6" s="2" t="s">
        <v>4</v>
      </c>
      <c r="F6" s="9" t="s">
        <v>7</v>
      </c>
      <c r="G6" s="10"/>
      <c r="H6" s="11" t="s">
        <v>10</v>
      </c>
    </row>
    <row r="7" spans="2:8" x14ac:dyDescent="0.25">
      <c r="B7" s="7">
        <f>8/15</f>
        <v>0.53333333333333333</v>
      </c>
      <c r="C7" s="4">
        <f>C5</f>
        <v>0.62669750099999999</v>
      </c>
      <c r="D7" s="14">
        <f>(2*9.81)^0.5</f>
        <v>4.4294469180700204</v>
      </c>
      <c r="E7" s="3">
        <f>TAN(B5/2)</f>
        <v>-0.23563009255419728</v>
      </c>
      <c r="F7" s="4">
        <f>(F5+G5)^(5/2)</f>
        <v>10260.999901325307</v>
      </c>
      <c r="G7" s="5"/>
      <c r="H7" s="6">
        <f>B7*C7*D7*E7*F7</f>
        <v>-3579.5351354387512</v>
      </c>
    </row>
    <row r="9" spans="2:8" x14ac:dyDescent="0.25">
      <c r="B9">
        <f>175^2 + 26^2</f>
        <v>31301</v>
      </c>
    </row>
    <row r="10" spans="2:8" x14ac:dyDescent="0.25">
      <c r="B10">
        <f>SQRT(B9)</f>
        <v>176.92088627406318</v>
      </c>
    </row>
    <row r="11" spans="2:8" x14ac:dyDescent="0.25">
      <c r="F11" t="s">
        <v>24</v>
      </c>
      <c r="G11" t="s">
        <v>25</v>
      </c>
    </row>
    <row r="12" spans="2:8" x14ac:dyDescent="0.25">
      <c r="E12" s="12">
        <v>47</v>
      </c>
      <c r="F12" s="15">
        <f>479.5*(E12-0.006)^1.508</f>
        <v>159304.69286820752</v>
      </c>
    </row>
    <row r="13" spans="2:8" x14ac:dyDescent="0.25">
      <c r="E13">
        <v>50</v>
      </c>
      <c r="F13" s="15">
        <f>(8/15)*(0.6072-(0.000874*150)+(0.0000061*(150^2)))*(2*(9.81^0.5))*(TAN(150/2))*((E13+(4.42-(0.1035*150)+(0.001005*150^2)-(0.00000324*150^3)))^2.5)</f>
        <v>-15679.461675399465</v>
      </c>
    </row>
    <row r="14" spans="2:8" x14ac:dyDescent="0.25">
      <c r="E14"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7" sqref="D7"/>
    </sheetView>
  </sheetViews>
  <sheetFormatPr defaultRowHeight="15" x14ac:dyDescent="0.25"/>
  <cols>
    <col min="2" max="2" width="11.140625" customWidth="1"/>
    <col min="4" max="4" width="11.7109375" customWidth="1"/>
    <col min="5" max="5" width="13.7109375" customWidth="1"/>
  </cols>
  <sheetData>
    <row r="1" spans="1:7" x14ac:dyDescent="0.25">
      <c r="A1" t="s">
        <v>21</v>
      </c>
    </row>
    <row r="2" spans="1:7" x14ac:dyDescent="0.25">
      <c r="B2" t="s">
        <v>15</v>
      </c>
    </row>
    <row r="4" spans="1:7" x14ac:dyDescent="0.25">
      <c r="B4" s="2" t="s">
        <v>9</v>
      </c>
      <c r="C4" s="9" t="s">
        <v>2</v>
      </c>
      <c r="D4" s="2" t="s">
        <v>8</v>
      </c>
      <c r="E4" t="s">
        <v>14</v>
      </c>
      <c r="F4" s="9" t="s">
        <v>12</v>
      </c>
      <c r="G4" s="1" t="s">
        <v>13</v>
      </c>
    </row>
    <row r="5" spans="1:7" x14ac:dyDescent="0.25">
      <c r="B5" s="3">
        <v>163</v>
      </c>
      <c r="C5" s="4">
        <f>0.6072-(0.000874*B5)+(0.0000061*(B5^2))</f>
        <v>0.6268089</v>
      </c>
      <c r="D5" s="3">
        <v>25.4</v>
      </c>
      <c r="E5">
        <f>D5/25.4</f>
        <v>1</v>
      </c>
      <c r="F5" s="4">
        <f>0.0144902648-(0.00033955535*B5)+(0.00000329819003*(B5^2))-(0.0000000106215442*(B5^3))</f>
        <v>7.7313297755260413E-4</v>
      </c>
      <c r="G5" s="1">
        <f>F5*25.4</f>
        <v>1.9637577629836145E-2</v>
      </c>
    </row>
    <row r="6" spans="1:7" x14ac:dyDescent="0.25">
      <c r="B6" s="8" t="s">
        <v>11</v>
      </c>
      <c r="C6" s="9" t="s">
        <v>2</v>
      </c>
      <c r="D6" s="2" t="s">
        <v>4</v>
      </c>
      <c r="E6" s="9" t="s">
        <v>7</v>
      </c>
      <c r="F6" s="10"/>
      <c r="G6" s="11" t="s">
        <v>10</v>
      </c>
    </row>
    <row r="7" spans="1:7" x14ac:dyDescent="0.25">
      <c r="B7" s="7">
        <v>4.28</v>
      </c>
      <c r="C7" s="4">
        <f>C5</f>
        <v>0.6268089</v>
      </c>
      <c r="D7" s="3">
        <f>TAN(RADIANS(B5/2))</f>
        <v>6.6911562383174124</v>
      </c>
      <c r="E7" s="4">
        <f>(E5+F5)^(2.5)</f>
        <v>1.0019339533406597</v>
      </c>
      <c r="F7" s="5"/>
      <c r="G7" s="6">
        <f>B7*C7*D7*E7</f>
        <v>17.98536219741856</v>
      </c>
    </row>
    <row r="12" spans="1:7" x14ac:dyDescent="0.25">
      <c r="D12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workbookViewId="0">
      <selection activeCell="D6" sqref="D6"/>
    </sheetView>
  </sheetViews>
  <sheetFormatPr defaultRowHeight="15" x14ac:dyDescent="0.25"/>
  <cols>
    <col min="1" max="1" width="8" customWidth="1"/>
    <col min="2" max="2" width="11.42578125" customWidth="1"/>
    <col min="7" max="7" width="12.42578125" customWidth="1"/>
  </cols>
  <sheetData>
    <row r="1" spans="2:7" x14ac:dyDescent="0.25">
      <c r="B1" t="s">
        <v>23</v>
      </c>
    </row>
    <row r="2" spans="2:7" x14ac:dyDescent="0.25">
      <c r="C2" t="s">
        <v>2</v>
      </c>
      <c r="D2" t="s">
        <v>5</v>
      </c>
      <c r="E2" t="s">
        <v>16</v>
      </c>
      <c r="F2" t="s">
        <v>17</v>
      </c>
      <c r="G2" t="s">
        <v>18</v>
      </c>
    </row>
    <row r="3" spans="2:7" x14ac:dyDescent="0.25">
      <c r="C3">
        <f>1.06*((14.14/(8.15+(F3)))^10+(F3/(F3+1))^15)^-0.01</f>
        <v>1.0439631118019452</v>
      </c>
      <c r="D3">
        <v>1</v>
      </c>
      <c r="E3">
        <v>0.25</v>
      </c>
      <c r="F3">
        <f>D3/E3</f>
        <v>4</v>
      </c>
      <c r="G3">
        <f>4.28*C3</f>
        <v>4.4681621185123257</v>
      </c>
    </row>
    <row r="4" spans="2:7" x14ac:dyDescent="0.25">
      <c r="B4" s="8" t="s">
        <v>19</v>
      </c>
      <c r="C4" t="s">
        <v>20</v>
      </c>
      <c r="D4" t="s">
        <v>10</v>
      </c>
    </row>
    <row r="5" spans="2:7" x14ac:dyDescent="0.25">
      <c r="B5" s="7">
        <v>4.28</v>
      </c>
      <c r="C5">
        <v>9</v>
      </c>
      <c r="D5">
        <f>G3*C5*(D3^1.5)</f>
        <v>40.21345906661093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workbookViewId="0">
      <selection activeCell="D5" sqref="D5"/>
    </sheetView>
  </sheetViews>
  <sheetFormatPr defaultRowHeight="15" x14ac:dyDescent="0.25"/>
  <cols>
    <col min="1" max="1" width="8" customWidth="1"/>
    <col min="2" max="2" width="11.42578125" customWidth="1"/>
    <col min="7" max="7" width="12.42578125" customWidth="1"/>
  </cols>
  <sheetData>
    <row r="1" spans="2:7" x14ac:dyDescent="0.25">
      <c r="B1" t="s">
        <v>22</v>
      </c>
    </row>
    <row r="2" spans="2:7" x14ac:dyDescent="0.25">
      <c r="C2" t="s">
        <v>2</v>
      </c>
      <c r="D2" t="s">
        <v>5</v>
      </c>
      <c r="E2" t="s">
        <v>16</v>
      </c>
      <c r="F2" t="s">
        <v>17</v>
      </c>
      <c r="G2" t="s">
        <v>18</v>
      </c>
    </row>
    <row r="3" spans="2:7" x14ac:dyDescent="0.25">
      <c r="C3">
        <f>1.06*((14.14/(8.15+(F3)))^10+(F3/(F3+1))^15)^-0.01</f>
        <v>1.0439631118019452</v>
      </c>
      <c r="D3">
        <v>1</v>
      </c>
      <c r="E3">
        <v>0.25</v>
      </c>
      <c r="F3">
        <f>D3/E3</f>
        <v>4</v>
      </c>
      <c r="G3">
        <f>4.28*C3</f>
        <v>4.4681621185123257</v>
      </c>
    </row>
    <row r="4" spans="2:7" x14ac:dyDescent="0.25">
      <c r="B4" s="8" t="s">
        <v>19</v>
      </c>
      <c r="C4" t="s">
        <v>20</v>
      </c>
      <c r="D4" t="s">
        <v>10</v>
      </c>
    </row>
    <row r="5" spans="2:7" x14ac:dyDescent="0.25">
      <c r="B5" s="7">
        <v>4.28</v>
      </c>
      <c r="C5">
        <v>9</v>
      </c>
      <c r="D5">
        <f>G3*(C5-(0.1*2*D3))*(D3^1.5)</f>
        <v>39.319826642908467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alt V-notch</vt:lpstr>
      <vt:lpstr>alt V-notch (ft)</vt:lpstr>
      <vt:lpstr>rectangular</vt:lpstr>
      <vt:lpstr>rectangular sup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2012-11-30T02:39:14Z</dcterms:created>
  <dcterms:modified xsi:type="dcterms:W3CDTF">2013-11-07T01:08:38Z</dcterms:modified>
</cp:coreProperties>
</file>