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LandCover\"/>
    </mc:Choice>
  </mc:AlternateContent>
  <bookViews>
    <workbookView xWindow="0" yWindow="0" windowWidth="20490" windowHeight="7755" activeTab="1"/>
  </bookViews>
  <sheets>
    <sheet name="Fagaalu" sheetId="1" r:id="rId1"/>
    <sheet name="Fagaalu_Revised" sheetId="3" r:id="rId2"/>
    <sheet name="Fagaalu_Revised_check" sheetId="4" r:id="rId3"/>
    <sheet name="Nuuuli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O6" i="3"/>
  <c r="E4" i="3"/>
  <c r="E5" i="3"/>
  <c r="E6" i="3"/>
  <c r="E3" i="3"/>
  <c r="E2" i="3"/>
  <c r="C3" i="3"/>
  <c r="C4" i="3"/>
  <c r="C5" i="3"/>
  <c r="C6" i="3"/>
  <c r="C2" i="3"/>
  <c r="N7" i="3" l="1"/>
  <c r="Q7" i="3" s="1"/>
  <c r="X6" i="3"/>
  <c r="W6" i="3"/>
  <c r="V6" i="3"/>
  <c r="U6" i="3"/>
  <c r="T6" i="3"/>
  <c r="S6" i="3"/>
  <c r="R6" i="3"/>
  <c r="Q6" i="3"/>
  <c r="G6" i="3"/>
  <c r="I6" i="3"/>
  <c r="J6" i="3"/>
  <c r="K6" i="3"/>
  <c r="L6" i="3"/>
  <c r="N6" i="3"/>
  <c r="F6" i="3"/>
  <c r="D5" i="3"/>
  <c r="X5" i="3"/>
  <c r="W5" i="3"/>
  <c r="P5" i="3"/>
  <c r="O5" i="3"/>
  <c r="V5" i="3"/>
  <c r="U5" i="3"/>
  <c r="T5" i="3"/>
  <c r="S5" i="3"/>
  <c r="R5" i="3"/>
  <c r="Q5" i="3"/>
  <c r="N5" i="3"/>
  <c r="L5" i="3"/>
  <c r="K5" i="3"/>
  <c r="J5" i="3"/>
  <c r="I5" i="3"/>
  <c r="G5" i="3"/>
  <c r="F5" i="3"/>
  <c r="W7" i="3" l="1"/>
  <c r="O3" i="3"/>
  <c r="O4" i="3"/>
  <c r="N4" i="3"/>
  <c r="L4" i="3"/>
  <c r="K4" i="3"/>
  <c r="J4" i="3"/>
  <c r="I4" i="3"/>
  <c r="G4" i="3"/>
  <c r="F4" i="3"/>
  <c r="L4" i="4"/>
  <c r="K4" i="4"/>
  <c r="I4" i="4"/>
  <c r="J4" i="4"/>
  <c r="F4" i="4"/>
  <c r="D4" i="4"/>
  <c r="G4" i="4"/>
  <c r="W3" i="4"/>
  <c r="P3" i="4"/>
  <c r="N3" i="4"/>
  <c r="N2" i="4"/>
  <c r="U2" i="4" s="1"/>
  <c r="K3" i="4"/>
  <c r="N5" i="4"/>
  <c r="T5" i="4" s="1"/>
  <c r="N6" i="4"/>
  <c r="S6" i="4" s="1"/>
  <c r="D6" i="4"/>
  <c r="O6" i="4"/>
  <c r="U6" i="4"/>
  <c r="W5" i="4"/>
  <c r="U5" i="4"/>
  <c r="S5" i="4"/>
  <c r="Q5" i="4"/>
  <c r="P5" i="4"/>
  <c r="V5" i="4"/>
  <c r="C5" i="4"/>
  <c r="E4" i="4"/>
  <c r="C4" i="4"/>
  <c r="L3" i="4"/>
  <c r="J3" i="4"/>
  <c r="I3" i="4"/>
  <c r="G3" i="4"/>
  <c r="F3" i="4"/>
  <c r="E3" i="4"/>
  <c r="E6" i="4" s="1"/>
  <c r="C3" i="4"/>
  <c r="C2" i="4"/>
  <c r="N4" i="4" l="1"/>
  <c r="P4" i="4" s="1"/>
  <c r="X5" i="4"/>
  <c r="O5" i="4"/>
  <c r="T3" i="4"/>
  <c r="V3" i="4"/>
  <c r="R3" i="4"/>
  <c r="O3" i="4"/>
  <c r="X3" i="4"/>
  <c r="S3" i="4"/>
  <c r="U3" i="4"/>
  <c r="R2" i="4"/>
  <c r="R6" i="4"/>
  <c r="V6" i="4"/>
  <c r="O2" i="4"/>
  <c r="W6" i="4"/>
  <c r="P6" i="4"/>
  <c r="T6" i="4"/>
  <c r="X6" i="4"/>
  <c r="V2" i="4"/>
  <c r="S2" i="4"/>
  <c r="W2" i="4"/>
  <c r="P2" i="4"/>
  <c r="T2" i="4"/>
  <c r="X2" i="4"/>
  <c r="Q3" i="4"/>
  <c r="Q2" i="4"/>
  <c r="R5" i="4"/>
  <c r="Q6" i="4"/>
  <c r="O4" i="4" l="1"/>
  <c r="W8" i="4"/>
  <c r="W8" i="3"/>
  <c r="X8" i="3"/>
  <c r="X3" i="3"/>
  <c r="X7" i="3"/>
  <c r="X2" i="3"/>
  <c r="W3" i="3"/>
  <c r="W2" i="3"/>
  <c r="V4" i="4" l="1"/>
  <c r="R4" i="4"/>
  <c r="X4" i="4"/>
  <c r="W4" i="4"/>
  <c r="S4" i="4"/>
  <c r="Q4" i="4"/>
  <c r="U4" i="4"/>
  <c r="T4" i="4"/>
  <c r="L3" i="3"/>
  <c r="K3" i="3"/>
  <c r="J3" i="3"/>
  <c r="I3" i="3"/>
  <c r="G3" i="3"/>
  <c r="F3" i="3"/>
  <c r="N3" i="3" s="1"/>
  <c r="V3" i="3" s="1"/>
  <c r="D4" i="3"/>
  <c r="N8" i="3"/>
  <c r="T8" i="3" s="1"/>
  <c r="U7" i="3"/>
  <c r="C7" i="3"/>
  <c r="N2" i="3"/>
  <c r="U2" i="3" s="1"/>
  <c r="R4" i="3" l="1"/>
  <c r="P2" i="3"/>
  <c r="P3" i="3"/>
  <c r="R3" i="3"/>
  <c r="T3" i="3"/>
  <c r="Q8" i="3"/>
  <c r="R2" i="3"/>
  <c r="U3" i="3"/>
  <c r="R7" i="3"/>
  <c r="R8" i="3"/>
  <c r="O2" i="3"/>
  <c r="Q3" i="3"/>
  <c r="O7" i="3"/>
  <c r="U8" i="3"/>
  <c r="O8" i="3"/>
  <c r="S2" i="3"/>
  <c r="V2" i="3"/>
  <c r="S7" i="3"/>
  <c r="V7" i="3"/>
  <c r="T2" i="3"/>
  <c r="P7" i="3"/>
  <c r="T7" i="3"/>
  <c r="S8" i="3"/>
  <c r="V8" i="3"/>
  <c r="Q2" i="3"/>
  <c r="S3" i="3"/>
  <c r="P8" i="3"/>
  <c r="E7" i="1"/>
  <c r="E6" i="1"/>
  <c r="E5" i="1"/>
  <c r="E2" i="1"/>
  <c r="E3" i="1"/>
  <c r="E4" i="1"/>
  <c r="S2" i="1"/>
  <c r="V4" i="3" l="1"/>
  <c r="X4" i="3"/>
  <c r="W4" i="3"/>
  <c r="U4" i="3"/>
  <c r="T4" i="3"/>
  <c r="P4" i="3"/>
  <c r="S4" i="3"/>
  <c r="Q4" i="3"/>
  <c r="N3" i="2"/>
  <c r="U3" i="2" s="1"/>
  <c r="E3" i="2"/>
  <c r="N2" i="2"/>
  <c r="U2" i="2" s="1"/>
  <c r="E2" i="2"/>
  <c r="C2" i="2"/>
  <c r="B2" i="2"/>
  <c r="B3" i="2" s="1"/>
  <c r="C3" i="2" s="1"/>
  <c r="N3" i="1"/>
  <c r="R2" i="2" l="1"/>
  <c r="V2" i="2"/>
  <c r="R3" i="2"/>
  <c r="V3" i="2"/>
  <c r="O2" i="2"/>
  <c r="S2" i="2"/>
  <c r="O3" i="2"/>
  <c r="S3" i="2"/>
  <c r="P2" i="2"/>
  <c r="T2" i="2"/>
  <c r="P3" i="2"/>
  <c r="T3" i="2"/>
  <c r="Q2" i="2"/>
  <c r="Q3" i="2"/>
  <c r="E8" i="1"/>
  <c r="N9" i="1"/>
  <c r="P9" i="1" s="1"/>
  <c r="U3" i="1"/>
  <c r="O3" i="1"/>
  <c r="N4" i="1"/>
  <c r="Q4" i="1" s="1"/>
  <c r="N5" i="1"/>
  <c r="O5" i="1" s="1"/>
  <c r="N6" i="1"/>
  <c r="O6" i="1" s="1"/>
  <c r="N7" i="1"/>
  <c r="O7" i="1" s="1"/>
  <c r="N8" i="1"/>
  <c r="S8" i="1" s="1"/>
  <c r="N2" i="1"/>
  <c r="P2" i="1" s="1"/>
  <c r="O2" i="1" l="1"/>
  <c r="V9" i="1"/>
  <c r="U2" i="1"/>
  <c r="Q2" i="1"/>
  <c r="V2" i="1"/>
  <c r="R2" i="1"/>
  <c r="U8" i="1"/>
  <c r="P8" i="1"/>
  <c r="S9" i="1"/>
  <c r="T8" i="1"/>
  <c r="R9" i="1"/>
  <c r="V8" i="1"/>
  <c r="Q8" i="1"/>
  <c r="O8" i="1"/>
  <c r="T2" i="1"/>
  <c r="Q3" i="1"/>
  <c r="R8" i="1"/>
  <c r="O9" i="1"/>
  <c r="U9" i="1"/>
  <c r="Q9" i="1"/>
  <c r="T9" i="1"/>
  <c r="V3" i="1"/>
  <c r="R3" i="1"/>
  <c r="T3" i="1"/>
  <c r="P3" i="1"/>
  <c r="S3" i="1"/>
  <c r="V7" i="1"/>
  <c r="R7" i="1"/>
  <c r="U7" i="1"/>
  <c r="Q7" i="1"/>
  <c r="T7" i="1"/>
  <c r="P7" i="1"/>
  <c r="S7" i="1"/>
  <c r="V6" i="1"/>
  <c r="R6" i="1"/>
  <c r="Q6" i="1"/>
  <c r="T6" i="1"/>
  <c r="P6" i="1"/>
  <c r="U6" i="1"/>
  <c r="S6" i="1"/>
  <c r="Q5" i="1"/>
  <c r="V5" i="1"/>
  <c r="R5" i="1"/>
  <c r="T5" i="1"/>
  <c r="P5" i="1"/>
  <c r="U5" i="1"/>
  <c r="S5" i="1"/>
  <c r="T4" i="1"/>
  <c r="S4" i="1"/>
  <c r="O4" i="1"/>
  <c r="V4" i="1"/>
  <c r="R4" i="1"/>
  <c r="P4" i="1"/>
  <c r="U4" i="1"/>
</calcChain>
</file>

<file path=xl/sharedStrings.xml><?xml version="1.0" encoding="utf-8"?>
<sst xmlns="http://schemas.openxmlformats.org/spreadsheetml/2006/main" count="115" uniqueCount="55">
  <si>
    <t>Watershed</t>
  </si>
  <si>
    <t>Area km2</t>
  </si>
  <si>
    <t>%</t>
  </si>
  <si>
    <t>% 2 (developed)</t>
  </si>
  <si>
    <t>%6 (Cultivated)</t>
  </si>
  <si>
    <t>%8 (Grassland)</t>
  </si>
  <si>
    <t>%10 (Evergreen Forest</t>
  </si>
  <si>
    <t>%12 (Scrub/Shrub)</t>
  </si>
  <si>
    <t>%20 (Bare Land)</t>
  </si>
  <si>
    <t>%21 (Water)</t>
  </si>
  <si>
    <t>Matafao</t>
  </si>
  <si>
    <t>2 (developed)</t>
  </si>
  <si>
    <t>5 (developed open space)</t>
  </si>
  <si>
    <t>6 (Cultivated)</t>
  </si>
  <si>
    <t>8 (Grassland)</t>
  </si>
  <si>
    <t>10 (Evergreen Forest</t>
  </si>
  <si>
    <t>12 (Scrub/Shrub)</t>
  </si>
  <si>
    <t>20 (Bare Land)</t>
  </si>
  <si>
    <t>21 (Water)</t>
  </si>
  <si>
    <t>Total</t>
  </si>
  <si>
    <t>Vaitanoa</t>
  </si>
  <si>
    <t>TRIB</t>
  </si>
  <si>
    <t>Nuuuli Upper</t>
  </si>
  <si>
    <t>Nuuuli Lower</t>
  </si>
  <si>
    <t>Fagaalu Adm.</t>
  </si>
  <si>
    <t>Cum.Area km2 to Outlet only, not adm.</t>
  </si>
  <si>
    <t>Cum.%</t>
  </si>
  <si>
    <t>% 5 (developed open space)</t>
  </si>
  <si>
    <t>Cumulative Area km2</t>
  </si>
  <si>
    <t>% High Intensity Developed</t>
  </si>
  <si>
    <t>% Developed Open Space</t>
  </si>
  <si>
    <t>% Grassland (agriculture)</t>
  </si>
  <si>
    <t>% Forest</t>
  </si>
  <si>
    <t>% Bare Land</t>
  </si>
  <si>
    <t>% Scrub/ Shrub</t>
  </si>
  <si>
    <t>Subwatershed</t>
  </si>
  <si>
    <t>FOREST(UPPER)</t>
  </si>
  <si>
    <t>QUARRY</t>
  </si>
  <si>
    <t>VILLAGE(TOTAL)</t>
  </si>
  <si>
    <t>% abs</t>
  </si>
  <si>
    <t>Fagaalu Stream</t>
  </si>
  <si>
    <t>QUARRY(LOWER)</t>
  </si>
  <si>
    <t>VILLAGE(LOWER)</t>
  </si>
  <si>
    <t>% of area</t>
  </si>
  <si>
    <t>Cumulative %</t>
  </si>
  <si>
    <t>% Undisturbed</t>
  </si>
  <si>
    <t>% Disturbed</t>
  </si>
  <si>
    <t>LOWER (QUARRY+VILLAGE)</t>
  </si>
  <si>
    <t>Fagaalu Watershed (outlet to ocean)</t>
  </si>
  <si>
    <t>Upper (FG1)</t>
  </si>
  <si>
    <t>Lower_Quarry (FG2)</t>
  </si>
  <si>
    <t>Lower_Village (FG3)</t>
  </si>
  <si>
    <t>Lower (FG3)</t>
  </si>
  <si>
    <t>Total (FG3)</t>
  </si>
  <si>
    <t>Subwatershed (outlet)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</si>
</sst>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2" fontId="5" fillId="0" borderId="2" xfId="0" applyNumberFormat="1" applyFont="1" applyBorder="1"/>
    <xf numFmtId="9" fontId="5" fillId="0" borderId="2" xfId="1" applyFont="1" applyBorder="1"/>
    <xf numFmtId="9" fontId="5" fillId="0" borderId="2" xfId="0" applyNumberFormat="1" applyFont="1" applyBorder="1"/>
    <xf numFmtId="0" fontId="5" fillId="0" borderId="2" xfId="0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0" fontId="3" fillId="0" borderId="4" xfId="0" applyFont="1" applyBorder="1"/>
    <xf numFmtId="0" fontId="0" fillId="0" borderId="5" xfId="0" applyBorder="1"/>
    <xf numFmtId="2" fontId="2" fillId="0" borderId="5" xfId="0" applyNumberFormat="1" applyFont="1" applyBorder="1"/>
    <xf numFmtId="9" fontId="2" fillId="0" borderId="5" xfId="1" applyFont="1" applyBorder="1"/>
    <xf numFmtId="0" fontId="2" fillId="0" borderId="5" xfId="0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2" fontId="0" fillId="0" borderId="2" xfId="0" applyNumberFormat="1" applyBorder="1"/>
    <xf numFmtId="9" fontId="0" fillId="0" borderId="2" xfId="1" applyFont="1" applyBorder="1"/>
    <xf numFmtId="9" fontId="0" fillId="0" borderId="2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3" fillId="0" borderId="7" xfId="0" applyFont="1" applyBorder="1"/>
    <xf numFmtId="0" fontId="0" fillId="0" borderId="0" xfId="0" applyBorder="1"/>
    <xf numFmtId="2" fontId="0" fillId="0" borderId="0" xfId="0" applyNumberFormat="1" applyBorder="1"/>
    <xf numFmtId="9" fontId="0" fillId="0" borderId="0" xfId="1" applyFont="1" applyBorder="1"/>
    <xf numFmtId="9" fontId="0" fillId="0" borderId="0" xfId="0" applyNumberForma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2" fontId="5" fillId="0" borderId="0" xfId="0" applyNumberFormat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0" xfId="0" applyFont="1" applyBorder="1"/>
    <xf numFmtId="164" fontId="4" fillId="0" borderId="0" xfId="1" applyNumberFormat="1" applyFont="1" applyBorder="1"/>
    <xf numFmtId="164" fontId="4" fillId="0" borderId="8" xfId="1" applyNumberFormat="1" applyFont="1" applyBorder="1"/>
    <xf numFmtId="2" fontId="2" fillId="0" borderId="0" xfId="0" applyNumberFormat="1" applyFont="1" applyBorder="1"/>
    <xf numFmtId="9" fontId="2" fillId="0" borderId="0" xfId="1" applyFont="1" applyBorder="1"/>
    <xf numFmtId="9" fontId="2" fillId="0" borderId="0" xfId="0" applyNumberFormat="1" applyFont="1" applyBorder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8" xfId="1" applyNumberFormat="1" applyFont="1" applyBorder="1"/>
    <xf numFmtId="2" fontId="0" fillId="0" borderId="5" xfId="0" applyNumberFormat="1" applyBorder="1"/>
    <xf numFmtId="9" fontId="0" fillId="0" borderId="5" xfId="1" applyFont="1" applyBorder="1"/>
    <xf numFmtId="9" fontId="0" fillId="0" borderId="5" xfId="0" applyNumberForma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9" fontId="0" fillId="0" borderId="0" xfId="0" applyNumberFormat="1"/>
    <xf numFmtId="164" fontId="4" fillId="0" borderId="0" xfId="1" applyNumberFormat="1" applyFont="1" applyFill="1" applyBorder="1"/>
    <xf numFmtId="9" fontId="3" fillId="0" borderId="0" xfId="1" applyFont="1" applyAlignment="1">
      <alignment wrapText="1"/>
    </xf>
    <xf numFmtId="9" fontId="0" fillId="0" borderId="0" xfId="1" applyFont="1"/>
    <xf numFmtId="164" fontId="0" fillId="0" borderId="0" xfId="0" applyNumberFormat="1"/>
    <xf numFmtId="0" fontId="3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0.8554687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3.140625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35</v>
      </c>
      <c r="B1" s="48" t="s">
        <v>1</v>
      </c>
      <c r="C1" s="48" t="s">
        <v>39</v>
      </c>
      <c r="D1" s="48" t="s">
        <v>28</v>
      </c>
      <c r="E1" s="48" t="s">
        <v>2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29</v>
      </c>
      <c r="P1" s="48" t="s">
        <v>30</v>
      </c>
      <c r="Q1" s="48" t="s">
        <v>4</v>
      </c>
      <c r="R1" s="48" t="s">
        <v>31</v>
      </c>
      <c r="S1" s="48" t="s">
        <v>32</v>
      </c>
      <c r="T1" s="49" t="s">
        <v>34</v>
      </c>
      <c r="U1" s="48" t="s">
        <v>33</v>
      </c>
      <c r="V1" s="48" t="s">
        <v>9</v>
      </c>
    </row>
    <row r="2" spans="1:22" x14ac:dyDescent="0.25">
      <c r="A2" s="4" t="s">
        <v>10</v>
      </c>
      <c r="B2" s="19">
        <v>0.19939200000000001</v>
      </c>
      <c r="C2" s="20">
        <v>0.10716013182192433</v>
      </c>
      <c r="D2" s="19">
        <v>0.19939200000000001</v>
      </c>
      <c r="E2" s="21">
        <f>D2/$D$8</f>
        <v>0.10716013182192433</v>
      </c>
      <c r="F2" s="5"/>
      <c r="G2" s="5"/>
      <c r="H2" s="5"/>
      <c r="I2" s="5"/>
      <c r="J2" s="5">
        <v>90783</v>
      </c>
      <c r="K2" s="5">
        <v>108059</v>
      </c>
      <c r="L2" s="5">
        <v>508</v>
      </c>
      <c r="M2" s="5"/>
      <c r="N2" s="5">
        <f>SUM(F2:M2)</f>
        <v>199350</v>
      </c>
      <c r="O2" s="22">
        <f t="shared" ref="O2:O7" si="0">F2/$N2</f>
        <v>0</v>
      </c>
      <c r="P2" s="22">
        <f t="shared" ref="P2:V2" si="1">G2/$N2</f>
        <v>0</v>
      </c>
      <c r="Q2" s="22">
        <f t="shared" si="1"/>
        <v>0</v>
      </c>
      <c r="R2" s="22">
        <f t="shared" si="1"/>
        <v>0</v>
      </c>
      <c r="S2" s="22">
        <f>J2/$N2</f>
        <v>0.45539503386004515</v>
      </c>
      <c r="T2" s="22">
        <f t="shared" si="1"/>
        <v>0.5420566842237271</v>
      </c>
      <c r="U2" s="22">
        <f t="shared" si="1"/>
        <v>2.5482819162277403E-3</v>
      </c>
      <c r="V2" s="23">
        <f t="shared" si="1"/>
        <v>0</v>
      </c>
    </row>
    <row r="3" spans="1:22" x14ac:dyDescent="0.25">
      <c r="A3" s="24" t="s">
        <v>20</v>
      </c>
      <c r="B3" s="26">
        <v>0.44203700000000001</v>
      </c>
      <c r="C3" s="27">
        <v>0.23756591633650276</v>
      </c>
      <c r="D3" s="26">
        <v>0.64142900000000003</v>
      </c>
      <c r="E3" s="28">
        <f t="shared" ref="E3:E8" si="2">D3/$D$8</f>
        <v>0.34472604815842711</v>
      </c>
      <c r="F3" s="25"/>
      <c r="G3" s="25"/>
      <c r="H3" s="25"/>
      <c r="I3" s="25">
        <v>147</v>
      </c>
      <c r="J3" s="25">
        <v>484066</v>
      </c>
      <c r="K3" s="25">
        <v>153685</v>
      </c>
      <c r="L3" s="25">
        <v>3574</v>
      </c>
      <c r="M3" s="25"/>
      <c r="N3" s="25">
        <f>SUM(F3:M3)</f>
        <v>641472</v>
      </c>
      <c r="O3" s="29">
        <f t="shared" si="0"/>
        <v>0</v>
      </c>
      <c r="P3" s="29">
        <f t="shared" ref="P3:Q7" si="3">G3/$N3</f>
        <v>0</v>
      </c>
      <c r="Q3" s="29">
        <f t="shared" si="3"/>
        <v>0</v>
      </c>
      <c r="R3" s="29">
        <f t="shared" ref="R3:R7" si="4">I3/$N3</f>
        <v>2.2916043100868003E-4</v>
      </c>
      <c r="S3" s="29">
        <f t="shared" ref="S3:S7" si="5">J3/$N3</f>
        <v>0.75461750473910005</v>
      </c>
      <c r="T3" s="29">
        <f t="shared" ref="T3:V7" si="6">K3/$N3</f>
        <v>0.23958177441883668</v>
      </c>
      <c r="U3" s="29">
        <f t="shared" si="6"/>
        <v>5.5715604110545746E-3</v>
      </c>
      <c r="V3" s="30">
        <f t="shared" si="6"/>
        <v>0</v>
      </c>
    </row>
    <row r="4" spans="1:22" x14ac:dyDescent="0.25">
      <c r="A4" s="24" t="s">
        <v>36</v>
      </c>
      <c r="B4" s="31">
        <v>0.25582099999999997</v>
      </c>
      <c r="C4" s="32">
        <v>0.13748702095779416</v>
      </c>
      <c r="D4" s="31">
        <v>0.89724999999999999</v>
      </c>
      <c r="E4" s="33">
        <f t="shared" si="2"/>
        <v>0.48221306911622125</v>
      </c>
      <c r="F4" s="25"/>
      <c r="G4" s="25"/>
      <c r="H4" s="25"/>
      <c r="I4" s="34">
        <v>476</v>
      </c>
      <c r="J4" s="34">
        <v>739484</v>
      </c>
      <c r="K4" s="34">
        <v>153685</v>
      </c>
      <c r="L4" s="34">
        <v>3574</v>
      </c>
      <c r="M4" s="34"/>
      <c r="N4" s="34">
        <f t="shared" ref="N4:N8" si="7">SUM(F4:M4)</f>
        <v>897219</v>
      </c>
      <c r="O4" s="35">
        <f t="shared" si="0"/>
        <v>0</v>
      </c>
      <c r="P4" s="35">
        <f t="shared" si="3"/>
        <v>0</v>
      </c>
      <c r="Q4" s="35">
        <f t="shared" si="3"/>
        <v>0</v>
      </c>
      <c r="R4" s="35">
        <f t="shared" si="4"/>
        <v>5.3052822109206333E-4</v>
      </c>
      <c r="S4" s="35">
        <f t="shared" si="5"/>
        <v>0.82419565345807433</v>
      </c>
      <c r="T4" s="35">
        <f t="shared" si="6"/>
        <v>0.17129039844229782</v>
      </c>
      <c r="U4" s="35">
        <f t="shared" si="6"/>
        <v>3.9834198785357868E-3</v>
      </c>
      <c r="V4" s="36">
        <f t="shared" si="6"/>
        <v>0</v>
      </c>
    </row>
    <row r="5" spans="1:22" x14ac:dyDescent="0.25">
      <c r="A5" s="24" t="s">
        <v>37</v>
      </c>
      <c r="B5" s="26">
        <v>0.27474600000000005</v>
      </c>
      <c r="C5" s="27">
        <v>0.14765796811078891</v>
      </c>
      <c r="D5" s="26">
        <v>1.171996</v>
      </c>
      <c r="E5" s="28">
        <f t="shared" si="2"/>
        <v>0.62987103722701021</v>
      </c>
      <c r="F5" s="25">
        <v>2008</v>
      </c>
      <c r="G5" s="25">
        <v>348</v>
      </c>
      <c r="H5" s="25"/>
      <c r="I5" s="25">
        <v>1816</v>
      </c>
      <c r="J5" s="25">
        <v>992494</v>
      </c>
      <c r="K5" s="25">
        <v>156112</v>
      </c>
      <c r="L5" s="25">
        <v>19204</v>
      </c>
      <c r="M5" s="25"/>
      <c r="N5" s="25">
        <f t="shared" si="7"/>
        <v>1171982</v>
      </c>
      <c r="O5" s="29">
        <f t="shared" si="0"/>
        <v>1.7133368942526422E-3</v>
      </c>
      <c r="P5" s="29">
        <f t="shared" si="3"/>
        <v>2.9693288804776864E-4</v>
      </c>
      <c r="Q5" s="29">
        <f t="shared" si="3"/>
        <v>0</v>
      </c>
      <c r="R5" s="29">
        <f t="shared" si="4"/>
        <v>1.5495118525711146E-3</v>
      </c>
      <c r="S5" s="29">
        <f t="shared" si="5"/>
        <v>0.84685089020138538</v>
      </c>
      <c r="T5" s="29">
        <f t="shared" si="6"/>
        <v>0.13320341097388869</v>
      </c>
      <c r="U5" s="29">
        <f t="shared" si="6"/>
        <v>1.6385917189854451E-2</v>
      </c>
      <c r="V5" s="30">
        <f t="shared" si="6"/>
        <v>0</v>
      </c>
    </row>
    <row r="6" spans="1:22" x14ac:dyDescent="0.25">
      <c r="A6" s="24" t="s">
        <v>21</v>
      </c>
      <c r="B6" s="26">
        <v>0.14628099999999999</v>
      </c>
      <c r="C6" s="27">
        <v>7.8616450223895198E-2</v>
      </c>
      <c r="D6" s="26">
        <v>0.14628099999999999</v>
      </c>
      <c r="E6" s="28">
        <f t="shared" si="2"/>
        <v>7.8616450223895198E-2</v>
      </c>
      <c r="F6" s="25">
        <v>1671</v>
      </c>
      <c r="G6" s="25">
        <v>3</v>
      </c>
      <c r="H6" s="25"/>
      <c r="I6" s="25">
        <v>1009</v>
      </c>
      <c r="J6" s="25">
        <v>140308</v>
      </c>
      <c r="K6" s="25">
        <v>3325</v>
      </c>
      <c r="L6" s="25"/>
      <c r="M6" s="25"/>
      <c r="N6" s="25">
        <f t="shared" si="7"/>
        <v>146316</v>
      </c>
      <c r="O6" s="29">
        <f t="shared" si="0"/>
        <v>1.1420487164766669E-2</v>
      </c>
      <c r="P6" s="29">
        <f t="shared" si="3"/>
        <v>2.0503567620766013E-5</v>
      </c>
      <c r="Q6" s="29">
        <f t="shared" si="3"/>
        <v>0</v>
      </c>
      <c r="R6" s="29">
        <f t="shared" si="4"/>
        <v>6.8960332431176356E-3</v>
      </c>
      <c r="S6" s="29">
        <f t="shared" si="5"/>
        <v>0.95893818857814594</v>
      </c>
      <c r="T6" s="29">
        <f t="shared" si="6"/>
        <v>2.2724787446348999E-2</v>
      </c>
      <c r="U6" s="29">
        <f t="shared" si="6"/>
        <v>0</v>
      </c>
      <c r="V6" s="30">
        <f t="shared" si="6"/>
        <v>0</v>
      </c>
    </row>
    <row r="7" spans="1:22" x14ac:dyDescent="0.25">
      <c r="A7" s="24" t="s">
        <v>38</v>
      </c>
      <c r="B7" s="37">
        <v>0.45813599999999999</v>
      </c>
      <c r="C7" s="38">
        <v>0.24621807370591156</v>
      </c>
      <c r="D7" s="37">
        <v>1.776413</v>
      </c>
      <c r="E7" s="39">
        <f t="shared" si="2"/>
        <v>0.95470556115681693</v>
      </c>
      <c r="F7" s="40">
        <v>56406</v>
      </c>
      <c r="G7" s="40">
        <v>16249</v>
      </c>
      <c r="H7" s="25"/>
      <c r="I7" s="40">
        <v>2874</v>
      </c>
      <c r="J7" s="40">
        <v>1521947</v>
      </c>
      <c r="K7" s="40">
        <v>159545</v>
      </c>
      <c r="L7" s="40">
        <v>19379</v>
      </c>
      <c r="M7" s="40"/>
      <c r="N7" s="40">
        <f t="shared" si="7"/>
        <v>1776400</v>
      </c>
      <c r="O7" s="41">
        <f t="shared" si="0"/>
        <v>3.175298356226075E-2</v>
      </c>
      <c r="P7" s="41">
        <f t="shared" si="3"/>
        <v>9.1471515424453951E-3</v>
      </c>
      <c r="Q7" s="41">
        <f t="shared" si="3"/>
        <v>0</v>
      </c>
      <c r="R7" s="41">
        <f t="shared" si="4"/>
        <v>1.6178788561134879E-3</v>
      </c>
      <c r="S7" s="41">
        <f t="shared" si="5"/>
        <v>0.85675917586129247</v>
      </c>
      <c r="T7" s="41">
        <f t="shared" si="6"/>
        <v>8.9813668092771901E-2</v>
      </c>
      <c r="U7" s="41">
        <f t="shared" si="6"/>
        <v>1.0909142085115965E-2</v>
      </c>
      <c r="V7" s="42">
        <f t="shared" si="6"/>
        <v>0</v>
      </c>
    </row>
    <row r="8" spans="1:22" ht="15.75" thickBot="1" x14ac:dyDescent="0.3">
      <c r="A8" s="12" t="s">
        <v>40</v>
      </c>
      <c r="B8" s="43">
        <v>8.4278999999999993E-2</v>
      </c>
      <c r="C8" s="44">
        <v>4.5294438843183071E-2</v>
      </c>
      <c r="D8" s="43">
        <v>1.860692</v>
      </c>
      <c r="E8" s="45">
        <f t="shared" si="2"/>
        <v>1</v>
      </c>
      <c r="F8" s="13">
        <v>85528</v>
      </c>
      <c r="G8" s="13">
        <v>21192</v>
      </c>
      <c r="H8" s="13"/>
      <c r="I8" s="13">
        <v>2874</v>
      </c>
      <c r="J8" s="13">
        <v>1571530</v>
      </c>
      <c r="K8" s="13">
        <v>160179</v>
      </c>
      <c r="L8" s="13">
        <v>19379</v>
      </c>
      <c r="M8" s="13"/>
      <c r="N8" s="13">
        <f t="shared" si="7"/>
        <v>1860682</v>
      </c>
      <c r="O8" s="46">
        <f t="shared" ref="O8" si="8">F8/$N8</f>
        <v>4.5965941520367266E-2</v>
      </c>
      <c r="P8" s="46">
        <f t="shared" ref="P8" si="9">G8/$N8</f>
        <v>1.1389372283926001E-2</v>
      </c>
      <c r="Q8" s="46">
        <f t="shared" ref="Q8" si="10">H8/$N8</f>
        <v>0</v>
      </c>
      <c r="R8" s="46">
        <f t="shared" ref="R8" si="11">I8/$N8</f>
        <v>1.5445949388450042E-3</v>
      </c>
      <c r="S8" s="46">
        <f>J8/$N8</f>
        <v>0.84459891588138114</v>
      </c>
      <c r="T8" s="46">
        <f t="shared" ref="T8" si="12">K8/$N8</f>
        <v>8.608617700391577E-2</v>
      </c>
      <c r="U8" s="46">
        <f t="shared" ref="U8" si="13">L8/$N8</f>
        <v>1.0414998371564834E-2</v>
      </c>
      <c r="V8" s="47">
        <f t="shared" ref="V8" si="14">M8/$N8</f>
        <v>0</v>
      </c>
    </row>
    <row r="9" spans="1:22" x14ac:dyDescent="0.25">
      <c r="A9" s="2" t="s">
        <v>24</v>
      </c>
      <c r="B9" s="3">
        <v>2.4778150000000001</v>
      </c>
      <c r="D9" s="3">
        <v>2.4778150000000001</v>
      </c>
      <c r="F9">
        <v>177490</v>
      </c>
      <c r="G9">
        <v>61384</v>
      </c>
      <c r="H9">
        <v>11447</v>
      </c>
      <c r="I9">
        <v>7294</v>
      </c>
      <c r="J9">
        <v>2024813</v>
      </c>
      <c r="K9">
        <v>166192</v>
      </c>
      <c r="L9">
        <v>26936</v>
      </c>
      <c r="M9">
        <v>2269</v>
      </c>
      <c r="N9">
        <f t="shared" ref="N9" si="15">SUM(F9:M9)</f>
        <v>2477825</v>
      </c>
      <c r="O9" s="1">
        <f t="shared" ref="O9" si="16">F9/$N9</f>
        <v>7.163137025415435E-2</v>
      </c>
      <c r="P9" s="1">
        <f t="shared" ref="P9" si="17">G9/$N9</f>
        <v>2.4773339521556203E-2</v>
      </c>
      <c r="Q9" s="1">
        <f t="shared" ref="Q9" si="18">H9/$N9</f>
        <v>4.619777425766549E-3</v>
      </c>
      <c r="R9" s="1">
        <f t="shared" ref="R9" si="19">I9/$N9</f>
        <v>2.9437107140334769E-3</v>
      </c>
      <c r="S9" s="1">
        <f>J9/$N9</f>
        <v>0.81717352920403985</v>
      </c>
      <c r="T9" s="1">
        <f t="shared" ref="T9" si="20">K9/$N9</f>
        <v>6.7071726211495972E-2</v>
      </c>
      <c r="U9" s="1">
        <f t="shared" ref="U9" si="21">L9/$N9</f>
        <v>1.0870824210749346E-2</v>
      </c>
      <c r="V9" s="1">
        <f t="shared" ref="V9" si="22">M9/$N9</f>
        <v>9.1572245820427194E-4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9.5703125" customWidth="1"/>
    <col min="2" max="2" width="10.85546875" customWidth="1"/>
    <col min="3" max="3" width="11.140625" customWidth="1"/>
    <col min="4" max="4" width="10.140625" customWidth="1"/>
    <col min="5" max="5" width="7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7.140625" customWidth="1"/>
    <col min="16" max="16" width="12.7109375" customWidth="1"/>
    <col min="17" max="17" width="12.140625" customWidth="1"/>
    <col min="18" max="18" width="12.42578125" customWidth="1"/>
    <col min="19" max="19" width="13.140625" customWidth="1"/>
    <col min="20" max="20" width="10.7109375" customWidth="1"/>
    <col min="21" max="21" width="7.7109375" customWidth="1"/>
    <col min="22" max="22" width="8.140625" customWidth="1"/>
    <col min="23" max="23" width="10.140625" bestFit="1" customWidth="1"/>
    <col min="24" max="24" width="9.140625" style="53"/>
  </cols>
  <sheetData>
    <row r="1" spans="1:25" s="48" customFormat="1" ht="51" customHeight="1" x14ac:dyDescent="0.25">
      <c r="A1" s="48" t="s">
        <v>54</v>
      </c>
      <c r="B1" s="48" t="s">
        <v>28</v>
      </c>
      <c r="C1" s="48" t="s">
        <v>44</v>
      </c>
      <c r="D1" s="48" t="s">
        <v>1</v>
      </c>
      <c r="E1" s="48" t="s">
        <v>43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33</v>
      </c>
      <c r="P1" s="48" t="s">
        <v>29</v>
      </c>
      <c r="Q1" s="48" t="s">
        <v>30</v>
      </c>
      <c r="R1" s="48" t="s">
        <v>4</v>
      </c>
      <c r="S1" s="48" t="s">
        <v>31</v>
      </c>
      <c r="T1" s="48" t="s">
        <v>32</v>
      </c>
      <c r="U1" s="49" t="s">
        <v>34</v>
      </c>
      <c r="V1" s="48" t="s">
        <v>9</v>
      </c>
      <c r="W1" s="48" t="s">
        <v>46</v>
      </c>
      <c r="X1" s="52" t="s">
        <v>45</v>
      </c>
    </row>
    <row r="2" spans="1:25" x14ac:dyDescent="0.25">
      <c r="A2" s="24" t="s">
        <v>49</v>
      </c>
      <c r="B2" s="31">
        <v>0.89724999999999999</v>
      </c>
      <c r="C2" s="33">
        <f>B2/$B$6</f>
        <v>0.50509087695260058</v>
      </c>
      <c r="D2" s="31">
        <v>0.9</v>
      </c>
      <c r="E2" s="32">
        <f>C2</f>
        <v>0.50509087695260058</v>
      </c>
      <c r="F2" s="25"/>
      <c r="G2" s="25"/>
      <c r="H2" s="25"/>
      <c r="I2" s="34">
        <v>476</v>
      </c>
      <c r="J2" s="34">
        <v>739484</v>
      </c>
      <c r="K2" s="34">
        <v>153685</v>
      </c>
      <c r="L2" s="34">
        <v>3574</v>
      </c>
      <c r="M2" s="34"/>
      <c r="N2" s="34">
        <f t="shared" ref="N2:N8" si="0">SUM(F2:M2)</f>
        <v>897219</v>
      </c>
      <c r="O2" s="35">
        <f t="shared" ref="O2:O8" si="1">L2/$N2</f>
        <v>3.9834198785357868E-3</v>
      </c>
      <c r="P2" s="35">
        <f t="shared" ref="P2:U8" si="2">F2/$N2</f>
        <v>0</v>
      </c>
      <c r="Q2" s="35">
        <f t="shared" si="2"/>
        <v>0</v>
      </c>
      <c r="R2" s="35">
        <f t="shared" si="2"/>
        <v>0</v>
      </c>
      <c r="S2" s="35">
        <f t="shared" si="2"/>
        <v>5.3052822109206333E-4</v>
      </c>
      <c r="T2" s="35">
        <f t="shared" si="2"/>
        <v>0.82419565345807433</v>
      </c>
      <c r="U2" s="35">
        <f t="shared" si="2"/>
        <v>0.17129039844229782</v>
      </c>
      <c r="V2" s="36">
        <f t="shared" ref="V2:V8" si="3">M2/$N2</f>
        <v>0</v>
      </c>
      <c r="W2" s="51">
        <f>SUM(L2,F2:G2)/N2</f>
        <v>3.9834198785357868E-3</v>
      </c>
      <c r="X2" s="1">
        <f>SUM(I2:K2)/N2</f>
        <v>0.99601658012146421</v>
      </c>
      <c r="Y2" s="54"/>
    </row>
    <row r="3" spans="1:25" x14ac:dyDescent="0.25">
      <c r="A3" s="24" t="s">
        <v>50</v>
      </c>
      <c r="B3" s="26">
        <v>1.171996</v>
      </c>
      <c r="C3" s="33">
        <f t="shared" ref="C3:C6" si="4">B3/$B$6</f>
        <v>0.6597542350793425</v>
      </c>
      <c r="D3" s="26">
        <v>0.27474600000000005</v>
      </c>
      <c r="E3" s="27">
        <f>D3/$B$6</f>
        <v>0.15466335812674195</v>
      </c>
      <c r="F3" s="25">
        <f>2008-F2</f>
        <v>2008</v>
      </c>
      <c r="G3" s="25">
        <f>348-G2</f>
        <v>348</v>
      </c>
      <c r="H3" s="25"/>
      <c r="I3" s="25">
        <f>1816-I2</f>
        <v>1340</v>
      </c>
      <c r="J3" s="25">
        <f>992494-J2</f>
        <v>253010</v>
      </c>
      <c r="K3" s="25">
        <f>156112-K2</f>
        <v>2427</v>
      </c>
      <c r="L3" s="25">
        <f>19204-L2</f>
        <v>15630</v>
      </c>
      <c r="M3" s="25"/>
      <c r="N3" s="25">
        <f t="shared" si="0"/>
        <v>274763</v>
      </c>
      <c r="O3" s="29">
        <f t="shared" si="1"/>
        <v>5.6885388498451393E-2</v>
      </c>
      <c r="P3" s="29">
        <f t="shared" si="2"/>
        <v>7.3081164494491618E-3</v>
      </c>
      <c r="Q3" s="29">
        <f t="shared" si="2"/>
        <v>1.2665460778925838E-3</v>
      </c>
      <c r="R3" s="29">
        <f t="shared" si="2"/>
        <v>0</v>
      </c>
      <c r="S3" s="29">
        <f t="shared" si="2"/>
        <v>4.8769302999312134E-3</v>
      </c>
      <c r="T3" s="29">
        <f t="shared" si="2"/>
        <v>0.92082995163104198</v>
      </c>
      <c r="U3" s="29">
        <f t="shared" si="2"/>
        <v>8.8330670432336233E-3</v>
      </c>
      <c r="V3" s="30">
        <f t="shared" si="3"/>
        <v>0</v>
      </c>
      <c r="W3" s="51">
        <f t="shared" ref="W3:W4" si="5">SUM(L3,F3:G3)/N3</f>
        <v>6.5460051025793137E-2</v>
      </c>
      <c r="X3" s="1">
        <f t="shared" ref="X3:X7" si="6">SUM(I3:K3)/N3</f>
        <v>0.93453994897420689</v>
      </c>
      <c r="Y3" s="54"/>
    </row>
    <row r="4" spans="1:25" x14ac:dyDescent="0.25">
      <c r="A4" s="24" t="s">
        <v>51</v>
      </c>
      <c r="B4" s="37">
        <v>1.776413</v>
      </c>
      <c r="C4" s="33">
        <f t="shared" si="4"/>
        <v>1</v>
      </c>
      <c r="D4" s="37">
        <f>B4-B3</f>
        <v>0.60441699999999998</v>
      </c>
      <c r="E4" s="38">
        <f t="shared" ref="E4:E6" si="7">D4/$B$6</f>
        <v>0.3402457649206575</v>
      </c>
      <c r="F4" s="40">
        <f>56406-F2-F3</f>
        <v>54398</v>
      </c>
      <c r="G4" s="40">
        <f>16249-G2-G3</f>
        <v>15901</v>
      </c>
      <c r="H4" s="25"/>
      <c r="I4" s="40">
        <f>2874-I2-I3</f>
        <v>1058</v>
      </c>
      <c r="J4" s="40">
        <f>1521947-J2-J3</f>
        <v>529453</v>
      </c>
      <c r="K4" s="40">
        <f>159545-K2-K3</f>
        <v>3433</v>
      </c>
      <c r="L4" s="40">
        <f>19379-L2-L3</f>
        <v>175</v>
      </c>
      <c r="M4" s="40"/>
      <c r="N4" s="40">
        <f>SUM(F4:M4)</f>
        <v>604418</v>
      </c>
      <c r="O4" s="41">
        <f t="shared" si="1"/>
        <v>2.8953472596779048E-4</v>
      </c>
      <c r="P4" s="41">
        <f t="shared" si="2"/>
        <v>9.000062870397639E-2</v>
      </c>
      <c r="Q4" s="41">
        <f t="shared" si="2"/>
        <v>2.6307952443507639E-2</v>
      </c>
      <c r="R4" s="41">
        <f t="shared" si="2"/>
        <v>0</v>
      </c>
      <c r="S4" s="41">
        <f t="shared" si="2"/>
        <v>1.750444228993842E-3</v>
      </c>
      <c r="T4" s="41">
        <f t="shared" si="2"/>
        <v>0.87597159581614048</v>
      </c>
      <c r="U4" s="41">
        <f t="shared" si="2"/>
        <v>5.6798440814138556E-3</v>
      </c>
      <c r="V4" s="42">
        <f t="shared" si="3"/>
        <v>0</v>
      </c>
      <c r="W4" s="51">
        <f t="shared" si="5"/>
        <v>0.11659811587345181</v>
      </c>
      <c r="X4" s="1">
        <f t="shared" si="6"/>
        <v>0.88340188412654819</v>
      </c>
      <c r="Y4" s="54"/>
    </row>
    <row r="5" spans="1:25" x14ac:dyDescent="0.25">
      <c r="A5" s="24" t="s">
        <v>52</v>
      </c>
      <c r="B5" s="37">
        <v>1.776413</v>
      </c>
      <c r="C5" s="33">
        <f t="shared" si="4"/>
        <v>1</v>
      </c>
      <c r="D5" s="37">
        <f>SUM(D3:D4)</f>
        <v>0.87916300000000003</v>
      </c>
      <c r="E5" s="38">
        <f t="shared" si="7"/>
        <v>0.49490912304739948</v>
      </c>
      <c r="F5" s="40">
        <f>56406</f>
        <v>56406</v>
      </c>
      <c r="G5" s="40">
        <f>16249</f>
        <v>16249</v>
      </c>
      <c r="H5" s="25"/>
      <c r="I5" s="40">
        <f>2874-I2</f>
        <v>2398</v>
      </c>
      <c r="J5" s="40">
        <f>1521947-J2</f>
        <v>782463</v>
      </c>
      <c r="K5" s="40">
        <f>159545-K2</f>
        <v>5860</v>
      </c>
      <c r="L5" s="40">
        <f>19379-L2</f>
        <v>15805</v>
      </c>
      <c r="M5" s="40"/>
      <c r="N5" s="40">
        <f>SUM(F5:M5)</f>
        <v>879181</v>
      </c>
      <c r="O5" s="41">
        <f t="shared" si="1"/>
        <v>1.7976958100777884E-2</v>
      </c>
      <c r="P5" s="41">
        <f>F5/$N5</f>
        <v>6.4157437433247533E-2</v>
      </c>
      <c r="Q5" s="41">
        <f t="shared" ref="Q5" si="8">G5/$N5</f>
        <v>1.8481973564032889E-2</v>
      </c>
      <c r="R5" s="41">
        <f t="shared" ref="R5" si="9">H5/$N5</f>
        <v>0</v>
      </c>
      <c r="S5" s="41">
        <f t="shared" ref="S5" si="10">I5/$N5</f>
        <v>2.7275384704628512E-3</v>
      </c>
      <c r="T5" s="41">
        <f t="shared" ref="T5" si="11">J5/$N5</f>
        <v>0.8899907982542844</v>
      </c>
      <c r="U5" s="41">
        <f t="shared" ref="U5" si="12">K5/$N5</f>
        <v>6.6652941771944575E-3</v>
      </c>
      <c r="V5" s="42">
        <f t="shared" si="3"/>
        <v>0</v>
      </c>
      <c r="W5" s="51">
        <f>SUM(L5,F5:G5)/N5</f>
        <v>0.10061636909805831</v>
      </c>
      <c r="X5" s="1">
        <f t="shared" si="6"/>
        <v>0.89938363090194173</v>
      </c>
      <c r="Y5" s="54"/>
    </row>
    <row r="6" spans="1:25" x14ac:dyDescent="0.25">
      <c r="A6" s="24" t="s">
        <v>53</v>
      </c>
      <c r="B6" s="37">
        <v>1.776413</v>
      </c>
      <c r="C6" s="33">
        <f t="shared" si="4"/>
        <v>1</v>
      </c>
      <c r="D6" s="37">
        <v>1.78</v>
      </c>
      <c r="E6" s="38">
        <f t="shared" si="7"/>
        <v>1.0020192376434984</v>
      </c>
      <c r="F6" s="40">
        <f>SUM(F5,F2)</f>
        <v>56406</v>
      </c>
      <c r="G6" s="40">
        <f t="shared" ref="G6:N6" si="13">SUM(G5,G2)</f>
        <v>16249</v>
      </c>
      <c r="H6" s="40"/>
      <c r="I6" s="40">
        <f t="shared" si="13"/>
        <v>2874</v>
      </c>
      <c r="J6" s="40">
        <f t="shared" si="13"/>
        <v>1521947</v>
      </c>
      <c r="K6" s="40">
        <f t="shared" si="13"/>
        <v>159545</v>
      </c>
      <c r="L6" s="40">
        <f t="shared" si="13"/>
        <v>19379</v>
      </c>
      <c r="M6" s="40"/>
      <c r="N6" s="40">
        <f t="shared" si="13"/>
        <v>1776400</v>
      </c>
      <c r="O6" s="41">
        <f>L6/$N6</f>
        <v>1.0909142085115965E-2</v>
      </c>
      <c r="P6" s="41">
        <f>F6/$N6</f>
        <v>3.175298356226075E-2</v>
      </c>
      <c r="Q6" s="41">
        <f t="shared" ref="Q6" si="14">G6/$N6</f>
        <v>9.1471515424453951E-3</v>
      </c>
      <c r="R6" s="41">
        <f t="shared" ref="R6" si="15">H6/$N6</f>
        <v>0</v>
      </c>
      <c r="S6" s="41">
        <f t="shared" ref="S6" si="16">I6/$N6</f>
        <v>1.6178788561134879E-3</v>
      </c>
      <c r="T6" s="41">
        <f t="shared" ref="T6" si="17">J6/$N6</f>
        <v>0.85675917586129247</v>
      </c>
      <c r="U6" s="41">
        <f t="shared" ref="U6" si="18">K6/$N6</f>
        <v>8.9813668092771901E-2</v>
      </c>
      <c r="V6" s="42">
        <f t="shared" si="3"/>
        <v>0</v>
      </c>
      <c r="W6" s="51">
        <f>SUM(L6,F6:G6)/N6</f>
        <v>5.180927718982211E-2</v>
      </c>
      <c r="X6" s="1">
        <f t="shared" ref="X6" si="19">SUM(I6:K6)/N6</f>
        <v>0.94819072281017791</v>
      </c>
      <c r="Y6" s="54"/>
    </row>
    <row r="7" spans="1:25" ht="15.75" thickBot="1" x14ac:dyDescent="0.3">
      <c r="A7" s="12" t="s">
        <v>48</v>
      </c>
      <c r="B7" s="43">
        <v>1.860692</v>
      </c>
      <c r="C7" s="45">
        <f t="shared" ref="C7" si="20">B7/$B$7</f>
        <v>1</v>
      </c>
      <c r="D7" s="43">
        <v>8.4278999999999993E-2</v>
      </c>
      <c r="E7" s="44">
        <v>4.5294438843183099E-2</v>
      </c>
      <c r="F7" s="13">
        <v>85528</v>
      </c>
      <c r="G7" s="13">
        <v>21192</v>
      </c>
      <c r="H7" s="13"/>
      <c r="I7" s="13">
        <v>2874</v>
      </c>
      <c r="J7" s="13">
        <v>1571530</v>
      </c>
      <c r="K7" s="13">
        <v>160179</v>
      </c>
      <c r="L7" s="13">
        <v>19379</v>
      </c>
      <c r="M7" s="13"/>
      <c r="N7" s="13">
        <f>SUM(F7:M7)</f>
        <v>1860682</v>
      </c>
      <c r="O7" s="46">
        <f t="shared" si="1"/>
        <v>1.0414998371564834E-2</v>
      </c>
      <c r="P7" s="46">
        <f t="shared" si="2"/>
        <v>4.5965941520367266E-2</v>
      </c>
      <c r="Q7" s="46">
        <f>G7/$N7</f>
        <v>1.1389372283926001E-2</v>
      </c>
      <c r="R7" s="46">
        <f t="shared" si="2"/>
        <v>0</v>
      </c>
      <c r="S7" s="46">
        <f t="shared" si="2"/>
        <v>1.5445949388450042E-3</v>
      </c>
      <c r="T7" s="46">
        <f t="shared" si="2"/>
        <v>0.84459891588138114</v>
      </c>
      <c r="U7" s="46">
        <f t="shared" si="2"/>
        <v>8.608617700391577E-2</v>
      </c>
      <c r="V7" s="47">
        <f t="shared" si="3"/>
        <v>0</v>
      </c>
      <c r="W7" s="51">
        <f>SUM(L7,F7:G7)/N7</f>
        <v>6.7770312175858105E-2</v>
      </c>
      <c r="X7" s="1">
        <f t="shared" si="6"/>
        <v>0.93222968782414195</v>
      </c>
      <c r="Y7" s="54"/>
    </row>
    <row r="8" spans="1:25" x14ac:dyDescent="0.25">
      <c r="A8" s="2" t="s">
        <v>24</v>
      </c>
      <c r="B8" s="3">
        <v>2.4778150000000001</v>
      </c>
      <c r="D8" s="3"/>
      <c r="E8" s="50"/>
      <c r="F8">
        <v>177490</v>
      </c>
      <c r="G8">
        <v>61384</v>
      </c>
      <c r="H8">
        <v>11447</v>
      </c>
      <c r="I8">
        <v>7294</v>
      </c>
      <c r="J8">
        <v>2024813</v>
      </c>
      <c r="K8">
        <v>166192</v>
      </c>
      <c r="L8">
        <v>26936</v>
      </c>
      <c r="M8">
        <v>2269</v>
      </c>
      <c r="N8">
        <f t="shared" si="0"/>
        <v>2477825</v>
      </c>
      <c r="O8" s="1">
        <f t="shared" si="1"/>
        <v>1.0870824210749346E-2</v>
      </c>
      <c r="P8" s="1">
        <f t="shared" si="2"/>
        <v>7.163137025415435E-2</v>
      </c>
      <c r="Q8" s="1">
        <f t="shared" si="2"/>
        <v>2.4773339521556203E-2</v>
      </c>
      <c r="R8" s="1">
        <f t="shared" si="2"/>
        <v>4.619777425766549E-3</v>
      </c>
      <c r="S8" s="1">
        <f t="shared" si="2"/>
        <v>2.9437107140334769E-3</v>
      </c>
      <c r="T8" s="1">
        <f t="shared" si="2"/>
        <v>0.81717352920403985</v>
      </c>
      <c r="U8" s="1">
        <f t="shared" si="2"/>
        <v>6.7071726211495972E-2</v>
      </c>
      <c r="V8" s="1">
        <f t="shared" si="3"/>
        <v>9.1572245820427194E-4</v>
      </c>
      <c r="W8" s="51">
        <f>SUM(L8,F8:H8)/N8</f>
        <v>0.11189531141222644</v>
      </c>
      <c r="X8" s="1">
        <f>SUM(I8:K8,M8)/N8</f>
        <v>0.88810468858777358</v>
      </c>
      <c r="Y8" s="54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defaultRowHeight="15" x14ac:dyDescent="0.25"/>
  <cols>
    <col min="1" max="1" width="29.5703125" customWidth="1"/>
    <col min="2" max="2" width="10.85546875" customWidth="1"/>
    <col min="3" max="3" width="11.140625" customWidth="1"/>
    <col min="4" max="4" width="10.140625" customWidth="1"/>
    <col min="5" max="5" width="7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7.140625" customWidth="1"/>
    <col min="16" max="16" width="12.7109375" customWidth="1"/>
    <col min="17" max="17" width="12.140625" customWidth="1"/>
    <col min="18" max="18" width="12.42578125" customWidth="1"/>
    <col min="19" max="19" width="13.140625" customWidth="1"/>
    <col min="20" max="20" width="10.7109375" customWidth="1"/>
    <col min="21" max="21" width="7.7109375" customWidth="1"/>
    <col min="22" max="22" width="8.140625" customWidth="1"/>
    <col min="23" max="23" width="10.140625" bestFit="1" customWidth="1"/>
    <col min="24" max="24" width="9.140625" style="53"/>
  </cols>
  <sheetData>
    <row r="1" spans="1:25" s="48" customFormat="1" ht="51" customHeight="1" x14ac:dyDescent="0.25">
      <c r="A1" s="48" t="s">
        <v>35</v>
      </c>
      <c r="B1" s="48" t="s">
        <v>28</v>
      </c>
      <c r="C1" s="48" t="s">
        <v>44</v>
      </c>
      <c r="D1" s="48" t="s">
        <v>1</v>
      </c>
      <c r="E1" s="48" t="s">
        <v>43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33</v>
      </c>
      <c r="P1" s="48" t="s">
        <v>29</v>
      </c>
      <c r="Q1" s="48" t="s">
        <v>30</v>
      </c>
      <c r="R1" s="48" t="s">
        <v>4</v>
      </c>
      <c r="S1" s="48" t="s">
        <v>31</v>
      </c>
      <c r="T1" s="48" t="s">
        <v>32</v>
      </c>
      <c r="U1" s="49" t="s">
        <v>34</v>
      </c>
      <c r="V1" s="48" t="s">
        <v>9</v>
      </c>
      <c r="W1" s="48" t="s">
        <v>46</v>
      </c>
      <c r="X1" s="52" t="s">
        <v>45</v>
      </c>
    </row>
    <row r="2" spans="1:25" x14ac:dyDescent="0.25">
      <c r="A2" s="24" t="s">
        <v>36</v>
      </c>
      <c r="B2" s="31">
        <v>0.89724999999999999</v>
      </c>
      <c r="C2" s="33">
        <f>B2/$B$5</f>
        <v>0.48221306911622125</v>
      </c>
      <c r="D2" s="31">
        <v>0.9</v>
      </c>
      <c r="E2" s="32">
        <v>0.48</v>
      </c>
      <c r="F2" s="25"/>
      <c r="G2" s="25"/>
      <c r="H2" s="25"/>
      <c r="I2" s="34">
        <v>476</v>
      </c>
      <c r="J2" s="34">
        <v>739484</v>
      </c>
      <c r="K2" s="34">
        <v>153685</v>
      </c>
      <c r="L2" s="34">
        <v>3574</v>
      </c>
      <c r="M2" s="34"/>
      <c r="N2" s="34">
        <f>SUM(F2:M2)</f>
        <v>897219</v>
      </c>
      <c r="O2" s="35">
        <f>L2/$N2</f>
        <v>3.9834198785357868E-3</v>
      </c>
      <c r="P2" s="35">
        <f t="shared" ref="P2:U6" si="0">F2/$N2</f>
        <v>0</v>
      </c>
      <c r="Q2" s="35">
        <f t="shared" si="0"/>
        <v>0</v>
      </c>
      <c r="R2" s="35">
        <f t="shared" si="0"/>
        <v>0</v>
      </c>
      <c r="S2" s="35">
        <f t="shared" si="0"/>
        <v>5.3052822109206333E-4</v>
      </c>
      <c r="T2" s="35">
        <f t="shared" si="0"/>
        <v>0.82419565345807433</v>
      </c>
      <c r="U2" s="35">
        <f t="shared" si="0"/>
        <v>0.17129039844229782</v>
      </c>
      <c r="V2" s="36">
        <f>M2/$N2</f>
        <v>0</v>
      </c>
      <c r="W2" s="51">
        <f>SUM(L2,F2:G2)/N2</f>
        <v>3.9834198785357868E-3</v>
      </c>
      <c r="X2" s="1">
        <f>SUM(I2:K2)/N2</f>
        <v>0.99601658012146421</v>
      </c>
      <c r="Y2" s="54"/>
    </row>
    <row r="3" spans="1:25" x14ac:dyDescent="0.25">
      <c r="A3" s="24" t="s">
        <v>41</v>
      </c>
      <c r="B3" s="26">
        <v>1.171996</v>
      </c>
      <c r="C3" s="28">
        <f>B3/$B$5</f>
        <v>0.62987103722701021</v>
      </c>
      <c r="D3" s="26">
        <v>0.27474600000000005</v>
      </c>
      <c r="E3" s="27">
        <f>0.27/1.86</f>
        <v>0.14516129032258066</v>
      </c>
      <c r="F3" s="25">
        <f>2008-F2</f>
        <v>2008</v>
      </c>
      <c r="G3" s="25">
        <f>348-G2</f>
        <v>348</v>
      </c>
      <c r="H3" s="25"/>
      <c r="I3" s="25">
        <f>1816-I2</f>
        <v>1340</v>
      </c>
      <c r="J3" s="25">
        <f>992494-J2</f>
        <v>253010</v>
      </c>
      <c r="K3" s="25">
        <f>156112-K2</f>
        <v>2427</v>
      </c>
      <c r="L3" s="25">
        <f>19204-L2</f>
        <v>15630</v>
      </c>
      <c r="M3" s="25"/>
      <c r="N3" s="25">
        <f>SUM(F3:M3)</f>
        <v>274763</v>
      </c>
      <c r="O3" s="29">
        <f>L3/$N3</f>
        <v>5.6885388498451393E-2</v>
      </c>
      <c r="P3" s="29">
        <f>F3/$N3</f>
        <v>7.3081164494491618E-3</v>
      </c>
      <c r="Q3" s="29">
        <f t="shared" si="0"/>
        <v>1.2665460778925838E-3</v>
      </c>
      <c r="R3" s="29">
        <f t="shared" si="0"/>
        <v>0</v>
      </c>
      <c r="S3" s="29">
        <f t="shared" si="0"/>
        <v>4.8769302999312134E-3</v>
      </c>
      <c r="T3" s="29">
        <f t="shared" si="0"/>
        <v>0.92082995163104198</v>
      </c>
      <c r="U3" s="29">
        <f t="shared" si="0"/>
        <v>8.8330670432336233E-3</v>
      </c>
      <c r="V3" s="30">
        <f>M3/$N3</f>
        <v>0</v>
      </c>
      <c r="W3" s="51">
        <f>SUM(L3,F3:G3)/N3</f>
        <v>6.5460051025793137E-2</v>
      </c>
      <c r="X3" s="1">
        <f t="shared" ref="X3:X5" si="1">SUM(I3:K3)/N3</f>
        <v>0.93453994897420689</v>
      </c>
      <c r="Y3" s="54"/>
    </row>
    <row r="4" spans="1:25" x14ac:dyDescent="0.25">
      <c r="A4" s="24" t="s">
        <v>42</v>
      </c>
      <c r="B4" s="37">
        <v>1.776413</v>
      </c>
      <c r="C4" s="39">
        <f>B4/$B$5</f>
        <v>0.95470556115681693</v>
      </c>
      <c r="D4" s="37">
        <f>B4-B3</f>
        <v>0.60441699999999998</v>
      </c>
      <c r="E4" s="38">
        <f>D4/1.86</f>
        <v>0.324955376344086</v>
      </c>
      <c r="F4" s="40">
        <f>56406-F3</f>
        <v>54398</v>
      </c>
      <c r="G4" s="40">
        <f>16249-G3</f>
        <v>15901</v>
      </c>
      <c r="H4" s="25"/>
      <c r="I4" s="40">
        <f>2874-I3-I2</f>
        <v>1058</v>
      </c>
      <c r="J4" s="40">
        <f>1521947-J2-J3</f>
        <v>529453</v>
      </c>
      <c r="K4" s="40">
        <f>159545-K3-K2</f>
        <v>3433</v>
      </c>
      <c r="L4" s="40">
        <f>19379-L3-L2</f>
        <v>175</v>
      </c>
      <c r="M4" s="40"/>
      <c r="N4" s="40">
        <f>SUM(F4:M4)</f>
        <v>604418</v>
      </c>
      <c r="O4" s="41">
        <f>L4/$N4</f>
        <v>2.8953472596779048E-4</v>
      </c>
      <c r="P4" s="41">
        <f>F4/$N4</f>
        <v>9.000062870397639E-2</v>
      </c>
      <c r="Q4" s="41">
        <f t="shared" si="0"/>
        <v>2.6307952443507639E-2</v>
      </c>
      <c r="R4" s="41">
        <f t="shared" si="0"/>
        <v>0</v>
      </c>
      <c r="S4" s="41">
        <f t="shared" si="0"/>
        <v>1.750444228993842E-3</v>
      </c>
      <c r="T4" s="41">
        <f t="shared" si="0"/>
        <v>0.87597159581614048</v>
      </c>
      <c r="U4" s="41">
        <f t="shared" si="0"/>
        <v>5.6798440814138556E-3</v>
      </c>
      <c r="V4" s="42">
        <f>M4/$N4</f>
        <v>0</v>
      </c>
      <c r="W4" s="51">
        <f t="shared" ref="W4:W5" si="2">SUM(L4,F4:G4)/N4</f>
        <v>0.11659811587345181</v>
      </c>
      <c r="X4" s="1">
        <f t="shared" si="1"/>
        <v>0.88340188412654819</v>
      </c>
      <c r="Y4" s="54"/>
    </row>
    <row r="5" spans="1:25" ht="15.75" thickBot="1" x14ac:dyDescent="0.3">
      <c r="A5" s="12" t="s">
        <v>40</v>
      </c>
      <c r="B5" s="43">
        <v>1.860692</v>
      </c>
      <c r="C5" s="45">
        <f>B5/$B$5</f>
        <v>1</v>
      </c>
      <c r="D5" s="43">
        <v>8.4278999999999993E-2</v>
      </c>
      <c r="E5" s="44">
        <v>4.5294438843183071E-2</v>
      </c>
      <c r="F5" s="13">
        <v>85528</v>
      </c>
      <c r="G5" s="13">
        <v>21192</v>
      </c>
      <c r="H5" s="13"/>
      <c r="I5" s="13">
        <v>2874</v>
      </c>
      <c r="J5" s="13">
        <v>1571530</v>
      </c>
      <c r="K5" s="13">
        <v>160179</v>
      </c>
      <c r="L5" s="13">
        <v>19379</v>
      </c>
      <c r="M5" s="13"/>
      <c r="N5" s="13">
        <f>SUM(F5:M5)</f>
        <v>1860682</v>
      </c>
      <c r="O5" s="46">
        <f>L5/$N5</f>
        <v>1.0414998371564834E-2</v>
      </c>
      <c r="P5" s="46">
        <f t="shared" si="0"/>
        <v>4.5965941520367266E-2</v>
      </c>
      <c r="Q5" s="46">
        <f t="shared" si="0"/>
        <v>1.1389372283926001E-2</v>
      </c>
      <c r="R5" s="46">
        <f t="shared" si="0"/>
        <v>0</v>
      </c>
      <c r="S5" s="46">
        <f t="shared" si="0"/>
        <v>1.5445949388450042E-3</v>
      </c>
      <c r="T5" s="46">
        <f t="shared" si="0"/>
        <v>0.84459891588138114</v>
      </c>
      <c r="U5" s="46">
        <f t="shared" si="0"/>
        <v>8.608617700391577E-2</v>
      </c>
      <c r="V5" s="47">
        <f>M5/$N5</f>
        <v>0</v>
      </c>
      <c r="W5" s="51">
        <f t="shared" si="2"/>
        <v>6.7770312175858105E-2</v>
      </c>
      <c r="X5" s="1">
        <f t="shared" si="1"/>
        <v>0.93222968782414195</v>
      </c>
      <c r="Y5" s="54"/>
    </row>
    <row r="6" spans="1:25" x14ac:dyDescent="0.25">
      <c r="A6" s="2" t="s">
        <v>24</v>
      </c>
      <c r="B6" s="3">
        <v>2.4778150000000001</v>
      </c>
      <c r="D6" s="3">
        <f>SUM(D2:D5)</f>
        <v>1.863442</v>
      </c>
      <c r="E6" s="50">
        <f>SUM(E2:E5)</f>
        <v>0.99541110550984968</v>
      </c>
      <c r="F6">
        <v>177490</v>
      </c>
      <c r="G6">
        <v>61384</v>
      </c>
      <c r="H6">
        <v>11447</v>
      </c>
      <c r="I6">
        <v>7294</v>
      </c>
      <c r="J6">
        <v>2024813</v>
      </c>
      <c r="K6">
        <v>166192</v>
      </c>
      <c r="L6">
        <v>26936</v>
      </c>
      <c r="M6">
        <v>2269</v>
      </c>
      <c r="N6">
        <f>SUM(F6:M6)</f>
        <v>2477825</v>
      </c>
      <c r="O6" s="1">
        <f>L6/$N6</f>
        <v>1.0870824210749346E-2</v>
      </c>
      <c r="P6" s="1">
        <f t="shared" si="0"/>
        <v>7.163137025415435E-2</v>
      </c>
      <c r="Q6" s="1">
        <f t="shared" si="0"/>
        <v>2.4773339521556203E-2</v>
      </c>
      <c r="R6" s="1">
        <f t="shared" si="0"/>
        <v>4.619777425766549E-3</v>
      </c>
      <c r="S6" s="1">
        <f t="shared" si="0"/>
        <v>2.9437107140334769E-3</v>
      </c>
      <c r="T6" s="1">
        <f t="shared" si="0"/>
        <v>0.81717352920403985</v>
      </c>
      <c r="U6" s="1">
        <f t="shared" si="0"/>
        <v>6.7071726211495972E-2</v>
      </c>
      <c r="V6" s="1">
        <f>M6/$N6</f>
        <v>9.1572245820427194E-4</v>
      </c>
      <c r="W6" s="51">
        <f>SUM(L6,F6:H6)/N6</f>
        <v>0.11189531141222644</v>
      </c>
      <c r="X6" s="1">
        <f>SUM(I6:K6,M6)/N6</f>
        <v>0.88810468858777358</v>
      </c>
      <c r="Y6" s="54"/>
    </row>
    <row r="8" spans="1:25" x14ac:dyDescent="0.25">
      <c r="A8" s="55"/>
      <c r="D8" s="3"/>
      <c r="V8" t="s">
        <v>47</v>
      </c>
      <c r="W8">
        <f>(SUM(L3:L4)+SUM(G3:G4)+SUM(F3:F4))/SUM(N3:N4)</f>
        <v>0.10061636909805831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4.570312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1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0</v>
      </c>
      <c r="B1" s="48" t="s">
        <v>1</v>
      </c>
      <c r="C1" s="48" t="s">
        <v>2</v>
      </c>
      <c r="D1" s="48" t="s">
        <v>25</v>
      </c>
      <c r="E1" s="48" t="s">
        <v>26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</v>
      </c>
      <c r="P1" s="48" t="s">
        <v>27</v>
      </c>
      <c r="Q1" s="48" t="s">
        <v>4</v>
      </c>
      <c r="R1" s="48" t="s">
        <v>5</v>
      </c>
      <c r="S1" s="48" t="s">
        <v>6</v>
      </c>
      <c r="T1" s="49" t="s">
        <v>7</v>
      </c>
      <c r="U1" s="48" t="s">
        <v>8</v>
      </c>
      <c r="V1" s="48" t="s">
        <v>9</v>
      </c>
    </row>
    <row r="2" spans="1:22" x14ac:dyDescent="0.25">
      <c r="A2" s="4" t="s">
        <v>22</v>
      </c>
      <c r="B2" s="6">
        <f>D2</f>
        <v>1.491053</v>
      </c>
      <c r="C2" s="7">
        <f>D2/D3</f>
        <v>0.69620945868020001</v>
      </c>
      <c r="D2" s="6">
        <v>1.491053</v>
      </c>
      <c r="E2" s="8">
        <f>D2/D3</f>
        <v>0.69620945868020001</v>
      </c>
      <c r="F2" s="5"/>
      <c r="G2" s="5"/>
      <c r="H2" s="5"/>
      <c r="I2" s="5"/>
      <c r="J2" s="9">
        <v>1413765</v>
      </c>
      <c r="K2" s="9">
        <v>77272</v>
      </c>
      <c r="L2" s="9"/>
      <c r="M2" s="9"/>
      <c r="N2" s="9">
        <f t="shared" ref="N2:N3" si="0">SUM(F2:M2)</f>
        <v>1491037</v>
      </c>
      <c r="O2" s="10">
        <f t="shared" ref="O2:V3" si="1">F2/$N2</f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>J2/$N2</f>
        <v>0.94817566566087896</v>
      </c>
      <c r="T2" s="10">
        <f t="shared" si="1"/>
        <v>5.182433433912103E-2</v>
      </c>
      <c r="U2" s="10">
        <f t="shared" si="1"/>
        <v>0</v>
      </c>
      <c r="V2" s="11">
        <f t="shared" si="1"/>
        <v>0</v>
      </c>
    </row>
    <row r="3" spans="1:22" ht="15.75" thickBot="1" x14ac:dyDescent="0.3">
      <c r="A3" s="12" t="s">
        <v>23</v>
      </c>
      <c r="B3" s="14">
        <f>D3-B2</f>
        <v>0.65061999999999998</v>
      </c>
      <c r="C3" s="15">
        <f>B3/D3</f>
        <v>0.30379054131979999</v>
      </c>
      <c r="D3" s="14">
        <v>2.1416729999999999</v>
      </c>
      <c r="E3" s="15">
        <f>D3/D3</f>
        <v>1</v>
      </c>
      <c r="F3" s="16">
        <v>43195</v>
      </c>
      <c r="G3" s="16">
        <v>16170</v>
      </c>
      <c r="H3" s="13"/>
      <c r="I3" s="16">
        <v>1072</v>
      </c>
      <c r="J3" s="16">
        <v>1997944</v>
      </c>
      <c r="K3" s="16">
        <v>79016</v>
      </c>
      <c r="L3" s="16">
        <v>4287</v>
      </c>
      <c r="M3" s="16"/>
      <c r="N3" s="16">
        <f t="shared" si="0"/>
        <v>2141684</v>
      </c>
      <c r="O3" s="17">
        <f t="shared" si="1"/>
        <v>2.0168708362204694E-2</v>
      </c>
      <c r="P3" s="17">
        <f t="shared" si="1"/>
        <v>7.5501334463907843E-3</v>
      </c>
      <c r="Q3" s="17">
        <f t="shared" si="1"/>
        <v>0</v>
      </c>
      <c r="R3" s="17">
        <f t="shared" si="1"/>
        <v>5.0054069601304391E-4</v>
      </c>
      <c r="S3" s="17">
        <f>J3/$N3</f>
        <v>0.93288458988347489</v>
      </c>
      <c r="T3" s="17">
        <f t="shared" si="1"/>
        <v>3.6894331750155482E-2</v>
      </c>
      <c r="U3" s="17">
        <f t="shared" si="1"/>
        <v>2.001695861761119E-3</v>
      </c>
      <c r="V3" s="18">
        <f t="shared" si="1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Fagaalu</vt:lpstr>
      <vt:lpstr>Fagaalu_Revised</vt:lpstr>
      <vt:lpstr>Fagaalu_Revised_check</vt:lpstr>
      <vt:lpstr>Nuuuli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2013-10-12T02:17:21Z</dcterms:created>
  <dcterms:modified xsi:type="dcterms:W3CDTF">2016-03-08T02:58:47Z</dcterms:modified>
</cp:coreProperties>
</file>