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emilio/Documents/M.S Sustainability Analytics &amp; Management/SAM503 - ESG Analytics and Management/SW Project/Analytics Portfolio/2 Excel Models/"/>
    </mc:Choice>
  </mc:AlternateContent>
  <xr:revisionPtr revIDLastSave="0" documentId="13_ncr:1_{9DB21C05-0A44-A84F-8670-CCEE4AB4FC66}" xr6:coauthVersionLast="47" xr6:coauthVersionMax="47" xr10:uidLastSave="{00000000-0000-0000-0000-000000000000}"/>
  <bookViews>
    <workbookView xWindow="0" yWindow="0" windowWidth="38400" windowHeight="21600" tabRatio="500" activeTab="3" xr2:uid="{00000000-000D-0000-FFFF-FFFF00000000}"/>
  </bookViews>
  <sheets>
    <sheet name="Instructions" sheetId="2" r:id="rId1"/>
    <sheet name="Assumptions" sheetId="3" r:id="rId2"/>
    <sheet name="Emission Factors" sheetId="11" r:id="rId3"/>
    <sheet name="Scope 1 S" sheetId="15" r:id="rId4"/>
    <sheet name="Scope 1 W" sheetId="14" r:id="rId5"/>
    <sheet name="Scope 2 S" sheetId="16" r:id="rId6"/>
    <sheet name="Scope 2 W" sheetId="5" r:id="rId7"/>
    <sheet name="Scope 3 S" sheetId="17" r:id="rId8"/>
    <sheet name="Scope 3 W" sheetId="6" r:id="rId9"/>
    <sheet name="Summary &amp; Intensity" sheetId="7" r:id="rId10"/>
    <sheet name="Trend Analysis" sheetId="8" r:id="rId11"/>
    <sheet name="Reduction Trajectory" sheetId="13" r:id="rId12"/>
    <sheet name="Documentation" sheetId="12" r:id="rId13"/>
    <sheet name="EF hubs" sheetId="10" r:id="rId14"/>
    <sheet name="📊 Dashboard" sheetId="1" state="hidden"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7" l="1"/>
  <c r="C25" i="5"/>
  <c r="G25" i="5" s="1"/>
  <c r="I25" i="5" s="1"/>
  <c r="C24" i="5"/>
  <c r="H24" i="5" s="1"/>
  <c r="C23" i="5"/>
  <c r="G23" i="5" s="1"/>
  <c r="I23" i="5" s="1"/>
  <c r="C22" i="5"/>
  <c r="G22" i="5" s="1"/>
  <c r="I22" i="5" s="1"/>
  <c r="C21" i="5"/>
  <c r="G21" i="5" s="1"/>
  <c r="I21" i="5" s="1"/>
  <c r="H20" i="5"/>
  <c r="G20" i="5"/>
  <c r="I20" i="5" s="1"/>
  <c r="I19" i="5"/>
  <c r="H19" i="5"/>
  <c r="G19" i="5"/>
  <c r="H18" i="5"/>
  <c r="G18" i="5"/>
  <c r="I18" i="5" s="1"/>
  <c r="H17" i="5"/>
  <c r="G17" i="5"/>
  <c r="I17" i="5" s="1"/>
  <c r="H16" i="5"/>
  <c r="G16" i="5"/>
  <c r="I16" i="5" s="1"/>
  <c r="C35" i="5"/>
  <c r="H35" i="5" s="1"/>
  <c r="C34" i="5"/>
  <c r="H34" i="5" s="1"/>
  <c r="C33" i="5"/>
  <c r="H33" i="5" s="1"/>
  <c r="C32" i="5"/>
  <c r="H32" i="5" s="1"/>
  <c r="C31" i="5"/>
  <c r="H31" i="5" s="1"/>
  <c r="H30" i="5"/>
  <c r="G30" i="5"/>
  <c r="I30" i="5" s="1"/>
  <c r="H29" i="5"/>
  <c r="G29" i="5"/>
  <c r="I29" i="5" s="1"/>
  <c r="H28" i="5"/>
  <c r="G28" i="5"/>
  <c r="I28" i="5" s="1"/>
  <c r="H27" i="5"/>
  <c r="G27" i="5"/>
  <c r="I27" i="5" s="1"/>
  <c r="H26" i="5"/>
  <c r="G26" i="5"/>
  <c r="I26" i="5" s="1"/>
  <c r="H19" i="16"/>
  <c r="G19" i="16"/>
  <c r="I19" i="16" s="1"/>
  <c r="H18" i="16"/>
  <c r="G18" i="16"/>
  <c r="I18" i="16" s="1"/>
  <c r="I17" i="16"/>
  <c r="H17" i="16"/>
  <c r="G17" i="16"/>
  <c r="H16" i="16"/>
  <c r="G16" i="16"/>
  <c r="I16" i="16" s="1"/>
  <c r="H23" i="16"/>
  <c r="G23" i="16"/>
  <c r="I23" i="16" s="1"/>
  <c r="H22" i="16"/>
  <c r="G22" i="16"/>
  <c r="I22" i="16" s="1"/>
  <c r="H21" i="16"/>
  <c r="G21" i="16"/>
  <c r="I21" i="16" s="1"/>
  <c r="H20" i="16"/>
  <c r="G20" i="16"/>
  <c r="I20" i="16" s="1"/>
  <c r="J21" i="15"/>
  <c r="I21" i="15"/>
  <c r="H21" i="15"/>
  <c r="K21" i="15" s="1"/>
  <c r="J20" i="15"/>
  <c r="I20" i="15"/>
  <c r="K20" i="15" s="1"/>
  <c r="H20" i="15"/>
  <c r="J19" i="15"/>
  <c r="I19" i="15"/>
  <c r="H19" i="15"/>
  <c r="K19" i="15" s="1"/>
  <c r="J18" i="15"/>
  <c r="I18" i="15"/>
  <c r="K18" i="15" s="1"/>
  <c r="H18" i="15"/>
  <c r="G18" i="15"/>
  <c r="F18" i="15"/>
  <c r="E18" i="15"/>
  <c r="J17" i="15"/>
  <c r="I17" i="15"/>
  <c r="H17" i="15"/>
  <c r="K17" i="15" s="1"/>
  <c r="K16" i="15"/>
  <c r="J16" i="15"/>
  <c r="I16" i="15"/>
  <c r="H16" i="15"/>
  <c r="J15" i="15"/>
  <c r="I15" i="15"/>
  <c r="H15" i="15"/>
  <c r="K15" i="15" s="1"/>
  <c r="G14" i="15"/>
  <c r="J14" i="15" s="1"/>
  <c r="F14" i="15"/>
  <c r="I14" i="15" s="1"/>
  <c r="E14" i="15"/>
  <c r="H14" i="15" s="1"/>
  <c r="K14" i="15" s="1"/>
  <c r="K13" i="15"/>
  <c r="J13" i="15"/>
  <c r="I13" i="15"/>
  <c r="H13" i="15"/>
  <c r="J12" i="15"/>
  <c r="I12" i="15"/>
  <c r="H12" i="15"/>
  <c r="K12" i="15" s="1"/>
  <c r="K11" i="15"/>
  <c r="J11" i="15"/>
  <c r="I11" i="15"/>
  <c r="H11" i="15"/>
  <c r="I10" i="15"/>
  <c r="H10" i="15"/>
  <c r="G10" i="15"/>
  <c r="J10" i="15" s="1"/>
  <c r="F10" i="15"/>
  <c r="E10" i="15"/>
  <c r="J9" i="15"/>
  <c r="I9" i="15"/>
  <c r="H9" i="15"/>
  <c r="K9" i="15" s="1"/>
  <c r="J8" i="15"/>
  <c r="K8" i="15" s="1"/>
  <c r="I8" i="15"/>
  <c r="H8" i="15"/>
  <c r="J7" i="15"/>
  <c r="I7" i="15"/>
  <c r="H7" i="15"/>
  <c r="K7" i="15" s="1"/>
  <c r="J6" i="15"/>
  <c r="I6" i="15"/>
  <c r="G6" i="15"/>
  <c r="F6" i="15"/>
  <c r="E6" i="15"/>
  <c r="H6" i="15" s="1"/>
  <c r="K6" i="15" s="1"/>
  <c r="G6" i="14"/>
  <c r="G10" i="14"/>
  <c r="G14" i="14"/>
  <c r="G22" i="14"/>
  <c r="F6" i="14"/>
  <c r="F10" i="14"/>
  <c r="I10" i="14" s="1"/>
  <c r="F14" i="14"/>
  <c r="F22" i="14"/>
  <c r="E6" i="14"/>
  <c r="E10" i="14"/>
  <c r="E14" i="14"/>
  <c r="E22" i="14"/>
  <c r="J13" i="14"/>
  <c r="I13" i="14"/>
  <c r="H13" i="14"/>
  <c r="J12" i="14"/>
  <c r="I12" i="14"/>
  <c r="H12" i="14"/>
  <c r="J11" i="14"/>
  <c r="I11" i="14"/>
  <c r="H11" i="14"/>
  <c r="J10" i="14"/>
  <c r="H10" i="14"/>
  <c r="J9" i="14"/>
  <c r="I9" i="14"/>
  <c r="H9" i="14"/>
  <c r="J8" i="14"/>
  <c r="I8" i="14"/>
  <c r="H8" i="14"/>
  <c r="K8" i="14" s="1"/>
  <c r="J7" i="14"/>
  <c r="I7" i="14"/>
  <c r="H7" i="14"/>
  <c r="K7" i="14" s="1"/>
  <c r="J6" i="14"/>
  <c r="I6" i="14"/>
  <c r="H6" i="14"/>
  <c r="J21" i="14"/>
  <c r="I21" i="14"/>
  <c r="H21" i="14"/>
  <c r="J20" i="14"/>
  <c r="I20" i="14"/>
  <c r="H20" i="14"/>
  <c r="J19" i="14"/>
  <c r="I19" i="14"/>
  <c r="H19" i="14"/>
  <c r="K19" i="14" s="1"/>
  <c r="J18" i="14"/>
  <c r="G18" i="14"/>
  <c r="F18" i="14"/>
  <c r="I18" i="14" s="1"/>
  <c r="E18" i="14"/>
  <c r="H18" i="14" s="1"/>
  <c r="J17" i="14"/>
  <c r="I17" i="14"/>
  <c r="H17" i="14"/>
  <c r="J16" i="14"/>
  <c r="I16" i="14"/>
  <c r="H16" i="14"/>
  <c r="J15" i="14"/>
  <c r="I15" i="14"/>
  <c r="H15" i="14"/>
  <c r="J14" i="14"/>
  <c r="I14" i="14"/>
  <c r="H14" i="14"/>
  <c r="D50" i="7"/>
  <c r="D42" i="7"/>
  <c r="D56" i="7" s="1"/>
  <c r="J29" i="15"/>
  <c r="J28" i="15"/>
  <c r="J27" i="15"/>
  <c r="J25" i="15"/>
  <c r="K25" i="15" s="1"/>
  <c r="J24" i="15"/>
  <c r="J23" i="15"/>
  <c r="I29" i="15"/>
  <c r="I28" i="15"/>
  <c r="I27" i="15"/>
  <c r="I26" i="15"/>
  <c r="I25" i="15"/>
  <c r="I24" i="15"/>
  <c r="I23" i="15"/>
  <c r="I25" i="14"/>
  <c r="H25" i="15"/>
  <c r="C45" i="5"/>
  <c r="G45" i="5" s="1"/>
  <c r="I45" i="5" s="1"/>
  <c r="C44" i="5"/>
  <c r="H44" i="5" s="1"/>
  <c r="C43" i="5"/>
  <c r="H43" i="5" s="1"/>
  <c r="C42" i="5"/>
  <c r="H42" i="5" s="1"/>
  <c r="C41" i="5"/>
  <c r="H41" i="5"/>
  <c r="G43" i="5"/>
  <c r="I43" i="5" s="1"/>
  <c r="G42" i="5"/>
  <c r="I42" i="5" s="1"/>
  <c r="G41" i="5"/>
  <c r="I41" i="5" s="1"/>
  <c r="I53" i="5"/>
  <c r="H53" i="5"/>
  <c r="H23" i="14"/>
  <c r="I23" i="14"/>
  <c r="J23" i="14"/>
  <c r="H24" i="14"/>
  <c r="I24" i="14"/>
  <c r="J24" i="14"/>
  <c r="H25" i="14"/>
  <c r="J25" i="14"/>
  <c r="K25" i="14" s="1"/>
  <c r="H27" i="14"/>
  <c r="I27" i="14"/>
  <c r="J27" i="14"/>
  <c r="H28" i="14"/>
  <c r="I28" i="14"/>
  <c r="J28" i="14"/>
  <c r="H29" i="14"/>
  <c r="I29" i="14"/>
  <c r="J29" i="14"/>
  <c r="G26" i="14"/>
  <c r="J26" i="14" s="1"/>
  <c r="F26" i="14"/>
  <c r="I26" i="14" s="1"/>
  <c r="E26" i="14"/>
  <c r="H26" i="14" s="1"/>
  <c r="G26" i="15"/>
  <c r="J26" i="15" s="1"/>
  <c r="F26" i="15"/>
  <c r="E26" i="15"/>
  <c r="I67" i="17"/>
  <c r="I68" i="17" s="1"/>
  <c r="J70" i="17" s="1"/>
  <c r="J53" i="17"/>
  <c r="J52" i="17"/>
  <c r="J51" i="17"/>
  <c r="J50" i="17"/>
  <c r="J49" i="17"/>
  <c r="J48" i="17"/>
  <c r="J41" i="17"/>
  <c r="F41" i="17"/>
  <c r="G41" i="17" s="1"/>
  <c r="H41" i="17" s="1"/>
  <c r="J40" i="17"/>
  <c r="F40" i="17"/>
  <c r="G40" i="17" s="1"/>
  <c r="H40" i="17" s="1"/>
  <c r="J39" i="17"/>
  <c r="F39" i="17"/>
  <c r="G39" i="17" s="1"/>
  <c r="H39" i="17" s="1"/>
  <c r="J38" i="17"/>
  <c r="F38" i="17"/>
  <c r="C33" i="17"/>
  <c r="J32" i="17"/>
  <c r="J31" i="17"/>
  <c r="J30" i="17"/>
  <c r="J29" i="17"/>
  <c r="J28" i="17"/>
  <c r="J27" i="17"/>
  <c r="J26" i="17"/>
  <c r="J25" i="17"/>
  <c r="H38" i="16"/>
  <c r="H40" i="16" s="1"/>
  <c r="I37" i="16"/>
  <c r="H37" i="16"/>
  <c r="I36" i="16"/>
  <c r="H36" i="16"/>
  <c r="I35" i="16"/>
  <c r="H35" i="16"/>
  <c r="H30" i="16"/>
  <c r="G30" i="16"/>
  <c r="I30" i="16" s="1"/>
  <c r="H29" i="16"/>
  <c r="G29" i="16"/>
  <c r="I29" i="16" s="1"/>
  <c r="H28" i="16"/>
  <c r="G28" i="16"/>
  <c r="I28" i="16" s="1"/>
  <c r="H27" i="16"/>
  <c r="G27" i="16"/>
  <c r="I27" i="16" s="1"/>
  <c r="H26" i="16"/>
  <c r="G26" i="16"/>
  <c r="I26" i="16" s="1"/>
  <c r="H25" i="16"/>
  <c r="G25" i="16"/>
  <c r="I25" i="16" s="1"/>
  <c r="H24" i="16"/>
  <c r="G24" i="16"/>
  <c r="K50" i="15"/>
  <c r="K49" i="15"/>
  <c r="K48" i="15"/>
  <c r="K47" i="15"/>
  <c r="K46" i="15"/>
  <c r="K45" i="15"/>
  <c r="J40" i="15"/>
  <c r="I40" i="15"/>
  <c r="H40" i="15"/>
  <c r="K40" i="15" s="1"/>
  <c r="J39" i="15"/>
  <c r="I39" i="15"/>
  <c r="H39" i="15"/>
  <c r="J38" i="15"/>
  <c r="I38" i="15"/>
  <c r="H38" i="15"/>
  <c r="K38" i="15" s="1"/>
  <c r="J37" i="15"/>
  <c r="I37" i="15"/>
  <c r="H37" i="15"/>
  <c r="J36" i="15"/>
  <c r="I36" i="15"/>
  <c r="H36" i="15"/>
  <c r="J35" i="15"/>
  <c r="I35" i="15"/>
  <c r="H35" i="15"/>
  <c r="K35" i="15" s="1"/>
  <c r="J34" i="15"/>
  <c r="J41" i="15" s="1"/>
  <c r="I34" i="15"/>
  <c r="H34" i="15"/>
  <c r="H29" i="15"/>
  <c r="K29" i="15" s="1"/>
  <c r="H28" i="15"/>
  <c r="H27" i="15"/>
  <c r="H26" i="15"/>
  <c r="H24" i="15"/>
  <c r="K24" i="15" s="1"/>
  <c r="H23" i="15"/>
  <c r="K23" i="15" s="1"/>
  <c r="G22" i="15"/>
  <c r="J22" i="15" s="1"/>
  <c r="F22" i="15"/>
  <c r="I22" i="15" s="1"/>
  <c r="I30" i="15" s="1"/>
  <c r="E22" i="15"/>
  <c r="H22" i="15" s="1"/>
  <c r="G19" i="8"/>
  <c r="D18" i="8"/>
  <c r="H50" i="5"/>
  <c r="I50" i="5"/>
  <c r="K50" i="14"/>
  <c r="K49" i="14"/>
  <c r="K48" i="14"/>
  <c r="K47" i="14"/>
  <c r="K46" i="14"/>
  <c r="K45" i="14"/>
  <c r="J40" i="14"/>
  <c r="I40" i="14"/>
  <c r="H40" i="14"/>
  <c r="J39" i="14"/>
  <c r="I39" i="14"/>
  <c r="H39" i="14"/>
  <c r="J38" i="14"/>
  <c r="I38" i="14"/>
  <c r="H38" i="14"/>
  <c r="J37" i="14"/>
  <c r="I37" i="14"/>
  <c r="H37" i="14"/>
  <c r="J36" i="14"/>
  <c r="I36" i="14"/>
  <c r="H36" i="14"/>
  <c r="J35" i="14"/>
  <c r="I35" i="14"/>
  <c r="H35" i="14"/>
  <c r="J34" i="14"/>
  <c r="I34" i="14"/>
  <c r="H34" i="14"/>
  <c r="J22" i="14"/>
  <c r="I22" i="14"/>
  <c r="H22" i="14"/>
  <c r="G24" i="5" l="1"/>
  <c r="I24" i="5" s="1"/>
  <c r="H22" i="5"/>
  <c r="H21" i="5"/>
  <c r="H23" i="5"/>
  <c r="H25" i="5"/>
  <c r="G44" i="5"/>
  <c r="I44" i="5" s="1"/>
  <c r="H45" i="5"/>
  <c r="I63" i="5" s="1"/>
  <c r="G32" i="5"/>
  <c r="I32" i="5" s="1"/>
  <c r="G34" i="5"/>
  <c r="I34" i="5" s="1"/>
  <c r="G31" i="5"/>
  <c r="I31" i="5" s="1"/>
  <c r="G33" i="5"/>
  <c r="I33" i="5" s="1"/>
  <c r="G35" i="5"/>
  <c r="I35" i="5" s="1"/>
  <c r="I38" i="16"/>
  <c r="K10" i="15"/>
  <c r="I41" i="15"/>
  <c r="K37" i="15"/>
  <c r="K26" i="15"/>
  <c r="K27" i="15"/>
  <c r="K28" i="15"/>
  <c r="K36" i="15"/>
  <c r="K39" i="15"/>
  <c r="K51" i="15"/>
  <c r="J30" i="15"/>
  <c r="K6" i="14"/>
  <c r="K10" i="14"/>
  <c r="K14" i="14"/>
  <c r="K16" i="14"/>
  <c r="K11" i="14"/>
  <c r="K12" i="14"/>
  <c r="K9" i="14"/>
  <c r="K13" i="14"/>
  <c r="K17" i="14"/>
  <c r="K18" i="14"/>
  <c r="K15" i="14"/>
  <c r="K29" i="14"/>
  <c r="K20" i="14"/>
  <c r="K21" i="14"/>
  <c r="K24" i="14"/>
  <c r="K23" i="14"/>
  <c r="K27" i="14"/>
  <c r="K40" i="14"/>
  <c r="J41" i="14"/>
  <c r="K26" i="14"/>
  <c r="K34" i="14"/>
  <c r="E42" i="7"/>
  <c r="F42" i="7"/>
  <c r="F43" i="7"/>
  <c r="E43" i="7"/>
  <c r="F44" i="7"/>
  <c r="E50" i="7"/>
  <c r="E44" i="7"/>
  <c r="D57" i="7"/>
  <c r="E45" i="7"/>
  <c r="F52" i="7"/>
  <c r="F51" i="7"/>
  <c r="F50" i="7"/>
  <c r="E53" i="7"/>
  <c r="E52" i="7"/>
  <c r="E51" i="7"/>
  <c r="K28" i="14"/>
  <c r="K38" i="17"/>
  <c r="G38" i="17"/>
  <c r="H38" i="17" s="1"/>
  <c r="G31" i="16"/>
  <c r="I24" i="16"/>
  <c r="H30" i="15"/>
  <c r="K22" i="15"/>
  <c r="H41" i="15"/>
  <c r="K34" i="15"/>
  <c r="K41" i="15" s="1"/>
  <c r="K39" i="14"/>
  <c r="K22" i="14"/>
  <c r="K38" i="14"/>
  <c r="K51" i="14"/>
  <c r="K36" i="14"/>
  <c r="K37" i="14"/>
  <c r="H41" i="14"/>
  <c r="I41" i="14"/>
  <c r="J30" i="14"/>
  <c r="H30" i="14"/>
  <c r="I30" i="14"/>
  <c r="K35" i="14"/>
  <c r="D8" i="13"/>
  <c r="E67" i="7"/>
  <c r="E28" i="1" s="1"/>
  <c r="E66" i="7"/>
  <c r="E31" i="1" s="1"/>
  <c r="E65" i="7"/>
  <c r="E30" i="1" s="1"/>
  <c r="D67" i="7"/>
  <c r="D28" i="1" s="1"/>
  <c r="F19" i="8"/>
  <c r="E20" i="1"/>
  <c r="B11" i="8"/>
  <c r="C11" i="8"/>
  <c r="B10" i="8"/>
  <c r="C10" i="8"/>
  <c r="B9" i="8"/>
  <c r="B8" i="8"/>
  <c r="B7" i="8"/>
  <c r="C9" i="8"/>
  <c r="C8" i="8"/>
  <c r="C7" i="8"/>
  <c r="E64" i="7" s="1"/>
  <c r="E29" i="1" s="1"/>
  <c r="E14" i="8"/>
  <c r="H13" i="1"/>
  <c r="G21" i="1"/>
  <c r="C10" i="13"/>
  <c r="B11" i="13"/>
  <c r="B10" i="13"/>
  <c r="B9" i="13"/>
  <c r="E28" i="13"/>
  <c r="E27" i="13"/>
  <c r="E26" i="13"/>
  <c r="F22" i="1"/>
  <c r="F21" i="1"/>
  <c r="D14" i="8"/>
  <c r="F14" i="8" s="1"/>
  <c r="I67" i="6"/>
  <c r="I68" i="6" s="1"/>
  <c r="J70" i="6" s="1"/>
  <c r="J53" i="6"/>
  <c r="J52" i="6"/>
  <c r="J51" i="6"/>
  <c r="J50" i="6"/>
  <c r="J49" i="6"/>
  <c r="J48" i="6"/>
  <c r="J41" i="6"/>
  <c r="F41" i="6"/>
  <c r="G41" i="6" s="1"/>
  <c r="H41" i="6" s="1"/>
  <c r="J40" i="6"/>
  <c r="F40" i="6"/>
  <c r="G40" i="6" s="1"/>
  <c r="H40" i="6" s="1"/>
  <c r="J39" i="6"/>
  <c r="F39" i="6"/>
  <c r="G39" i="6" s="1"/>
  <c r="H39" i="6" s="1"/>
  <c r="C33" i="6"/>
  <c r="J32" i="6"/>
  <c r="J31" i="6"/>
  <c r="J30" i="6"/>
  <c r="J29" i="6"/>
  <c r="J28" i="6"/>
  <c r="J27" i="6"/>
  <c r="J26" i="6"/>
  <c r="J25" i="6"/>
  <c r="I54" i="5"/>
  <c r="H54" i="5"/>
  <c r="H63" i="5" s="1"/>
  <c r="D47" i="7" s="1"/>
  <c r="I51" i="5"/>
  <c r="H51" i="5"/>
  <c r="H62" i="5" s="1"/>
  <c r="D39" i="7" s="1"/>
  <c r="H40" i="5"/>
  <c r="G40" i="5"/>
  <c r="I40" i="5" s="1"/>
  <c r="H39" i="5"/>
  <c r="G39" i="5"/>
  <c r="I39" i="5" s="1"/>
  <c r="H38" i="5"/>
  <c r="G38" i="5"/>
  <c r="I38" i="5" s="1"/>
  <c r="H37" i="5"/>
  <c r="G37" i="5"/>
  <c r="I37" i="5" s="1"/>
  <c r="H36" i="5"/>
  <c r="G36" i="5"/>
  <c r="D40" i="1"/>
  <c r="C40" i="1"/>
  <c r="D39" i="1"/>
  <c r="C39" i="1"/>
  <c r="D38" i="1"/>
  <c r="C38" i="1"/>
  <c r="D37" i="1"/>
  <c r="C37" i="1"/>
  <c r="D36" i="1"/>
  <c r="C36" i="1"/>
  <c r="D35" i="1"/>
  <c r="C35" i="1"/>
  <c r="G31" i="1"/>
  <c r="G30" i="1"/>
  <c r="G29" i="1"/>
  <c r="G28" i="1"/>
  <c r="G27" i="1"/>
  <c r="H26" i="1"/>
  <c r="G26" i="1"/>
  <c r="F26" i="1"/>
  <c r="E26" i="1"/>
  <c r="D26" i="1"/>
  <c r="I22" i="1"/>
  <c r="D22" i="1"/>
  <c r="C22" i="1"/>
  <c r="B22" i="1"/>
  <c r="I21" i="1"/>
  <c r="E21" i="1"/>
  <c r="D21" i="1"/>
  <c r="C21" i="1"/>
  <c r="B21" i="1"/>
  <c r="I20" i="1"/>
  <c r="D20" i="1"/>
  <c r="C20" i="1"/>
  <c r="B20" i="1"/>
  <c r="H15" i="1"/>
  <c r="H14" i="1"/>
  <c r="J63" i="5" l="1"/>
  <c r="D48" i="7"/>
  <c r="I62" i="5"/>
  <c r="D46" i="7"/>
  <c r="K30" i="15"/>
  <c r="K53" i="15" s="1"/>
  <c r="H46" i="5"/>
  <c r="G46" i="5"/>
  <c r="I36" i="5"/>
  <c r="F67" i="7"/>
  <c r="F28" i="1" s="1"/>
  <c r="C12" i="8"/>
  <c r="C13" i="8"/>
  <c r="E8" i="8"/>
  <c r="B13" i="8"/>
  <c r="B12" i="8"/>
  <c r="K41" i="14"/>
  <c r="K30" i="14"/>
  <c r="E9" i="8"/>
  <c r="E10" i="8"/>
  <c r="C9" i="13"/>
  <c r="C8" i="13" s="1"/>
  <c r="H67" i="7"/>
  <c r="H28" i="1" s="1"/>
  <c r="E22" i="1"/>
  <c r="C11" i="13"/>
  <c r="F18" i="8"/>
  <c r="G18" i="8" s="1"/>
  <c r="E11" i="8"/>
  <c r="E7" i="8"/>
  <c r="G14" i="8"/>
  <c r="D10" i="13"/>
  <c r="D27" i="13"/>
  <c r="D8" i="8"/>
  <c r="D28" i="13"/>
  <c r="H22" i="1"/>
  <c r="E10" i="13"/>
  <c r="F10" i="13" s="1"/>
  <c r="G10" i="13" s="1"/>
  <c r="H10" i="13" s="1"/>
  <c r="I10" i="13" s="1"/>
  <c r="D9" i="8"/>
  <c r="G22" i="1"/>
  <c r="J62" i="5" l="1"/>
  <c r="D40" i="7"/>
  <c r="E49" i="7"/>
  <c r="E46" i="7"/>
  <c r="F47" i="7"/>
  <c r="F48" i="7"/>
  <c r="F46" i="7"/>
  <c r="D55" i="7"/>
  <c r="E47" i="7"/>
  <c r="E48" i="7"/>
  <c r="K53" i="14"/>
  <c r="D11" i="8" s="1"/>
  <c r="E62" i="7"/>
  <c r="E61" i="7"/>
  <c r="E27" i="1" s="1"/>
  <c r="E13" i="8"/>
  <c r="E12" i="8"/>
  <c r="H21" i="1"/>
  <c r="D11" i="13"/>
  <c r="E11" i="13" s="1"/>
  <c r="F11" i="13" s="1"/>
  <c r="G11" i="13" s="1"/>
  <c r="H11" i="13" s="1"/>
  <c r="I11" i="13" s="1"/>
  <c r="G13" i="1"/>
  <c r="J38" i="6"/>
  <c r="F14" i="1"/>
  <c r="D9" i="13"/>
  <c r="E9" i="13" s="1"/>
  <c r="F9" i="13" s="1"/>
  <c r="G9" i="13" s="1"/>
  <c r="H9" i="13" s="1"/>
  <c r="I9" i="13" s="1"/>
  <c r="E8" i="13"/>
  <c r="D65" i="7"/>
  <c r="D7" i="1"/>
  <c r="G14" i="1"/>
  <c r="G9" i="8"/>
  <c r="F9" i="8"/>
  <c r="D10" i="8"/>
  <c r="D54" i="7" l="1"/>
  <c r="F40" i="7"/>
  <c r="E40" i="7"/>
  <c r="E39" i="7"/>
  <c r="F38" i="7"/>
  <c r="E38" i="7"/>
  <c r="E41" i="7"/>
  <c r="F39" i="7"/>
  <c r="D7" i="8"/>
  <c r="F38" i="6"/>
  <c r="F8" i="13"/>
  <c r="D66" i="7"/>
  <c r="F7" i="1"/>
  <c r="G38" i="6"/>
  <c r="H38" i="6" s="1"/>
  <c r="K38" i="6"/>
  <c r="D14" i="1"/>
  <c r="F8" i="8"/>
  <c r="G8" i="8"/>
  <c r="H65" i="7"/>
  <c r="H30" i="1" s="1"/>
  <c r="F65" i="7"/>
  <c r="F30" i="1" s="1"/>
  <c r="D30" i="1"/>
  <c r="D13" i="8"/>
  <c r="D12" i="8"/>
  <c r="B7" i="1"/>
  <c r="D64" i="7"/>
  <c r="I18" i="13" l="1"/>
  <c r="J18" i="13" s="1"/>
  <c r="K18" i="13" s="1"/>
  <c r="L18" i="13" s="1"/>
  <c r="M18" i="13" s="1"/>
  <c r="G8" i="13"/>
  <c r="F13" i="8"/>
  <c r="G13" i="8"/>
  <c r="G12" i="8"/>
  <c r="F12" i="8"/>
  <c r="G10" i="8"/>
  <c r="F10" i="8"/>
  <c r="C74" i="7"/>
  <c r="D72" i="7" s="1"/>
  <c r="D15" i="1"/>
  <c r="F64" i="7"/>
  <c r="F29" i="1" s="1"/>
  <c r="D29" i="1"/>
  <c r="H64" i="7"/>
  <c r="H29" i="1" s="1"/>
  <c r="G7" i="8"/>
  <c r="F7" i="8"/>
  <c r="G11" i="8"/>
  <c r="F11" i="8"/>
  <c r="D13" i="1"/>
  <c r="H66" i="7"/>
  <c r="H31" i="1" s="1"/>
  <c r="F66" i="7"/>
  <c r="F31" i="1" s="1"/>
  <c r="D31" i="1"/>
  <c r="D61" i="7" l="1"/>
  <c r="I8" i="13"/>
  <c r="H8" i="13"/>
  <c r="E14" i="1"/>
  <c r="E15" i="1"/>
  <c r="E13" i="1"/>
  <c r="D73" i="7"/>
  <c r="D71" i="7"/>
  <c r="D62" i="7"/>
  <c r="H7" i="1"/>
  <c r="D16" i="1"/>
  <c r="E16" i="1" s="1"/>
  <c r="D63" i="7"/>
  <c r="F63" i="7" l="1"/>
  <c r="H63" i="7"/>
  <c r="H61" i="7"/>
  <c r="H27" i="1" s="1"/>
  <c r="F61" i="7"/>
  <c r="F27" i="1" s="1"/>
  <c r="D27" i="1"/>
  <c r="H62" i="7"/>
  <c r="F62" i="7"/>
  <c r="D26" i="13"/>
  <c r="G20" i="1"/>
  <c r="F20" i="1"/>
  <c r="H2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5" authorId="0" shapeId="0" xr:uid="{12A0453F-1F28-462D-861D-DAAADB18E97E}">
      <text>
        <r>
          <rPr>
            <b/>
            <sz val="9"/>
            <color indexed="81"/>
            <rFont val="Tahoma"/>
            <family val="2"/>
          </rPr>
          <t>User:</t>
        </r>
        <r>
          <rPr>
            <sz val="9"/>
            <color indexed="81"/>
            <rFont val="Tahoma"/>
            <family val="2"/>
          </rPr>
          <t xml:space="preserve">
Location-Based emissions are 38× higher than Market-Based.
This confirms that renewable energy contracts (RECs, PPAs, etc.) are being used to reduce reported Scope 2 under MB rules.
However, the grid remains carbon-intensive
</t>
        </r>
      </text>
    </comment>
    <comment ref="E6" authorId="0" shapeId="0" xr:uid="{A3EAC431-15D2-3B4B-A8D1-DB022120E122}">
      <text>
        <r>
          <rPr>
            <sz val="9"/>
            <color rgb="FF000000"/>
            <rFont val="Tahoma"/>
            <family val="2"/>
          </rPr>
          <t>Scope 1 is stable: Minor reduction (1%) implies limited operational decarbonization or stable fleet/fuel use</t>
        </r>
      </text>
    </comment>
    <comment ref="E7" authorId="0" shapeId="0" xr:uid="{F9C2CAA0-523B-F245-AC86-33E827EF7163}">
      <text>
        <r>
          <rPr>
            <sz val="9"/>
            <color indexed="81"/>
            <rFont val="Tahoma"/>
            <family val="2"/>
          </rPr>
          <t>Scope 1 is stable: Minor reduction (1%) implies limited operational decarbonization or stable fleet/fuel use</t>
        </r>
      </text>
    </comment>
    <comment ref="E8" authorId="0" shapeId="0" xr:uid="{67D0F09E-5F77-FC47-9254-4BB10FB6CF63}">
      <text>
        <r>
          <rPr>
            <sz val="9"/>
            <color indexed="81"/>
            <rFont val="Tahoma"/>
            <family val="2"/>
          </rPr>
          <t>Scope 1 is stable: Minor reduction (1%) implies limited operational decarbonization or stable fleet/fuel use</t>
        </r>
      </text>
    </comment>
    <comment ref="E9" authorId="0" shapeId="0" xr:uid="{D18C322D-50E2-FC4C-8006-97D6E5057396}">
      <text>
        <r>
          <rPr>
            <sz val="9"/>
            <color rgb="FF000000"/>
            <rFont val="Tahoma"/>
            <family val="2"/>
          </rPr>
          <t>Scope 1 is stable: Minor reduction (1%) implies limited operational decarbonization or stable fleet/fuel use</t>
        </r>
      </text>
    </comment>
    <comment ref="E10" authorId="0" shapeId="0" xr:uid="{25F8890C-6F8A-8D44-B9A6-1E9CA424B7E0}">
      <text>
        <r>
          <rPr>
            <sz val="9"/>
            <color indexed="81"/>
            <rFont val="Tahoma"/>
            <family val="2"/>
          </rPr>
          <t>Scope 1 is stable: Minor reduction (1%) implies limited operational decarbonization or stable fleet/fuel use</t>
        </r>
      </text>
    </comment>
    <comment ref="E11" authorId="0" shapeId="0" xr:uid="{3950F21C-9747-4A43-838F-DE6DEAC39F5E}">
      <text>
        <r>
          <rPr>
            <sz val="9"/>
            <color indexed="81"/>
            <rFont val="Tahoma"/>
            <family val="2"/>
          </rPr>
          <t>Scope 1 is stable: Minor reduction (1%) implies limited operational decarbonization or stable fleet/fuel use</t>
        </r>
      </text>
    </comment>
    <comment ref="E12" authorId="0" shapeId="0" xr:uid="{36982803-C430-D14D-BFEC-92F7A0063739}">
      <text>
        <r>
          <rPr>
            <sz val="9"/>
            <color indexed="81"/>
            <rFont val="Tahoma"/>
            <family val="2"/>
          </rPr>
          <t>Scope 1 is stable: Minor reduction (1%) implies limited operational decarbonization or stable fleet/fuel use</t>
        </r>
      </text>
    </comment>
    <comment ref="E13" authorId="0" shapeId="0" xr:uid="{D5422423-99B8-3F48-A27F-AB976989D863}">
      <text>
        <r>
          <rPr>
            <sz val="9"/>
            <color indexed="81"/>
            <rFont val="Tahoma"/>
            <family val="2"/>
          </rPr>
          <t>Scope 1 is stable: Minor reduction (1%) implies limited operational decarbonization or stable fleet/fuel use</t>
        </r>
      </text>
    </comment>
    <comment ref="E14" authorId="0" shapeId="0" xr:uid="{8299FCE4-D45B-DE41-A4BF-536A9F36C533}">
      <text>
        <r>
          <rPr>
            <sz val="9"/>
            <color indexed="81"/>
            <rFont val="Tahoma"/>
            <family val="2"/>
          </rPr>
          <t>Scope 1 is stable: Minor reduction (1%) implies limited operational decarbonization or stable fleet/fuel use</t>
        </r>
      </text>
    </comment>
    <comment ref="E15" authorId="0" shapeId="0" xr:uid="{860D177F-3266-7649-88A5-2D14246548B6}">
      <text>
        <r>
          <rPr>
            <sz val="9"/>
            <color indexed="81"/>
            <rFont val="Tahoma"/>
            <family val="2"/>
          </rPr>
          <t>Scope 1 is stable: Minor reduction (1%) implies limited operational decarbonization or stable fleet/fuel use</t>
        </r>
      </text>
    </comment>
    <comment ref="E16" authorId="0" shapeId="0" xr:uid="{AAC8DBDF-6EFC-5F40-B81B-728E9642E1FC}">
      <text>
        <r>
          <rPr>
            <sz val="9"/>
            <color indexed="81"/>
            <rFont val="Tahoma"/>
            <family val="2"/>
          </rPr>
          <t>Scope 1 is stable: Minor reduction (1%) implies limited operational decarbonization or stable fleet/fuel use</t>
        </r>
      </text>
    </comment>
    <comment ref="E17" authorId="0" shapeId="0" xr:uid="{16482E06-67DD-514C-85C9-5395944687E5}">
      <text>
        <r>
          <rPr>
            <sz val="9"/>
            <color indexed="81"/>
            <rFont val="Tahoma"/>
            <family val="2"/>
          </rPr>
          <t>Scope 1 is stable: Minor reduction (1%) implies limited operational decarbonization or stable fleet/fuel use</t>
        </r>
      </text>
    </comment>
    <comment ref="E18" authorId="0" shapeId="0" xr:uid="{18A0C618-44B1-214F-9219-B2EDC7E95E74}">
      <text>
        <r>
          <rPr>
            <sz val="9"/>
            <color indexed="81"/>
            <rFont val="Tahoma"/>
            <family val="2"/>
          </rPr>
          <t>Scope 1 is stable: Minor reduction (1%) implies limited operational decarbonization or stable fleet/fuel use</t>
        </r>
      </text>
    </comment>
    <comment ref="E19" authorId="0" shapeId="0" xr:uid="{1CDC9B51-E4F4-EA43-8EB1-D19DDF9221B4}">
      <text>
        <r>
          <rPr>
            <sz val="9"/>
            <color indexed="81"/>
            <rFont val="Tahoma"/>
            <family val="2"/>
          </rPr>
          <t>Scope 1 is stable: Minor reduction (1%) implies limited operational decarbonization or stable fleet/fuel use</t>
        </r>
      </text>
    </comment>
    <comment ref="E20" authorId="0" shapeId="0" xr:uid="{6902D44F-4100-AB43-8266-B5D5872A2979}">
      <text>
        <r>
          <rPr>
            <sz val="9"/>
            <color indexed="81"/>
            <rFont val="Tahoma"/>
            <family val="2"/>
          </rPr>
          <t>Scope 1 is stable: Minor reduction (1%) implies limited operational decarbonization or stable fleet/fuel use</t>
        </r>
      </text>
    </comment>
    <comment ref="E21" authorId="0" shapeId="0" xr:uid="{E902F9F9-DD64-834D-9DA8-CBD74DC797F5}">
      <text>
        <r>
          <rPr>
            <sz val="9"/>
            <color indexed="81"/>
            <rFont val="Tahoma"/>
            <family val="2"/>
          </rPr>
          <t>Scope 1 is stable: Minor reduction (1%) implies limited operational decarbonization or stable fleet/fuel use</t>
        </r>
      </text>
    </comment>
    <comment ref="E22" authorId="0" shapeId="0" xr:uid="{738A18E8-A479-454A-95B1-83A276CDAC14}">
      <text>
        <r>
          <rPr>
            <sz val="9"/>
            <color rgb="FF000000"/>
            <rFont val="Tahoma"/>
            <family val="2"/>
          </rPr>
          <t>Scope 1 is stable: Minor reduction (1%) implies limited operational decarbonization or stable fleet/fuel use</t>
        </r>
      </text>
    </comment>
    <comment ref="E23" authorId="0" shapeId="0" xr:uid="{D5466DF9-3B91-D043-AF71-184D907D0B2E}">
      <text>
        <r>
          <rPr>
            <sz val="9"/>
            <color indexed="81"/>
            <rFont val="Tahoma"/>
            <family val="2"/>
          </rPr>
          <t>Scope 1 is stable: Minor reduction (1%) implies limited operational decarbonization or stable fleet/fuel use</t>
        </r>
      </text>
    </comment>
    <comment ref="E24" authorId="0" shapeId="0" xr:uid="{73897586-0111-E143-933B-3C20586178F7}">
      <text>
        <r>
          <rPr>
            <sz val="9"/>
            <color indexed="81"/>
            <rFont val="Tahoma"/>
            <family val="2"/>
          </rPr>
          <t>Scope 1 is stable: Minor reduction (1%) implies limited operational decarbonization or stable fleet/fuel use</t>
        </r>
      </text>
    </comment>
    <comment ref="E25" authorId="0" shapeId="0" xr:uid="{E36BBD64-A2DD-084F-A8CB-1424C36B889B}">
      <text>
        <r>
          <rPr>
            <sz val="9"/>
            <color indexed="81"/>
            <rFont val="Tahoma"/>
            <family val="2"/>
          </rPr>
          <t>Scope 1 is stable: Minor reduction (1%) implies limited operational decarbonization or stable fleet/fuel use</t>
        </r>
      </text>
    </comment>
    <comment ref="E26" authorId="0" shapeId="0" xr:uid="{769B4297-4BCF-A04F-8827-DDB4A56B7E64}">
      <text>
        <r>
          <rPr>
            <sz val="9"/>
            <color indexed="81"/>
            <rFont val="Tahoma"/>
            <family val="2"/>
          </rPr>
          <t>Scope 1 is stable: Minor reduction (1%) implies limited operational decarbonization or stable fleet/fuel use</t>
        </r>
      </text>
    </comment>
    <comment ref="E27" authorId="0" shapeId="0" xr:uid="{9DA688BA-D62D-1940-82F7-59FA6111DF83}">
      <text>
        <r>
          <rPr>
            <sz val="9"/>
            <color indexed="81"/>
            <rFont val="Tahoma"/>
            <family val="2"/>
          </rPr>
          <t>Scope 1 is stable: Minor reduction (1%) implies limited operational decarbonization or stable fleet/fuel use</t>
        </r>
      </text>
    </comment>
    <comment ref="E28" authorId="0" shapeId="0" xr:uid="{13967F11-C80D-434B-92D0-BDC2CCCBD362}">
      <text>
        <r>
          <rPr>
            <sz val="9"/>
            <color indexed="81"/>
            <rFont val="Tahoma"/>
            <family val="2"/>
          </rPr>
          <t>Scope 1 is stable: Minor reduction (1%) implies limited operational decarbonization or stable fleet/fuel use</t>
        </r>
      </text>
    </comment>
    <comment ref="E29" authorId="0" shapeId="0" xr:uid="{FBF3D0C7-AED5-0447-8FCF-9E6238B5D378}">
      <text>
        <r>
          <rPr>
            <sz val="9"/>
            <color indexed="81"/>
            <rFont val="Tahoma"/>
            <family val="2"/>
          </rPr>
          <t>Scope 1 is stable: Minor reduction (1%) implies limited operational decarbonization or stable fleet/fuel use</t>
        </r>
      </text>
    </comment>
    <comment ref="E30" authorId="0" shapeId="0" xr:uid="{D85E7165-1735-EF41-8A46-0686E12CF12B}">
      <text>
        <r>
          <rPr>
            <sz val="9"/>
            <color indexed="81"/>
            <rFont val="Tahoma"/>
            <family val="2"/>
          </rPr>
          <t>Scope 1 is stable: Minor reduction (1%) implies limited operational decarbonization or stable fleet/fuel use</t>
        </r>
      </text>
    </comment>
    <comment ref="E31" authorId="0" shapeId="0" xr:uid="{6A0592D1-8A8D-A048-8FF7-0F46D334036D}">
      <text>
        <r>
          <rPr>
            <sz val="9"/>
            <color indexed="81"/>
            <rFont val="Tahoma"/>
            <family val="2"/>
          </rPr>
          <t>Scope 1 is stable: Minor reduction (1%) implies limited operational decarbonization or stable fleet/fuel use</t>
        </r>
      </text>
    </comment>
    <comment ref="E32" authorId="0" shapeId="0" xr:uid="{90E4B311-44C6-A34D-80DC-C4AA16D92920}">
      <text>
        <r>
          <rPr>
            <sz val="9"/>
            <color indexed="81"/>
            <rFont val="Tahoma"/>
            <family val="2"/>
          </rPr>
          <t>Scope 1 is stable: Minor reduction (1%) implies limited operational decarbonization or stable fleet/fuel use</t>
        </r>
      </text>
    </comment>
    <comment ref="E33" authorId="0" shapeId="0" xr:uid="{7D4983D8-43EC-D146-9752-EDA6D21CD21C}">
      <text>
        <r>
          <rPr>
            <sz val="9"/>
            <color indexed="81"/>
            <rFont val="Tahoma"/>
            <family val="2"/>
          </rPr>
          <t>Scope 1 is stable: Minor reduction (1%) implies limited operational decarbonization or stable fleet/fuel use</t>
        </r>
      </text>
    </comment>
    <comment ref="E34" authorId="0" shapeId="0" xr:uid="{0109C781-AC30-3A49-BB3D-653EC31B9D18}">
      <text>
        <r>
          <rPr>
            <sz val="9"/>
            <color indexed="81"/>
            <rFont val="Tahoma"/>
            <family val="2"/>
          </rPr>
          <t>Scope 1 is stable: Minor reduction (1%) implies limited operational decarbonization or stable fleet/fuel use</t>
        </r>
      </text>
    </comment>
    <comment ref="E35" authorId="0" shapeId="0" xr:uid="{5FAED35A-60FA-A443-A80A-593CBC410FC5}">
      <text>
        <r>
          <rPr>
            <sz val="9"/>
            <color indexed="81"/>
            <rFont val="Tahoma"/>
            <family val="2"/>
          </rPr>
          <t>Scope 1 is stable: Minor reduction (1%) implies limited operational decarbonization or stable fleet/fuel use</t>
        </r>
      </text>
    </comment>
    <comment ref="E36" authorId="0" shapeId="0" xr:uid="{719B87F3-4B61-6241-A35A-4A6BFBA05F04}">
      <text>
        <r>
          <rPr>
            <sz val="9"/>
            <color indexed="81"/>
            <rFont val="Tahoma"/>
            <family val="2"/>
          </rPr>
          <t>Scope 1 is stable: Minor reduction (1%) implies limited operational decarbonization or stable fleet/fuel use</t>
        </r>
      </text>
    </comment>
    <comment ref="E37" authorId="0" shapeId="0" xr:uid="{97202A36-B4B7-3648-82CF-B3CC724135CA}">
      <text>
        <r>
          <rPr>
            <sz val="9"/>
            <color indexed="81"/>
            <rFont val="Tahoma"/>
            <family val="2"/>
          </rPr>
          <t>Scope 1 is stable: Minor reduction (1%) implies limited operational decarbonization or stable fleet/fuel use</t>
        </r>
      </text>
    </comment>
    <comment ref="E38" authorId="0" shapeId="0" xr:uid="{6857BF5A-8989-482A-AF89-BD50C1F9634C}">
      <text>
        <r>
          <rPr>
            <sz val="9"/>
            <color rgb="FF000000"/>
            <rFont val="Tahoma"/>
            <family val="2"/>
          </rPr>
          <t>Scope 1 is stable: Minor reduction (1%) implies limited operational decarbonization or stable fleet/fuel use</t>
        </r>
      </text>
    </comment>
    <comment ref="E39" authorId="0" shapeId="0" xr:uid="{8E81688D-C5FA-497E-A890-30B46DEE9CCB}">
      <text>
        <r>
          <rPr>
            <sz val="9"/>
            <color indexed="81"/>
            <rFont val="Tahoma"/>
            <family val="2"/>
          </rPr>
          <t>Scope 1 is stable: Minor reduction (1%) implies limited operational decarbonization or stable fleet/fuel use</t>
        </r>
      </text>
    </comment>
    <comment ref="E40" authorId="0" shapeId="0" xr:uid="{3C174555-5355-405C-9696-01FDE98BF143}">
      <text>
        <r>
          <rPr>
            <sz val="9"/>
            <color indexed="81"/>
            <rFont val="Tahoma"/>
            <family val="2"/>
          </rPr>
          <t>Scope 1 is stable: Minor reduction (1%) implies limited operational decarbonization or stable fleet/fuel use</t>
        </r>
      </text>
    </comment>
    <comment ref="E41" authorId="0" shapeId="0" xr:uid="{3EB5D89B-B1BC-4A1E-ABDB-0C995251190D}">
      <text>
        <r>
          <rPr>
            <sz val="9"/>
            <color indexed="81"/>
            <rFont val="Tahoma"/>
            <family val="2"/>
          </rPr>
          <t>Scope 1 is stable: Minor reduction (1%) implies limited operational decarbonization or stable fleet/fuel use</t>
        </r>
      </text>
    </comment>
    <comment ref="E42" authorId="0" shapeId="0" xr:uid="{A465058A-C6D2-43A1-A6B4-EBCD41202137}">
      <text>
        <r>
          <rPr>
            <sz val="9"/>
            <color indexed="81"/>
            <rFont val="Tahoma"/>
            <family val="2"/>
          </rPr>
          <t>Scope 1 is stable: Minor reduction (1%) implies limited operational decarbonization or stable fleet/fuel use</t>
        </r>
      </text>
    </comment>
    <comment ref="E43" authorId="0" shapeId="0" xr:uid="{47758796-AD76-4890-B57B-3F5BBC6B9900}">
      <text>
        <r>
          <rPr>
            <sz val="9"/>
            <color indexed="81"/>
            <rFont val="Tahoma"/>
            <family val="2"/>
          </rPr>
          <t>Scope 1 is stable: Minor reduction (1%) implies limited operational decarbonization or stable fleet/fuel use</t>
        </r>
      </text>
    </comment>
    <comment ref="E44" authorId="0" shapeId="0" xr:uid="{B41E516D-4A06-4FCC-9961-DABEF9760E5A}">
      <text>
        <r>
          <rPr>
            <sz val="9"/>
            <color indexed="81"/>
            <rFont val="Tahoma"/>
            <family val="2"/>
          </rPr>
          <t>Scope 1 is stable: Minor reduction (1%) implies limited operational decarbonization or stable fleet/fuel use</t>
        </r>
      </text>
    </comment>
    <comment ref="E45" authorId="0" shapeId="0" xr:uid="{16B8F90F-6537-4F19-B622-97420C7FF6BF}">
      <text>
        <r>
          <rPr>
            <sz val="9"/>
            <color indexed="81"/>
            <rFont val="Tahoma"/>
            <family val="2"/>
          </rPr>
          <t>Scope 1 is stable: Minor reduction (1%) implies limited operational decarbonization or stable fleet/fuel use</t>
        </r>
      </text>
    </comment>
    <comment ref="E46" authorId="0" shapeId="0" xr:uid="{60617D11-3D19-4747-8AAC-2C675F0DD96D}">
      <text>
        <r>
          <rPr>
            <sz val="9"/>
            <color indexed="81"/>
            <rFont val="Tahoma"/>
            <family val="2"/>
          </rPr>
          <t>Scope 1 is stable: Minor reduction (1%) implies limited operational decarbonization or stable fleet/fuel use</t>
        </r>
      </text>
    </comment>
    <comment ref="E47" authorId="0" shapeId="0" xr:uid="{DC44B63E-AD43-4A17-AC93-CFEF2E94945C}">
      <text>
        <r>
          <rPr>
            <sz val="9"/>
            <color indexed="81"/>
            <rFont val="Tahoma"/>
            <family val="2"/>
          </rPr>
          <t>Scope 1 is stable: Minor reduction (1%) implies limited operational decarbonization or stable fleet/fuel use</t>
        </r>
      </text>
    </comment>
    <comment ref="E48" authorId="0" shapeId="0" xr:uid="{33F18CDC-ACF2-4CAA-8B1F-CBFCD1353304}">
      <text>
        <r>
          <rPr>
            <sz val="9"/>
            <color indexed="81"/>
            <rFont val="Tahoma"/>
            <family val="2"/>
          </rPr>
          <t>Scope 1 is stable: Minor reduction (1%) implies limited operational decarbonization or stable fleet/fuel use</t>
        </r>
      </text>
    </comment>
    <comment ref="E49" authorId="0" shapeId="0" xr:uid="{75CE886B-DFDB-4DD9-B5F0-58350598BD41}">
      <text>
        <r>
          <rPr>
            <sz val="9"/>
            <color indexed="81"/>
            <rFont val="Tahoma"/>
            <family val="2"/>
          </rPr>
          <t>Scope 1 is stable: Minor reduction (1%) implies limited operational decarbonization or stable fleet/fuel use</t>
        </r>
      </text>
    </comment>
    <comment ref="E50" authorId="0" shapeId="0" xr:uid="{911E4CA0-94C7-437A-86E5-EF23BBFBAD92}">
      <text>
        <r>
          <rPr>
            <sz val="9"/>
            <color indexed="81"/>
            <rFont val="Tahoma"/>
            <family val="2"/>
          </rPr>
          <t>Scope 1 is stable: Minor reduction (1%) implies limited operational decarbonization or stable fleet/fuel use</t>
        </r>
      </text>
    </comment>
    <comment ref="E51" authorId="0" shapeId="0" xr:uid="{CE7BEECF-EBEB-4842-8A59-CC4736574D0A}">
      <text>
        <r>
          <rPr>
            <sz val="9"/>
            <color indexed="81"/>
            <rFont val="Tahoma"/>
            <family val="2"/>
          </rPr>
          <t>Scope 1 is stable: Minor reduction (1%) implies limited operational decarbonization or stable fleet/fuel use</t>
        </r>
      </text>
    </comment>
    <comment ref="E52" authorId="0" shapeId="0" xr:uid="{05FF995D-A15B-4AB4-BF74-9429EFCE7C66}">
      <text>
        <r>
          <rPr>
            <sz val="9"/>
            <color indexed="81"/>
            <rFont val="Tahoma"/>
            <family val="2"/>
          </rPr>
          <t>Scope 1 is stable: Minor reduction (1%) implies limited operational decarbonization or stable fleet/fuel use</t>
        </r>
      </text>
    </comment>
    <comment ref="E53" authorId="0" shapeId="0" xr:uid="{3F3C1E06-2F44-481B-A6FC-D5D7C3676341}">
      <text>
        <r>
          <rPr>
            <sz val="9"/>
            <color indexed="81"/>
            <rFont val="Tahoma"/>
            <family val="2"/>
          </rPr>
          <t>Scope 1 is stable: Minor reduction (1%) implies limited operational decarbonization or stable fleet/fuel use</t>
        </r>
      </text>
    </comment>
    <comment ref="D71" authorId="0" shapeId="0" xr:uid="{DAB00DAE-BE1F-435F-9D96-C2FA5A2DE904}">
      <text>
        <r>
          <rPr>
            <b/>
            <sz val="9"/>
            <color indexed="81"/>
            <rFont val="Tahoma"/>
            <family val="2"/>
          </rPr>
          <t>User:</t>
        </r>
      </text>
    </comment>
    <comment ref="D72" authorId="0" shapeId="0" xr:uid="{CB5A6ED4-358C-49A1-AAD6-A9EA6CB00A1D}">
      <text>
        <r>
          <rPr>
            <b/>
            <sz val="9"/>
            <color indexed="81"/>
            <rFont val="Tahoma"/>
            <family val="2"/>
          </rPr>
          <t>User:</t>
        </r>
        <r>
          <rPr>
            <sz val="9"/>
            <color indexed="81"/>
            <rFont val="Tahoma"/>
            <family val="2"/>
          </rPr>
          <t xml:space="preserve">
</t>
        </r>
      </text>
    </comment>
    <comment ref="D73" authorId="0" shapeId="0" xr:uid="{1C8307C9-2114-4230-AFD7-2663E27A19AD}">
      <text>
        <r>
          <rPr>
            <sz val="9"/>
            <color indexed="81"/>
            <rFont val="Tahoma"/>
            <family val="2"/>
          </rPr>
          <t>.</t>
        </r>
      </text>
    </comment>
  </commentList>
</comments>
</file>

<file path=xl/sharedStrings.xml><?xml version="1.0" encoding="utf-8"?>
<sst xmlns="http://schemas.openxmlformats.org/spreadsheetml/2006/main" count="2817" uniqueCount="1275">
  <si>
    <t>LAB 2 — Carbon Footprint Calculator  |  GHG Protocol Framework</t>
  </si>
  <si>
    <t>ESG Analytics &amp; Management  ·  Session 4  ·  Week 2  ·  This workbook feeds directly into Lab 3 (Environmental Dashboard)</t>
  </si>
  <si>
    <t>WORKBOOK CONTENTS</t>
  </si>
  <si>
    <t>Sheet</t>
  </si>
  <si>
    <t>Purpose &amp; What to Complete</t>
  </si>
  <si>
    <t>📋 Instructions</t>
  </si>
  <si>
    <t>You are here</t>
  </si>
  <si>
    <t xml:space="preserve"> Assumptions</t>
  </si>
  <si>
    <t>Central inputs: company name, reporting years, financial data, GWP factors — FILL THIS FIRST</t>
  </si>
  <si>
    <t>Scope 1</t>
  </si>
  <si>
    <t>Direct emissions: combustion, fleet, process, fugitive sources — enter activity data</t>
  </si>
  <si>
    <t>Scope 2</t>
  </si>
  <si>
    <t>Purchased energy: market-based AND location-based dual calculation</t>
  </si>
  <si>
    <t>Scope 3</t>
  </si>
  <si>
    <t>Value chain emissions: 5 categories using spend-based and activity-based methods</t>
  </si>
  <si>
    <t>Summary &amp; Intensity</t>
  </si>
  <si>
    <t>Auto-calculated totals, intensity ratios, scope breakdown — review after entering data</t>
  </si>
  <si>
    <t>Trend Analysis</t>
  </si>
  <si>
    <t>3-year historical trend table and chart builder — enter prior year data</t>
  </si>
  <si>
    <t>Emission Factors</t>
  </si>
  <si>
    <t>Reference tables: EPA, DEFRA, IEA grid factors — DO NOT EDIT formulas here</t>
  </si>
  <si>
    <t>Assumptions</t>
  </si>
  <si>
    <t>Document every emission factor used, boundary decisions, and methodology notes</t>
  </si>
  <si>
    <t>STEP-BY-STEP GUIDE</t>
  </si>
  <si>
    <t>Step 1</t>
  </si>
  <si>
    <t>Fill Assumptions sheet: company info, financial metrics, years, GWP values</t>
  </si>
  <si>
    <t>Step 2</t>
  </si>
  <si>
    <t>Enter activity data in Scope 1 (fuel consumption by source)</t>
  </si>
  <si>
    <t>Step 3</t>
  </si>
  <si>
    <t>Enter electricity/energy data in Scope 2 (both market and location-based)</t>
  </si>
  <si>
    <t>Step 4</t>
  </si>
  <si>
    <t>Estimate Scope 3 for at least 3 categories in  Scope 3 sheet</t>
  </si>
  <si>
    <t>Step 5</t>
  </si>
  <si>
    <t>Check  Summary &amp; Intensity — all totals pull automatically via formulas</t>
  </si>
  <si>
    <t>Step 6</t>
  </si>
  <si>
    <t>Enter 2 prior years of data in  Trend Analysis to build the trend chart</t>
  </si>
  <si>
    <t>Step 7</t>
  </si>
  <si>
    <t>Document all sources and decisions in  Assumptions Log</t>
  </si>
  <si>
    <t>COLOR CODING</t>
  </si>
  <si>
    <t>Blue text / Yellow background</t>
  </si>
  <si>
    <t>Your inputs — cells you must fill in</t>
  </si>
  <si>
    <t>Black text / White background</t>
  </si>
  <si>
    <t>Calculated formulas — do not edit</t>
  </si>
  <si>
    <t>Green text / Light green background</t>
  </si>
  <si>
    <t>Cross-sheet references pulling from other sheets</t>
  </si>
  <si>
    <t>GHG PROTOCOL BOUNDARY REMINDER</t>
  </si>
  <si>
    <t>Operational Control</t>
  </si>
  <si>
    <t>Include 100% of emissions from operations you control (most common approach)</t>
  </si>
  <si>
    <t>Equity Share</t>
  </si>
  <si>
    <t>Include % of emissions proportional to your ownership stake</t>
  </si>
  <si>
    <t>Financial Control</t>
  </si>
  <si>
    <t>Include entities where you have financial control</t>
  </si>
  <si>
    <t>Your boundary choice →</t>
  </si>
  <si>
    <t xml:space="preserve">Document in  Methodology your Assumptions  </t>
  </si>
  <si>
    <t>KEY FORMULAS USED IN THIS WORKBOOK</t>
  </si>
  <si>
    <t>Scope 1 (combustion)</t>
  </si>
  <si>
    <t>Activity (units) × Emission Factor (kgCO₂e/unit) ÷ 1,000 = tCO₂e</t>
  </si>
  <si>
    <t>This is the standard way to convert fuel use into tonnes of CO₂e. Emission factors are usually in kgCO₂e per unit, so dividing by 1,000 converts to tonnes.</t>
  </si>
  <si>
    <t>Scope 2 (location)</t>
  </si>
  <si>
    <t>Electricity (MWh) × Grid EF (kgCO₂e/MWh) ÷ 1,000 = tCO₂e</t>
  </si>
  <si>
    <t>Scope 2 (market)</t>
  </si>
  <si>
    <t>Electricity (MWh) × Supplier/Residual EF (kgCO₂e/MWh) ÷ 1,000 = tCO₂e</t>
  </si>
  <si>
    <t>Scope 3 (spend)</t>
  </si>
  <si>
    <t>Supplier Spend ($) × EEIO Factor (kgCO₂e/$) ÷ 1,000 = tCO₂e</t>
  </si>
  <si>
    <t>This is the standard spend‑based method using Environmentally Extended Input‑Output (EEIO) factors. It’s commonly used when activity data isn’t available.</t>
  </si>
  <si>
    <t>Intensity (revenue)</t>
  </si>
  <si>
    <t>Total tCO₂e ÷ Revenue ($M) = tCO₂e per $M revenue</t>
  </si>
  <si>
    <t>Intensity ratios are flexible, but this is a common one.</t>
  </si>
  <si>
    <t>GWP conversion</t>
  </si>
  <si>
    <t>CH₄ mass × GWP_CH4 = CO₂e  |  N₂O mass × GWP_N2O = CO₂e</t>
  </si>
  <si>
    <t>This is exactly how methane (CH₄), nitrous oxide (N₂O), and other gases are converted to CO₂‑equivalent using IPCC global warming potentials.</t>
  </si>
  <si>
    <t>CENTRAL ASSUMPTIONS — Fill This Sheet First</t>
  </si>
  <si>
    <t>All other sheets reference these cells. Update here and the whole model recalculates.</t>
  </si>
  <si>
    <t>SECTION A — COMPANY INFORMATION</t>
  </si>
  <si>
    <t>Company Name</t>
  </si>
  <si>
    <t>Westrock Company</t>
  </si>
  <si>
    <t>Used in all sheet headers</t>
  </si>
  <si>
    <t>Industry / Sector</t>
  </si>
  <si>
    <t>Pulp, Paper and Packaging</t>
  </si>
  <si>
    <t>Affects SASB materiality and EF selection</t>
  </si>
  <si>
    <t>Primary Country of Operations</t>
  </si>
  <si>
    <t>USA</t>
  </si>
  <si>
    <t>Used to select default grid emission factor</t>
  </si>
  <si>
    <t>Reporting Year (Current)</t>
  </si>
  <si>
    <t>Year of primary data being analyzed</t>
  </si>
  <si>
    <t>Reporting Year (Prior 1)</t>
  </si>
  <si>
    <t>For trend analysis — enter in Trend sheet</t>
  </si>
  <si>
    <t>SECTION B — FINANCIAL METRICS (for Intensity Calculations)</t>
  </si>
  <si>
    <t>Annual Revenue (USD Millions)</t>
  </si>
  <si>
    <t>USD Millions</t>
  </si>
  <si>
    <t>Used to calculate carbon intensity per $M revenue</t>
  </si>
  <si>
    <t>Number of Employees (FTE)</t>
  </si>
  <si>
    <t>Headcount</t>
  </si>
  <si>
    <t>Used to calculate carbon intensity per employee</t>
  </si>
  <si>
    <t>Total Production Volume (units)</t>
  </si>
  <si>
    <t>Microsoft is a software, cloud, and services company; no consolidated production-volume metric is reported.</t>
  </si>
  <si>
    <t>For manufacturing companies — carbon per unit produced</t>
  </si>
  <si>
    <t>Floor Space / Facility Area</t>
  </si>
  <si>
    <t>Microsoft does not publicly disclose total facility area in aggregate.</t>
  </si>
  <si>
    <t>For real estate, retail — carbon per m²</t>
  </si>
  <si>
    <t>Revenue Unit Note</t>
  </si>
  <si>
    <t>Text</t>
  </si>
  <si>
    <t>Important: ensure revenue is in $M not $B</t>
  </si>
  <si>
    <t>SECTION C — GLOBAL WARMING POTENTIAL (GWP) FACTORS — IPCC AR6 (2021)</t>
  </si>
  <si>
    <t>These factors convert non-CO₂ gases to CO₂ equivalents. AR6 values shown (default). Change only if your regulatory regime requires AR5 or AR4.</t>
  </si>
  <si>
    <t>Gas</t>
  </si>
  <si>
    <t>Chemical</t>
  </si>
  <si>
    <t>AR6 GWP (100-yr)</t>
  </si>
  <si>
    <t>AR5 GWP (100-yr)</t>
  </si>
  <si>
    <t>Your Selection</t>
  </si>
  <si>
    <t>Source</t>
  </si>
  <si>
    <t>Carbon Dioxide</t>
  </si>
  <si>
    <t>CO₂</t>
  </si>
  <si>
    <t>IPCC AR6, 2021</t>
  </si>
  <si>
    <t>Methane (fossil)</t>
  </si>
  <si>
    <t>CH₄</t>
  </si>
  <si>
    <t>IPCC AR6 WGI Table 7.SM.7</t>
  </si>
  <si>
    <t>Methane (biogenic)</t>
  </si>
  <si>
    <t>Nitrous Oxide</t>
  </si>
  <si>
    <t>N₂O</t>
  </si>
  <si>
    <t>HFC-134a (refrigerant)</t>
  </si>
  <si>
    <t>CH₂FCF₃</t>
  </si>
  <si>
    <t>IPCC AR6</t>
  </si>
  <si>
    <t>SF₆ (electrical equipment)</t>
  </si>
  <si>
    <t>SF₆</t>
  </si>
  <si>
    <t>Fiscal Year</t>
  </si>
  <si>
    <t>Revenue (USD)</t>
  </si>
  <si>
    <t>Employees</t>
  </si>
  <si>
    <t>EMISSION FACTORS REFERENCE LIBRARY — EPA, DEFRA, IEA 2023</t>
  </si>
  <si>
    <t>Reference only — do not edit. Factors are pre-loaded into calculation sheets. Update annually.</t>
  </si>
  <si>
    <t>TABLE 1 — STATIONARY COMBUSTION FACTORS (EPA Center for Corporate Climate Leadership 2023)</t>
  </si>
  <si>
    <t>#</t>
  </si>
  <si>
    <t>Fuel Type</t>
  </si>
  <si>
    <t>Unit</t>
  </si>
  <si>
    <t>CO₂ EF
(kgCO₂/unit)</t>
  </si>
  <si>
    <t>CH₄ EF
(gCH₄/unit)</t>
  </si>
  <si>
    <t>N₂O EF
(gN₂O/unit)</t>
  </si>
  <si>
    <t>Natural Gas</t>
  </si>
  <si>
    <t>MMBtu</t>
  </si>
  <si>
    <t>EPA 2023 Table 1</t>
  </si>
  <si>
    <t>m³</t>
  </si>
  <si>
    <t>EPA 2023 (converted)</t>
  </si>
  <si>
    <t>Propane</t>
  </si>
  <si>
    <t>Gallon</t>
  </si>
  <si>
    <t>Diesel Fuel / Fuel Oil No.2</t>
  </si>
  <si>
    <t>Litre</t>
  </si>
  <si>
    <t>Residual Fuel Oil (No. 6)</t>
  </si>
  <si>
    <t>LPG</t>
  </si>
  <si>
    <t>Coal — Bituminous</t>
  </si>
  <si>
    <t>Short Ton</t>
  </si>
  <si>
    <t>Coal — Sub-bituminous</t>
  </si>
  <si>
    <t>Wood / Wood Waste</t>
  </si>
  <si>
    <t>Municipal Solid Waste</t>
  </si>
  <si>
    <t>Biomas Fuel (Biodiesel)</t>
  </si>
  <si>
    <t>Buinass Fuels Solid (Wood &amp; Wood Residuals)</t>
  </si>
  <si>
    <t>epa.gov/system/files/documents/2023-03/ghg_emission_factors_hub.pdf</t>
  </si>
  <si>
    <t>TABLE 2 — MOBILE COMBUSTION FACTORS (EPA 2023 / DEFRA 2023)</t>
  </si>
  <si>
    <t>Gasoline — Passenger Cars</t>
  </si>
  <si>
    <t>DEFRA 2023 / (2.35) EPA 2023</t>
  </si>
  <si>
    <t>Gasoline — Light-Duty Trucks</t>
  </si>
  <si>
    <t>DEFRA 2023 / EPA 2023</t>
  </si>
  <si>
    <t>Diesel — Passenger Cars</t>
  </si>
  <si>
    <t>DEFRA 2023 / (2.69) EPA</t>
  </si>
  <si>
    <t>Diesel — Heavy-Duty Trucks</t>
  </si>
  <si>
    <t>DEFRA 2023</t>
  </si>
  <si>
    <t>Aviation Fuel (Jet A / Jet A-1)</t>
  </si>
  <si>
    <t xml:space="preserve">DEFRA 2023 / (2.53) EPA </t>
  </si>
  <si>
    <t>Compressed Natural Gas (CNG)</t>
  </si>
  <si>
    <t>GJ</t>
  </si>
  <si>
    <t>EPA 2023 / (50.3) EPA</t>
  </si>
  <si>
    <t>Liquefied Natural Gas (LNG)</t>
  </si>
  <si>
    <t>TABLE 3 — ELECTRICITY GRID EMISSION FACTORS (IEA 2023 / EPA eGRID 2023)</t>
  </si>
  <si>
    <t>Country / Region / Grid</t>
  </si>
  <si>
    <t>kgCO₂e / MWh
(Location-Based)</t>
  </si>
  <si>
    <t>Year</t>
  </si>
  <si>
    <t>Notes</t>
  </si>
  <si>
    <t>US National Average</t>
  </si>
  <si>
    <t>~380-400</t>
  </si>
  <si>
    <t>EPA eGRID 2023</t>
  </si>
  <si>
    <t>Covers all NERC regions</t>
  </si>
  <si>
    <t>US — CAMX (California)</t>
  </si>
  <si>
    <t>High renewables</t>
  </si>
  <si>
    <t>US — ERCOT (Texas)</t>
  </si>
  <si>
    <t>Natural gas heavy</t>
  </si>
  <si>
    <t>US — RFC (PJM Interconnection)</t>
  </si>
  <si>
    <t>Northeast / Midwest</t>
  </si>
  <si>
    <t>US — WECC (Mountain)</t>
  </si>
  <si>
    <t>Mountain states</t>
  </si>
  <si>
    <t>Canada National Average</t>
  </si>
  <si>
    <t>110-140</t>
  </si>
  <si>
    <t>Environment Canada 2022</t>
  </si>
  <si>
    <t>High hydro share</t>
  </si>
  <si>
    <t>European Union Average</t>
  </si>
  <si>
    <t>230-260</t>
  </si>
  <si>
    <t>European Environment Agency 2022</t>
  </si>
  <si>
    <t>Weighted average</t>
  </si>
  <si>
    <t>Germany</t>
  </si>
  <si>
    <t>380-420</t>
  </si>
  <si>
    <t>IEA 2022</t>
  </si>
  <si>
    <t>Transitioning from coal</t>
  </si>
  <si>
    <t>France</t>
  </si>
  <si>
    <t>50-70</t>
  </si>
  <si>
    <t>Nuclear dominant</t>
  </si>
  <si>
    <t>United Kingdom</t>
  </si>
  <si>
    <t>Official UK government factor</t>
  </si>
  <si>
    <t>Sweden</t>
  </si>
  <si>
    <t>10-20</t>
  </si>
  <si>
    <t>Hydro + nuclear dominant</t>
  </si>
  <si>
    <t>Poland</t>
  </si>
  <si>
    <t>700-800</t>
  </si>
  <si>
    <t>Coal dominant</t>
  </si>
  <si>
    <t>China</t>
  </si>
  <si>
    <t>550-650</t>
  </si>
  <si>
    <t>High coal share</t>
  </si>
  <si>
    <t>India</t>
  </si>
  <si>
    <t>Japan</t>
  </si>
  <si>
    <t>450-500</t>
  </si>
  <si>
    <t>Post-Fukushima gas shift</t>
  </si>
  <si>
    <t>South Korea</t>
  </si>
  <si>
    <t>400-500</t>
  </si>
  <si>
    <t>Coal + nuclear mix</t>
  </si>
  <si>
    <t>Australia</t>
  </si>
  <si>
    <t>650-750</t>
  </si>
  <si>
    <t>Australian NGER 2022</t>
  </si>
  <si>
    <t>High coal NEM average</t>
  </si>
  <si>
    <t>Brazil</t>
  </si>
  <si>
    <t>100-150</t>
  </si>
  <si>
    <t>Brazilian EPE 2022</t>
  </si>
  <si>
    <t>Mexico</t>
  </si>
  <si>
    <t>Natural gas growing</t>
  </si>
  <si>
    <t>South Africa</t>
  </si>
  <si>
    <t>850-950</t>
  </si>
  <si>
    <t>Steam &amp; Heat</t>
  </si>
  <si>
    <t>World average</t>
  </si>
  <si>
    <t>~475</t>
  </si>
  <si>
    <t>SCOPE 1 — DIRECT GHG EMISSIONS  |  GHG Protocol: All sources your organization directly controls</t>
  </si>
  <si>
    <t>Enter activity data (fuel consumed, distance driven, refrigerant leaked). Emission factors are pre-loaded from EPA/DEFRA tables.</t>
  </si>
  <si>
    <t>PART A — STATIONARY COMBUSTION (Boilers, Furnaces, Generators, Turbines)</t>
  </si>
  <si>
    <t>Fuel Source</t>
  </si>
  <si>
    <t>Activity
Quantity</t>
  </si>
  <si>
    <t>Activity
Unit</t>
  </si>
  <si>
    <t>CO₂
(tCO₂)</t>
  </si>
  <si>
    <t>CH₄
(tCO₂e)</t>
  </si>
  <si>
    <t>N₂O
(tCO₂e)</t>
  </si>
  <si>
    <t>Total
(tCO₂e)</t>
  </si>
  <si>
    <t>BioFuels Solid (Wood &amp; Wood Residuals)</t>
  </si>
  <si>
    <t>SUBTOTAL — Stationary Combustion</t>
  </si>
  <si>
    <t>PART B — MOBILE COMBUSTION (Company Fleet, Owned/Leased Vehicles)</t>
  </si>
  <si>
    <t>Fuel Source g</t>
  </si>
  <si>
    <t>CH₄ EF 
(gCH₄/unit)</t>
  </si>
  <si>
    <t>Gasoline / Petrol (Passenger Cars)</t>
  </si>
  <si>
    <t>Litres</t>
  </si>
  <si>
    <t>Gasoline / Petrol (Heavy-Duty Trucks)</t>
  </si>
  <si>
    <t>Diesel (Passenger Cars)</t>
  </si>
  <si>
    <t>Diesel (Heavy-Duty Trucks)</t>
  </si>
  <si>
    <t>Aviation Fuel (Jet-A)</t>
  </si>
  <si>
    <t>Other / Specify</t>
  </si>
  <si>
    <t>Specify unit</t>
  </si>
  <si>
    <t>SUBTOTAL — Mobile Combustion</t>
  </si>
  <si>
    <t>PART C — FUGITIVE EMISSIONS (Refrigerants, Methane Leaks, SF₆)</t>
  </si>
  <si>
    <t>Refrigerant / Gas Type</t>
  </si>
  <si>
    <t>Quantity
Leaked</t>
  </si>
  <si>
    <t>GWP
Factor h</t>
  </si>
  <si>
    <t>HFC-134a (Air Conditioning)</t>
  </si>
  <si>
    <t>kg</t>
  </si>
  <si>
    <t>HFC-410A (Air Conditioning)</t>
  </si>
  <si>
    <t>SF₆ (Electrical Switchgear)</t>
  </si>
  <si>
    <t>CH₄ — Natural Gas Leaks (pipeline)</t>
  </si>
  <si>
    <t>CO₂ — Fire Suppression Systems</t>
  </si>
  <si>
    <t>Other refrigerant (specify)</t>
  </si>
  <si>
    <t>SUBTOTAL — Fugitive Emissions</t>
  </si>
  <si>
    <t>✦  SCOPE 1 TOTAL (tCO₂e)  ✦</t>
  </si>
  <si>
    <t>epa.gov/system/files/documents/2024-02/ghg-emission-factors-hub-2024.pdf</t>
  </si>
  <si>
    <t>Change cell for sum of all</t>
  </si>
  <si>
    <t xml:space="preserve">a EPA publishes factors per MMBtu, not per m³. These values are consistent with standard conversions from 1 m³ ≈ 0.0366 MMBtu.
</t>
  </si>
  <si>
    <t>b  CO₂: 73.96 kg/MMBtu ; CH₄: 3.0 g/MMBtu ;  N₂O: 0.60 g/MMBtu --&gt; Converted to liters (≈0.138 MMBtu/gal → 0.0365 MMBtu/L)</t>
  </si>
  <si>
    <t xml:space="preserve">c CO₂: 75.36 kg/MMBtu --&gt; converted to liters 
</t>
  </si>
  <si>
    <t>d CO₂: 61.46 kg/MMBtu --&gt; Converted to liters</t>
  </si>
  <si>
    <t>e CH₄: 11g/MMBtu x 24.93 MMBtu/short  ton =274 g/short  ton  
N₂O: 1.6 g/MMBtu x 24.93=40 g / short ton</t>
  </si>
  <si>
    <t>f EPA lists it as:  CO₂: 1.64 metric tons CO₂ per short ton of wood → which is 1,640 kg CO₂/short ton</t>
  </si>
  <si>
    <t>g CO₂ factors- Taken from EPA fuel CO₂ factors (per gallon) and converted to kg/L: Gasoline ≈ 2.35 kg/L ;  Diesel ≈ 2.69 kg/L  ;   Jet fuel ≈ 2.54 kg/L  ;  CNG: 56.1 kg CO₂/GJ is the standard natural gas combustion factor.</t>
  </si>
  <si>
    <t>h IPCC generation (AR4 style)</t>
  </si>
  <si>
    <t>SCOPE 2 — PURCHASED ENERGY  |  Dual Reporting: Market-Based AND Location-Based (GHG Protocol Required)</t>
  </si>
  <si>
    <t>GHG Protocol requires BOTH methods. Market-based reflects supplier contracts &amp; RECs. Location-based uses grid averages.</t>
  </si>
  <si>
    <t>PART A — PURCHASED ELECTRICITY</t>
  </si>
  <si>
    <t>REFERENCE — Grid Emission Factors (kgCO₂e/MWh) | Source: IEA CO₂ Emissions from Fuel Combustion 2023 | CarbonFootprint.com (2025) Update annually</t>
  </si>
  <si>
    <t>Country/Region</t>
  </si>
  <si>
    <t>Grid EF (kgCO₂e/MWh)</t>
  </si>
  <si>
    <t>US Average</t>
  </si>
  <si>
    <t>US — California</t>
  </si>
  <si>
    <t>US — Texas (ERCOT)</t>
  </si>
  <si>
    <t>European Union Avg</t>
  </si>
  <si>
    <t>Canada</t>
  </si>
  <si>
    <t>ELECTRICITY CONSUMPTION DATA</t>
  </si>
  <si>
    <t>Facility / Region</t>
  </si>
  <si>
    <t>Electricity
Consumed (MWh)</t>
  </si>
  <si>
    <t>Location-Based
EF (kgCO₂/MWh)</t>
  </si>
  <si>
    <t>Market-Based
EF (kgCO₂/MWh)</t>
  </si>
  <si>
    <t>RECs / PPAs
(MWh covered) *</t>
  </si>
  <si>
    <t>Net Market-
Based MWh</t>
  </si>
  <si>
    <t>Location-Based
(tCO₂e)</t>
  </si>
  <si>
    <t>Market-Based
(tCO₂e)</t>
  </si>
  <si>
    <t>Europe</t>
  </si>
  <si>
    <t>[Notes on EF source, REC details]</t>
  </si>
  <si>
    <t>The Americas</t>
  </si>
  <si>
    <t>SUBTOTAL — Electricity</t>
  </si>
  <si>
    <t>PART B — OTHER PURCHASED ENERGY (Steam, Heat, Cooling)</t>
  </si>
  <si>
    <t>Energy Type</t>
  </si>
  <si>
    <t>Quantity
Consumed</t>
  </si>
  <si>
    <t>CO2 Factor 
(kg CO2 / mmBtu)</t>
  </si>
  <si>
    <t xml:space="preserve">CH4 Factor 
(g CH4 / mmBtu) </t>
  </si>
  <si>
    <t xml:space="preserve">N2O Factor 
(g N2O / mmBtu) </t>
  </si>
  <si>
    <t>Steam and Heat (Purchased)</t>
  </si>
  <si>
    <t>EPA Table 1</t>
  </si>
  <si>
    <t>Steam and Heat (Sold)</t>
  </si>
  <si>
    <t>[Source of emission factor]</t>
  </si>
  <si>
    <t>SUBTOTAL — Other Energy</t>
  </si>
  <si>
    <t>✦  SCOPE 2 TOTAL — LOCATION-BASED (tCO₂e)  ✦</t>
  </si>
  <si>
    <t>✦  SCOPE 2 TOTAL — MARKET-BASED (tCO₂e)  [USE THIS FOR REPORTING]  ✦</t>
  </si>
  <si>
    <t>*(Renewable Energy Certificates) ; PPAs (Power Purchase Agreements) ; GOs (Guarantees of Origin, in Europe) ;  I‑RECs (International RECs, global markets)</t>
  </si>
  <si>
    <t>Market</t>
  </si>
  <si>
    <t>Location</t>
  </si>
  <si>
    <t>ktons</t>
  </si>
  <si>
    <t>Power Purchased</t>
  </si>
  <si>
    <t>SCOPE 3 — VALUE CHAIN EMISSIONS  |  Cover at least 3 of the 15 categories most material to your industry</t>
  </si>
  <si>
    <t>Scope 3 typically represents 70–90% of total footprint. Use spend-based method where activity data is unavailable.</t>
  </si>
  <si>
    <t>SCOPE 3 CATEGORY OVERVIEW — Mark which categories are material for your company (✓ = Include, N/A = Not applicable)</t>
  </si>
  <si>
    <t>Cat #</t>
  </si>
  <si>
    <t>Category Name</t>
  </si>
  <si>
    <t>Stream</t>
  </si>
  <si>
    <t>Typical Method</t>
  </si>
  <si>
    <t>Material for your industry?</t>
  </si>
  <si>
    <t>Estimated % of S3 (Reasonable Industry averages)</t>
  </si>
  <si>
    <t>Notes:  It is NOT an official GHG Protocol requirement</t>
  </si>
  <si>
    <t>1</t>
  </si>
  <si>
    <t>Purchased Goods &amp; Services</t>
  </si>
  <si>
    <t>Upstream</t>
  </si>
  <si>
    <t>Spend-based or supplier-specific</t>
  </si>
  <si>
    <t>High for manufacturing/retail</t>
  </si>
  <si>
    <t>~40%</t>
  </si>
  <si>
    <t>Often true, for manufacturing, retail, food, apparel, pharma — this is usually the largest Scope 3 category.</t>
  </si>
  <si>
    <t>2</t>
  </si>
  <si>
    <t>Capital Goods</t>
  </si>
  <si>
    <t>Spend-based</t>
  </si>
  <si>
    <t>High for capital-intensive industries</t>
  </si>
  <si>
    <t>~5%</t>
  </si>
  <si>
    <t>Reasonable. Higher for construction, tech hardware, automotive; lower for services.</t>
  </si>
  <si>
    <t>3</t>
  </si>
  <si>
    <t>Fuel &amp; Energy-Related Activities</t>
  </si>
  <si>
    <t>Activity-based</t>
  </si>
  <si>
    <t>ALL companies</t>
  </si>
  <si>
    <t>~3%</t>
  </si>
  <si>
    <t>Typical. Usually small unless energy use is huge.</t>
  </si>
  <si>
    <t>4</t>
  </si>
  <si>
    <t>Upstream Transportation &amp; Distribution</t>
  </si>
  <si>
    <t>Spend/distance-based</t>
  </si>
  <si>
    <t>Retail, manufacturing</t>
  </si>
  <si>
    <t>Reasonable. Retail, manufacturing, e‑commerce often fall in this range.</t>
  </si>
  <si>
    <t>5</t>
  </si>
  <si>
    <t>Waste Generated in Operations</t>
  </si>
  <si>
    <t>Manufacturing, food &amp; beverage</t>
  </si>
  <si>
    <t>~1%</t>
  </si>
  <si>
    <t>Typical. Only large for food, agriculture, chemicals.</t>
  </si>
  <si>
    <t>6</t>
  </si>
  <si>
    <t>Business Travel</t>
  </si>
  <si>
    <t>Activity-based (km × EF)</t>
  </si>
  <si>
    <t>Services, consulting, financial</t>
  </si>
  <si>
    <t>Typical. Higher for consulting, finance, tech</t>
  </si>
  <si>
    <t>7</t>
  </si>
  <si>
    <t>Employee Commuting</t>
  </si>
  <si>
    <t>Survey-based</t>
  </si>
  <si>
    <t>Office-heavy companies</t>
  </si>
  <si>
    <t>Typical.  Office-heavy companies</t>
  </si>
  <si>
    <t>8</t>
  </si>
  <si>
    <t>Upstream Leased Assets</t>
  </si>
  <si>
    <t>Asset-specific</t>
  </si>
  <si>
    <t>Companies with leased fleet/space</t>
  </si>
  <si>
    <t>~2%</t>
  </si>
  <si>
    <t>Depends. Only relevant if you lease equipment or space.</t>
  </si>
  <si>
    <t>9</t>
  </si>
  <si>
    <t>Downstream Transportation</t>
  </si>
  <si>
    <t>Downstream</t>
  </si>
  <si>
    <t>Consumer goods, e-commerce</t>
  </si>
  <si>
    <t>Typical. Big for consumer goods and e‑commerce.</t>
  </si>
  <si>
    <t>10</t>
  </si>
  <si>
    <t>Processing of Sold Products</t>
  </si>
  <si>
    <t>Industry-specific</t>
  </si>
  <si>
    <t>Chemicals, materials suppliers</t>
  </si>
  <si>
    <t xml:space="preserve"> Industry-specific. Chemicals, materials, components.</t>
  </si>
  <si>
    <t>11</t>
  </si>
  <si>
    <t>Use of Sold Products</t>
  </si>
  <si>
    <t>Activity-based (product use)</t>
  </si>
  <si>
    <t>High for electronics, vehicles, appliances</t>
  </si>
  <si>
    <t>~25%</t>
  </si>
  <si>
    <t>Very common. Electronics, appliances, vehicles — often the largest category.</t>
  </si>
  <si>
    <t>12</t>
  </si>
  <si>
    <t>End-of-Life Treatment</t>
  </si>
  <si>
    <t>Waste model</t>
  </si>
  <si>
    <t>Consumer goods, packaging</t>
  </si>
  <si>
    <t>Typical. Packaging-heavy industries see higher values.</t>
  </si>
  <si>
    <t>13</t>
  </si>
  <si>
    <t>Downstream Leased Assets</t>
  </si>
  <si>
    <t>Property companies, lessors</t>
  </si>
  <si>
    <t>Typical. Only relevant for property/real estate.</t>
  </si>
  <si>
    <t>14</t>
  </si>
  <si>
    <t>Franchises</t>
  </si>
  <si>
    <t>Franchise businesses</t>
  </si>
  <si>
    <t>Typical. Only for franchise-heavy businesses.</t>
  </si>
  <si>
    <t>15</t>
  </si>
  <si>
    <t>Investments</t>
  </si>
  <si>
    <t>PCAF / portfolio-based</t>
  </si>
  <si>
    <t>Financial institutions, banks</t>
  </si>
  <si>
    <t>~30%</t>
  </si>
  <si>
    <t>True for finance. Banks, PE, VC — this is usually the dominant category.</t>
  </si>
  <si>
    <t>CATEGORY 1 — PURCHASED GOODS &amp; SERVICES (Spend-Based Method)</t>
  </si>
  <si>
    <t>Supplier / Spend Category</t>
  </si>
  <si>
    <t>Annual Spend
(USD)</t>
  </si>
  <si>
    <r>
      <t>EEIO Factor
(kgCO₂e per $)</t>
    </r>
    <r>
      <rPr>
        <b/>
        <vertAlign val="superscript"/>
        <sz val="8"/>
        <color rgb="FFFFFFFF"/>
        <rFont val="Arial"/>
        <family val="2"/>
      </rPr>
      <t>a</t>
    </r>
  </si>
  <si>
    <r>
      <t xml:space="preserve">Typical USEEIP Range </t>
    </r>
    <r>
      <rPr>
        <b/>
        <vertAlign val="superscript"/>
        <sz val="8"/>
        <color rgb="FFFFFFFF"/>
        <rFont val="Arial"/>
        <family val="2"/>
      </rPr>
      <t>b</t>
    </r>
  </si>
  <si>
    <t>EEIO Source</t>
  </si>
  <si>
    <t>Spend in
$000s</t>
  </si>
  <si>
    <t>tCO₂e</t>
  </si>
  <si>
    <t>Data
Confidence</t>
  </si>
  <si>
    <t>Raw Materials / Commodities</t>
  </si>
  <si>
    <t>0.2 - 1.20</t>
  </si>
  <si>
    <t>US EPA USEEIO v2.0</t>
  </si>
  <si>
    <t>Plastics material &amp; resin manufacturing; Steel mills; Paper mills</t>
  </si>
  <si>
    <t>Medium</t>
  </si>
  <si>
    <t>[Enter data source / assumption]</t>
  </si>
  <si>
    <t>Manufactured Components / Parts</t>
  </si>
  <si>
    <t>0.4 - 1.50</t>
  </si>
  <si>
    <t>Semiconductor manufacturing; Electronic component manufacturing; Fabricated metal products</t>
  </si>
  <si>
    <t>Packaging Materials</t>
  </si>
  <si>
    <t>0.5 -1.00</t>
  </si>
  <si>
    <t>Paperboard container manufacturing; Plastics packaging manufacturing</t>
  </si>
  <si>
    <t>Information Technology / Hardware</t>
  </si>
  <si>
    <t>0.7 - 1.40</t>
  </si>
  <si>
    <t>Computer manufacturing; Electronic equipment manufacturing</t>
  </si>
  <si>
    <t>Professional / Business Services</t>
  </si>
  <si>
    <t>0.05 - 0.20</t>
  </si>
  <si>
    <t>Management consulting services; Legal services; Accounting services</t>
  </si>
  <si>
    <t>Food &amp; Beverage (for operations)</t>
  </si>
  <si>
    <t>0.8 -1.60</t>
  </si>
  <si>
    <t>Food manufacturing; Beverage manufacturing</t>
  </si>
  <si>
    <t>Construction / Building Materials</t>
  </si>
  <si>
    <t>0.3 - 0 70</t>
  </si>
  <si>
    <t>Cement manufacturing; Ready‑mix concrete; Construction services</t>
  </si>
  <si>
    <t>Other goods/services (specify)</t>
  </si>
  <si>
    <t>varies</t>
  </si>
  <si>
    <t>SUBTOTAL — Category 1</t>
  </si>
  <si>
    <t>a EEIO = Environmentally Extended Input–Output. How many kg of CO₂e are emitted per dollar spent on a product or service.</t>
  </si>
  <si>
    <t>b Typical range of emission intensities (kgCO₂e per dollar spent) found across sectors in the USEEIO model — the U.S. Environmentally Extended Input–Output model published by the EPA.</t>
  </si>
  <si>
    <t>CATEGORY 3 — FUEL &amp; ENERGY RELATED ACTIVITIES (Upstream Emissions from Purchased Energy)</t>
  </si>
  <si>
    <t>Activity</t>
  </si>
  <si>
    <t>Scope 2
Electricity (MWh)</t>
  </si>
  <si>
    <r>
      <t xml:space="preserve">T&amp;D Loss Factor </t>
    </r>
    <r>
      <rPr>
        <b/>
        <vertAlign val="superscript"/>
        <sz val="8"/>
        <color rgb="FFFFFFFF"/>
        <rFont val="Arial"/>
        <family val="2"/>
      </rPr>
      <t>c</t>
    </r>
    <r>
      <rPr>
        <b/>
        <sz val="8"/>
        <color rgb="FFFFFFFF"/>
        <rFont val="Arial"/>
        <family val="2"/>
      </rPr>
      <t xml:space="preserve">
(% of consumption)</t>
    </r>
  </si>
  <si>
    <r>
      <t xml:space="preserve">Well-to-Tank EF </t>
    </r>
    <r>
      <rPr>
        <b/>
        <vertAlign val="superscript"/>
        <sz val="8"/>
        <color rgb="FFFFFFFF"/>
        <rFont val="Arial"/>
        <family val="2"/>
      </rPr>
      <t>d</t>
    </r>
    <r>
      <rPr>
        <b/>
        <sz val="8"/>
        <color rgb="FFFFFFFF"/>
        <rFont val="Arial"/>
        <family val="2"/>
      </rPr>
      <t xml:space="preserve">
(kgCO₂e/MWh) DEFRA</t>
    </r>
  </si>
  <si>
    <t>Step 1 — Calculate T&amp;D loss electricity</t>
  </si>
  <si>
    <t>Step 2 — Multiply by the DEFRA upstream electricity factor</t>
  </si>
  <si>
    <t>Step 3 — Convert to tonnes</t>
  </si>
  <si>
    <t>Emission Factor (EPA e grid) for subregion e.g. Chicago</t>
  </si>
  <si>
    <t>(tCO₂e for Category 3)
tCO2e</t>
  </si>
  <si>
    <t>Confidence</t>
  </si>
  <si>
    <t>T&amp;D Losses — Purchased Electricity</t>
  </si>
  <si>
    <t>[Enter source]</t>
  </si>
  <si>
    <t>Well-to-Tank — Natural Gas (for Scope 1)</t>
  </si>
  <si>
    <t>Well-to-Tank — Diesel Fuel (for Scope 1)</t>
  </si>
  <si>
    <t>Well-to-Tank — Gasoline (for Scope 1)</t>
  </si>
  <si>
    <t>SUBTOTAL — Category 3</t>
  </si>
  <si>
    <t>* it was provided</t>
  </si>
  <si>
    <t>UK DEFRA/BEIS. EPA does not publish Well‑to‑Tank (WTT) emission factors for electricity or fuels.</t>
  </si>
  <si>
    <t xml:space="preserve">c T&amp;D = Transmission &amp; Distribution. </t>
  </si>
  <si>
    <t>d Upstream emissions from producing, processing, and delivering the fuel before it is used.</t>
  </si>
  <si>
    <t>CATEGORY 6 — BUSINESS TRAVEL (Activity-Based: Distance × Emission Factor)</t>
  </si>
  <si>
    <t>Travel Mode</t>
  </si>
  <si>
    <t>Distance
Travelled</t>
  </si>
  <si>
    <t>Class
(Economy/Bus)</t>
  </si>
  <si>
    <t>EF
(kgCO₂e/km or mile)</t>
  </si>
  <si>
    <t>EF Source</t>
  </si>
  <si>
    <t>Air Travel — Short Haul (&lt;3hrs) Economy</t>
  </si>
  <si>
    <t>km</t>
  </si>
  <si>
    <t>Economy</t>
  </si>
  <si>
    <t>[Enter data source]</t>
  </si>
  <si>
    <t>Air Travel — Long Haul (&gt;3hrs) Economy</t>
  </si>
  <si>
    <t>Air Travel — Long Haul Business Class</t>
  </si>
  <si>
    <t>Business</t>
  </si>
  <si>
    <t>Rail Travel</t>
  </si>
  <si>
    <t>National rail passenger</t>
  </si>
  <si>
    <t>Hotel Stays</t>
  </si>
  <si>
    <t>nights</t>
  </si>
  <si>
    <t>Hotel stay per night</t>
  </si>
  <si>
    <t>Rental Car</t>
  </si>
  <si>
    <t>Rental car (Generic)</t>
  </si>
  <si>
    <t>SUBTOTAL — Category 6</t>
  </si>
  <si>
    <t>ADDITIONAL CATEGORIES — Enter other material Scope 3 categories for your industry</t>
  </si>
  <si>
    <t>Category Name &amp; Number</t>
  </si>
  <si>
    <t>Description</t>
  </si>
  <si>
    <t>Method Used</t>
  </si>
  <si>
    <t>Quantity</t>
  </si>
  <si>
    <t>EF / Factor</t>
  </si>
  <si>
    <t>Scope 3 – Cat. 2: Capital Goods</t>
  </si>
  <si>
    <t>[Enter data]</t>
  </si>
  <si>
    <t>High</t>
  </si>
  <si>
    <t>Scope 3 – Cat. 3: Fuel &amp; Energy-Related</t>
  </si>
  <si>
    <t>Scope 3 – Cat. 4: Upstream Transport &amp; Distribution</t>
  </si>
  <si>
    <t>Scope 3 – Cat. 5: Waste in Operations</t>
  </si>
  <si>
    <t>Scope 3 – Cat. 7: Employee Commuting</t>
  </si>
  <si>
    <t>Scope 3 – Cat. 9: Downstream Transport &amp; Distribution</t>
  </si>
  <si>
    <t>Scope 3 – Cat. 11: Use of Sold Products</t>
  </si>
  <si>
    <t>Scope 3 – Cat. 12: End-of-Life Treatment</t>
  </si>
  <si>
    <t>Scope 3 – Cat. 13: Downstream Leased Assets</t>
  </si>
  <si>
    <t>SUBTOTAL — Additional Categories</t>
  </si>
  <si>
    <t>✦  SCOPE 3 TOTAL (tCO₂e)  ✦</t>
  </si>
  <si>
    <t>CARBON FOOTPRINT SUMMARY &amp; INTENSITY RATIOS</t>
  </si>
  <si>
    <t>All values pull automatically from Scope 1, 2, and 3 sheets. Review after completing data entry.</t>
  </si>
  <si>
    <t>SECTION 1 — SCOPE TOTALS (tCO₂e)</t>
  </si>
  <si>
    <t>Scope</t>
  </si>
  <si>
    <t>% of Total (S1+S2+S3)</t>
  </si>
  <si>
    <t>% of Total (S1+S2 only)</t>
  </si>
  <si>
    <t>Compared to Prior Year</t>
  </si>
  <si>
    <t>Target</t>
  </si>
  <si>
    <t>WR 2023</t>
  </si>
  <si>
    <t>Direct Emissions (combustion, fleet, fugitive)</t>
  </si>
  <si>
    <t>Scope 2 (Market-Based)</t>
  </si>
  <si>
    <t>Purchased Energy — Market-Based [PRIMARY]</t>
  </si>
  <si>
    <t>Scope 2 (Location-Based)</t>
  </si>
  <si>
    <t>Purchased Energy — Location-Based [SECONDARY]</t>
  </si>
  <si>
    <t>Value Chain Emissions (all categories)</t>
  </si>
  <si>
    <t>SK 2023</t>
  </si>
  <si>
    <t>WR 2024</t>
  </si>
  <si>
    <t>SK 2024</t>
  </si>
  <si>
    <t>Total S1 +S2 +S3 Westrock 2023</t>
  </si>
  <si>
    <t>Total S1 +S2 +S3 Westrock 2024</t>
  </si>
  <si>
    <t>Total S1 +S2 +S3 Smurfit Kappa 2023</t>
  </si>
  <si>
    <t>Total S1 +S2 +S3 Smurfit Kappa 2024</t>
  </si>
  <si>
    <t>Intensity Metric</t>
  </si>
  <si>
    <t>Formula</t>
  </si>
  <si>
    <t>Current Year
(tCO₂e / unit)</t>
  </si>
  <si>
    <t>Prior Year
(tCO₂e / unit)</t>
  </si>
  <si>
    <t>Change (%)</t>
  </si>
  <si>
    <t>Industry
Benchmark</t>
  </si>
  <si>
    <t>vs. Benchmark</t>
  </si>
  <si>
    <t>Carbon Intensity — Revenue</t>
  </si>
  <si>
    <t>tCO₂e per $M revenue</t>
  </si>
  <si>
    <t>[Industry benchmark]</t>
  </si>
  <si>
    <t>tCO₂e / $M revenue</t>
  </si>
  <si>
    <t>Carbon Intensity — Employee</t>
  </si>
  <si>
    <t>tCO₂e per FTE employee</t>
  </si>
  <si>
    <t>tCO₂e / employee</t>
  </si>
  <si>
    <t>Carbon Intensity — Production</t>
  </si>
  <si>
    <t>tCO₂e per unit of output (N/A)</t>
  </si>
  <si>
    <t>tCO₂e / unit</t>
  </si>
  <si>
    <t>Scope 1 Intensity — Revenue</t>
  </si>
  <si>
    <t>Scope 1 tCO₂e per $M revenue</t>
  </si>
  <si>
    <t>Scope 2 MB Intensity — Revenue</t>
  </si>
  <si>
    <t>Scope 2 tCO₂e per $M revenue</t>
  </si>
  <si>
    <t>Scope 3 Intensity — Revenue</t>
  </si>
  <si>
    <t>Scope 3 tCO₂e per $M revenue</t>
  </si>
  <si>
    <t>% Renewable Energy</t>
  </si>
  <si>
    <t>RECs as % of total electricity</t>
  </si>
  <si>
    <t>%</t>
  </si>
  <si>
    <t>SECTION 3 — SCOPE BREAKDOWN (% of Total S1+S2+S3)</t>
  </si>
  <si>
    <t>% Share</t>
  </si>
  <si>
    <t>GHG Protocol Guidance</t>
  </si>
  <si>
    <t>Best Practice Target</t>
  </si>
  <si>
    <t>Reduce through fuel switching &amp; efficiency</t>
  </si>
  <si>
    <t>Reduce through RECs, PPAs, on-site renewables</t>
  </si>
  <si>
    <t>Reduce through supply chain engagement &amp; product design</t>
  </si>
  <si>
    <t>TOTAL</t>
  </si>
  <si>
    <t>100%</t>
  </si>
  <si>
    <t>EMISSIONS TREND ANALYSIS — 3-Year Historical Data &amp; Chart</t>
  </si>
  <si>
    <t>Enter prior years manually. Current year pulls from Scope sheets automatically. Chart updates automatically.</t>
  </si>
  <si>
    <t>ABSOLUTE EMISSIONS TREND (tCO₂e) — Enter prior years | Current year auto-calculates</t>
  </si>
  <si>
    <t>Metric</t>
  </si>
  <si>
    <t>Year -2 (oldest)</t>
  </si>
  <si>
    <t>Year -1</t>
  </si>
  <si>
    <t>Current Year
(auto)</t>
  </si>
  <si>
    <t>YoY Change
(yr-2 to yr-1)</t>
  </si>
  <si>
    <t>YoY Change
(yr-1 to curr)</t>
  </si>
  <si>
    <t>3-Year
Cumulative Change</t>
  </si>
  <si>
    <t>Notes / Targets</t>
  </si>
  <si>
    <t>Reporting Year</t>
  </si>
  <si>
    <t>Scope 1 Total (tCO₂e)</t>
  </si>
  <si>
    <t>[Target or benchmark]</t>
  </si>
  <si>
    <t>Scope 2 Location-Based (tCO₂e)</t>
  </si>
  <si>
    <t>Scope 2 Market-Based (tCO₂e)</t>
  </si>
  <si>
    <t>Scope 3 Total (tCO₂e)</t>
  </si>
  <si>
    <t>TOTAL (S1+S2MB+S3) (tCO₂e)</t>
  </si>
  <si>
    <t>Carbon Intensity — Revenue (tCO₂e/$M)</t>
  </si>
  <si>
    <t>Carbon Intensity — Employee (tCO₂e/FTE)</t>
  </si>
  <si>
    <t>Renewable Energy % of Electricity</t>
  </si>
  <si>
    <t>REDUCTION TARGETS — Enter company-stated targets for chart overlay</t>
  </si>
  <si>
    <t>Target Year</t>
  </si>
  <si>
    <t>Baseline Year</t>
  </si>
  <si>
    <t>Baseline Value (tCO₂e)</t>
  </si>
  <si>
    <t>% Reduction Required</t>
  </si>
  <si>
    <t>Target Value (tCO₂e)</t>
  </si>
  <si>
    <t>Annual reductions</t>
  </si>
  <si>
    <t>Target Type</t>
  </si>
  <si>
    <t xml:space="preserve">Socpe 1 and 2 - 27.5% Reduction </t>
  </si>
  <si>
    <t>Target scope 1+2</t>
  </si>
  <si>
    <t>Sustainability Report 2023</t>
  </si>
  <si>
    <t>Scope 3 Reduction Target</t>
  </si>
  <si>
    <t>Target scope 3</t>
  </si>
  <si>
    <t>Emission Trajectory Chart</t>
  </si>
  <si>
    <t>Enter your data in the yellow input cells below  ·  The chart updates automatically  ·  GHG Protocol Framework</t>
  </si>
  <si>
    <t xml:space="preserve">  📥  INPUT TABLE  —  Type your values in the  YELLOW  cells  (tCO₂e or MtCO₂e — be consistent)</t>
  </si>
  <si>
    <t>🟡 Yellow = enter your data</t>
  </si>
  <si>
    <t>🔵 Blue = auto-calculated formula</t>
  </si>
  <si>
    <t>Growth assumed</t>
  </si>
  <si>
    <t>CAGR</t>
  </si>
  <si>
    <t>Report based info previous year</t>
  </si>
  <si>
    <t>Category / Year →</t>
  </si>
  <si>
    <t>Business as usual</t>
  </si>
  <si>
    <t xml:space="preserve">  📊  SCOPE BREAKDOWN INPUT  —  Decompose your Residual Emissions by Scope  (mtCO2e)  Prediction with CAGR: =(FY2024/FY2020)^(1/4)-1  →  then each year = previous_year × (1+CAGR)</t>
  </si>
  <si>
    <t>Scope / Year →</t>
  </si>
  <si>
    <t>🌿  Scope 1 — Direct Emissions</t>
  </si>
  <si>
    <t>⚡  Scope 2 — Purchased Energy (location based)</t>
  </si>
  <si>
    <t>⚡  Scope 2 — Purchased Energy (market based)</t>
  </si>
  <si>
    <t>Subtotal (Scope 1 + 2 Market-based)</t>
  </si>
  <si>
    <t>🔗  Scope 3 — Value Chain</t>
  </si>
  <si>
    <t>📊  TOTAL  (S1+S2+S3)</t>
  </si>
  <si>
    <t xml:space="preserve">  🏁  MILESTONES  —  Label key points on your pathway  (shown as annotations on chart)</t>
  </si>
  <si>
    <t>Label / Commitment</t>
  </si>
  <si>
    <t>Net-Zero Commitment</t>
  </si>
  <si>
    <t>Near-Term SBTi (Scope 1+2)</t>
  </si>
  <si>
    <t>[Enter milestone year]</t>
  </si>
  <si>
    <t>[Enter note]</t>
  </si>
  <si>
    <t xml:space="preserve">  📈  NET ZERO PATHWAY CHART  —  Auto-generated from your inputs above</t>
  </si>
  <si>
    <t>Note: Trajectory slope can change depend on company pace, new technologies and strategic actions</t>
  </si>
  <si>
    <t xml:space="preserve">  📊  SCOPE 1 / 2 / 3 BREAKDOWN CHART  — build</t>
  </si>
  <si>
    <t xml:space="preserve"> METHODOLOGY DOCUMENTATION (ASSUMPTIONS LOG)</t>
  </si>
  <si>
    <t>Document EVERY emission factor, boundary decision, and methodology choice here. This becomes your report's Methodology section.</t>
  </si>
  <si>
    <t>EMISSION FACTOR LOG — Document every factor used in your calculations</t>
  </si>
  <si>
    <t>Scope / Category</t>
  </si>
  <si>
    <t>Fuel/Energy Type</t>
  </si>
  <si>
    <t>EF Value Used</t>
  </si>
  <si>
    <t>EF Unit</t>
  </si>
  <si>
    <t>Year of EF</t>
  </si>
  <si>
    <t>Rationale / Notes</t>
  </si>
  <si>
    <t>Scope 1 — Stationary</t>
  </si>
  <si>
    <t>53.06 kgCO₂/MMBtu</t>
  </si>
  <si>
    <t>kgCO₂/MMBtu</t>
  </si>
  <si>
    <t>EPA CCCL 2023</t>
  </si>
  <si>
    <t>2023</t>
  </si>
  <si>
    <t>Used EPA Table 1 national average. Update if company uses a regional specific factor.</t>
  </si>
  <si>
    <t>Diesel Fuel</t>
  </si>
  <si>
    <t>2.698 kgCO₂/litre</t>
  </si>
  <si>
    <t>kgCO₂/litre</t>
  </si>
  <si>
    <t>Converted from gallon-based factor. Verify unit consistency with fuel bills.</t>
  </si>
  <si>
    <t>Scope 1 — Mobile</t>
  </si>
  <si>
    <t>Gasoline (fleet)</t>
  </si>
  <si>
    <t>2.312 kgCO₂/litre</t>
  </si>
  <si>
    <t>DEFRA UK government conversion factors — appropriate for global use.</t>
  </si>
  <si>
    <t>Scope 1 — Fugitive</t>
  </si>
  <si>
    <t>HFC-134a</t>
  </si>
  <si>
    <t>1526 kgCO₂e/kg</t>
  </si>
  <si>
    <t>kgCO₂e/kg</t>
  </si>
  <si>
    <t>IPCC AR6 2021</t>
  </si>
  <si>
    <t>2021</t>
  </si>
  <si>
    <t>GWP from IPCC AR6. Quantity from maintenance records or refrigerant purchase data.</t>
  </si>
  <si>
    <t>Scope 2 — Electricity</t>
  </si>
  <si>
    <t>Grid EF — [specify region]</t>
  </si>
  <si>
    <t>[Enter value] kgCO₂e/MWh</t>
  </si>
  <si>
    <t>kgCO₂e/MWh</t>
  </si>
  <si>
    <t>[Enter source — IEA/EPA/DEFRA]</t>
  </si>
  <si>
    <t>[Enter year]</t>
  </si>
  <si>
    <t>[Enter rationale for choosing this regional factor]</t>
  </si>
  <si>
    <t>Scope 2 — Market-Based</t>
  </si>
  <si>
    <t>Supplier/Residual EF</t>
  </si>
  <si>
    <t>[Explain if company holds RECs, PPAs, or uses utility supplier factor]</t>
  </si>
  <si>
    <t>Scope 3 — Cat 1</t>
  </si>
  <si>
    <t>EEIO Factor — [spend category]</t>
  </si>
  <si>
    <t>[Enter value] kgCO₂e/$</t>
  </si>
  <si>
    <t>kgCO₂e/USD</t>
  </si>
  <si>
    <t>2022</t>
  </si>
  <si>
    <t>Spend-based method used due to lack of primary supplier data. Uncertainty range ±30-50%.</t>
  </si>
  <si>
    <t>Scope 3 — Cat 3</t>
  </si>
  <si>
    <t>T&amp;D Loss Factor — Electricity</t>
  </si>
  <si>
    <t>5% loss factor</t>
  </si>
  <si>
    <t>IEA / Local utility</t>
  </si>
  <si>
    <t>Applied to total purchased electricity to estimate upstream T&amp;D emissions.</t>
  </si>
  <si>
    <t>Scope 3 — Cat 6</t>
  </si>
  <si>
    <t>Business Travel — Air EF</t>
  </si>
  <si>
    <t>0.255 kgCO₂e/km (short haul)</t>
  </si>
  <si>
    <t>kgCO₂e/km</t>
  </si>
  <si>
    <t>Economy class assumed unless company travel data specifies class breakdown.</t>
  </si>
  <si>
    <t>[Enter]</t>
  </si>
  <si>
    <t>BOUNDARY &amp; METHODOLOGY DECISIONS</t>
  </si>
  <si>
    <t>Decision Area</t>
  </si>
  <si>
    <t>Your Choice</t>
  </si>
  <si>
    <t>Organizational boundary method</t>
  </si>
  <si>
    <t>[Which part of the company are included in the inventory: Operational Control / Equity Share / Financial Control]</t>
  </si>
  <si>
    <t>Geographic boundary</t>
  </si>
  <si>
    <t>[Global / EMEA / Americas / specify]. It prevents mixing unrelated regions and ensures the correct electricity factors, fuel types, and supply‑chain assumptions.</t>
  </si>
  <si>
    <t>Scope 2 accounting method primary</t>
  </si>
  <si>
    <t>[Market-Based]. Companies must report electricity emissions in two ways:
- Location‑based → Grid average
- Market‑based → Supplier‑specific, RECs, PPAs, green tariff. Distinguish actual procurement choices from physical grid emissions.</t>
  </si>
  <si>
    <t>GWP version used</t>
  </si>
  <si>
    <t>[AR6 2021 / AR5 2014 / AR4 2007] Which one.</t>
  </si>
  <si>
    <t>Scope 3 categories selected</t>
  </si>
  <si>
    <t>[List cat numbers included: e.g. 1, 3, 6] You must disclose which categories are included so stakeholders understand coverage and gaps.</t>
  </si>
  <si>
    <t>Estimation method for gaps</t>
  </si>
  <si>
    <t>[Spend-based / Industry average / Linear interpolation]</t>
  </si>
  <si>
    <t>Base year</t>
  </si>
  <si>
    <t>[e.g. 2019 — pre-COVID baseline]</t>
  </si>
  <si>
    <t>Emission Factors for Greenhouse Gas Inventories</t>
  </si>
  <si>
    <t>Last Modified: January 15, 2025</t>
  </si>
  <si>
    <t>Blue text indicates an update from the 2024 version of this document.</t>
  </si>
  <si>
    <t xml:space="preserve">Typically, greenhouse gas emissions are reported in units of carbon dioxide equivalent (CO2e). Gases are converted to CO2e by multiplying by their global warming potential (GWP). In most cases, the emission factors listed in this document generally have not been converted to CO2e.  To do so, multiply the emissions by the corresponding GWP listed in the table below.  </t>
  </si>
  <si>
    <t>100-Year GWP</t>
  </si>
  <si>
    <t>CH4</t>
  </si>
  <si>
    <t>N2O</t>
  </si>
  <si>
    <t xml:space="preserve">Source: Intergovernmental Panel on Climate Change (IPCC), 
Fifth Assessment Report (AR5), 2013. 
See the source note to Table 11 for further explanation. </t>
  </si>
  <si>
    <t>Table 1</t>
  </si>
  <si>
    <t xml:space="preserve">   Stationary Combustion</t>
  </si>
  <si>
    <t>Heat Content (HHV)</t>
  </si>
  <si>
    <t>CO2 Factor</t>
  </si>
  <si>
    <t>CH4 Factor</t>
  </si>
  <si>
    <t>N2O Factor</t>
  </si>
  <si>
    <t>mmBtu per short ton</t>
  </si>
  <si>
    <t>kg CO2 per mmBtu</t>
  </si>
  <si>
    <t>g CH4 per mmBtu</t>
  </si>
  <si>
    <t>g N2O per mmBtu</t>
  </si>
  <si>
    <t>kg CO2 per short ton</t>
  </si>
  <si>
    <t>g CH4 per short ton</t>
  </si>
  <si>
    <t>g N2O per short ton</t>
  </si>
  <si>
    <t>Coal and Coke</t>
  </si>
  <si>
    <t>Anthracite</t>
  </si>
  <si>
    <t>Bituminous</t>
  </si>
  <si>
    <t>Sub-bituminous</t>
  </si>
  <si>
    <t>Lignite</t>
  </si>
  <si>
    <t>Mixed (Commercial Sector)</t>
  </si>
  <si>
    <t>Mixed (Electric Power Sector)</t>
  </si>
  <si>
    <t>Mixed (Industrial Coking)</t>
  </si>
  <si>
    <t>Mixed (Industrial Sector)</t>
  </si>
  <si>
    <t>Coal Coke</t>
  </si>
  <si>
    <t>Other Fuels - Solid</t>
  </si>
  <si>
    <t>Petroleum Coke (Solid)</t>
  </si>
  <si>
    <t>Plastics</t>
  </si>
  <si>
    <t>Tires</t>
  </si>
  <si>
    <t>Biomass Fuels - Solid</t>
  </si>
  <si>
    <t>Agricultural Byproducts</t>
  </si>
  <si>
    <t>Peat</t>
  </si>
  <si>
    <t>Solid Byproducts</t>
  </si>
  <si>
    <t>Wood and Wood Residuals</t>
  </si>
  <si>
    <t>mmBtu per scf</t>
  </si>
  <si>
    <t>kg CO2 per scf</t>
  </si>
  <si>
    <t>g CH4 per scf</t>
  </si>
  <si>
    <t>g N2O per scf</t>
  </si>
  <si>
    <t>Other Fuels - Gaseous</t>
  </si>
  <si>
    <t>Blast Furnace Gas</t>
  </si>
  <si>
    <t>Coke Oven Gas</t>
  </si>
  <si>
    <t>Fuel Gas</t>
  </si>
  <si>
    <t>Propane Gas</t>
  </si>
  <si>
    <t>Biomass Fuels - Gaseous</t>
  </si>
  <si>
    <t>Landfill Gas</t>
  </si>
  <si>
    <t>Other Biomass Gases</t>
  </si>
  <si>
    <t>mmBtu per gallon</t>
  </si>
  <si>
    <t>kg CO2 per gallon</t>
  </si>
  <si>
    <t>g CH4 per gallon</t>
  </si>
  <si>
    <t>g N2O per gallon</t>
  </si>
  <si>
    <t>Petroleum Products</t>
  </si>
  <si>
    <t>Asphalt and Road Oil</t>
  </si>
  <si>
    <t>Aviation Gasoline</t>
  </si>
  <si>
    <t>Butane</t>
  </si>
  <si>
    <t>Butylene</t>
  </si>
  <si>
    <t>Crude Oil</t>
  </si>
  <si>
    <t>Distillate Fuel Oil No. 1</t>
  </si>
  <si>
    <t>Distillate Fuel Oil No. 2</t>
  </si>
  <si>
    <t>Distillate Fuel Oil No. 4</t>
  </si>
  <si>
    <t>Ethane</t>
  </si>
  <si>
    <t>Ethylene</t>
  </si>
  <si>
    <t>Heavy Gas Oils</t>
  </si>
  <si>
    <t>Isobutane</t>
  </si>
  <si>
    <t>Isobutylene</t>
  </si>
  <si>
    <t>Kerosene</t>
  </si>
  <si>
    <t>Kerosene-Type Jet Fuel</t>
  </si>
  <si>
    <t>Liquefied Petroleum Gases (LPG)</t>
  </si>
  <si>
    <t>Lubricants</t>
  </si>
  <si>
    <t>Motor Gasoline</t>
  </si>
  <si>
    <t>Naphtha (&lt;401 deg F)</t>
  </si>
  <si>
    <t>Natural Gasoline</t>
  </si>
  <si>
    <t>Other Oil (&gt;401 deg F)</t>
  </si>
  <si>
    <t>Pentanes Plus</t>
  </si>
  <si>
    <t>Petrochemical Feedstocks</t>
  </si>
  <si>
    <t>Propylene</t>
  </si>
  <si>
    <t>Residual Fuel Oil No. 5</t>
  </si>
  <si>
    <t>Residual Fuel Oil No. 6</t>
  </si>
  <si>
    <t>Special Naphtha</t>
  </si>
  <si>
    <t>Unfinished Oils</t>
  </si>
  <si>
    <t>Used Oil</t>
  </si>
  <si>
    <t>Biomass Fuels - Liquid</t>
  </si>
  <si>
    <t>Biodiesel (100%)</t>
  </si>
  <si>
    <t>Ethanol (100%)</t>
  </si>
  <si>
    <t>Rendered Animal Fat</t>
  </si>
  <si>
    <t>Vegetable Oil</t>
  </si>
  <si>
    <t>Biomass Fuels - 
Kraft Pulping Liquor, by Wood Furnish</t>
  </si>
  <si>
    <t>North American Softwood</t>
  </si>
  <si>
    <t>North American Hardwood</t>
  </si>
  <si>
    <t>Bagasse</t>
  </si>
  <si>
    <t>Bamboo</t>
  </si>
  <si>
    <t>Straw</t>
  </si>
  <si>
    <t>Source:</t>
  </si>
  <si>
    <t xml:space="preserve">Federal Register EPA; 40 CFR Part 98; e-CFR, (see link below). Table C-1 and Table C-2 (78 FR 71950, Nov. 29, 2013, as amended at 81 FR 89252, Dec. 9, 2016), Table AA-1 (78 FR 71965, Nov. 29, 2013).  </t>
  </si>
  <si>
    <t>https://www.ecfr.gov/current/title-40/chapter-I/subchapter-C/part-98</t>
  </si>
  <si>
    <t xml:space="preserve">Notes: </t>
  </si>
  <si>
    <t>Emission factors are per unit of heat content using higher heating values (HHV). If heat content is available from the fuel supplier, it is preferable to use that value. If not, default heat contents are provided.</t>
  </si>
  <si>
    <t xml:space="preserve">All CO2 emission factors assume that 100 percent of the carbon content of the fuel is oxidized to CO2, as is recommended by the Intergovernmental Panel on Climate Change (IPCC). </t>
  </si>
  <si>
    <t>The CH4 and N2O emission factors provided represent emissions in terms of fuel type and by end-use sector (i.e., residential, commercial, industrial, electricity generation).</t>
  </si>
  <si>
    <t>Please see the Center for Corporate Climate Leadership's guidance document on Direct Emissions from Stationary Combustion Sources for guidance on how to include biomass fuels in an organization's greenhouse gas inventory.</t>
  </si>
  <si>
    <t>https://www.epa.gov/sites/default/files/2020-12/documents/stationaryemissions.pdf</t>
  </si>
  <si>
    <t>The factors represented in the table above represent combustion emissions only and do not represent upstream emissions.</t>
  </si>
  <si>
    <t>Table 2</t>
  </si>
  <si>
    <t xml:space="preserve">   Mobile Combustion CO2</t>
  </si>
  <si>
    <t>kg CO2 per unit</t>
  </si>
  <si>
    <t>gallon</t>
  </si>
  <si>
    <t>scf</t>
  </si>
  <si>
    <t>Residual Fuel Oil</t>
  </si>
  <si>
    <t>Federal Register EPA; 40 CFR Part 98; e-CFR, (see link below). Table C-1 (78 FR 71950, Nov. 29, 2013, as amended at 81 FR 89252, Dec. 9, 2016)</t>
  </si>
  <si>
    <t>LNG: The factor was developed based on the CO2 factor (kg CO2 per mmBtu) for Natural Gas from Table 1 and the higher heating value (HHV) LNG fuel density factor (btu/gallon) from the R&amp;D GREET1 2024 Model, Argonne National Laboratory published January 10, 2025 
(Fuel_Specs worksheet).</t>
  </si>
  <si>
    <t>More information on GREET can be found here: https://greet.anl.gov/</t>
  </si>
  <si>
    <t>The factors represented in the table above represent combustion emissions only (tank-to-wheel) and do not represent upstream emissions or well-to-wheel emissions.</t>
  </si>
  <si>
    <t>Table 3</t>
  </si>
  <si>
    <t xml:space="preserve">   Mobile Combustion CH4 and N2O for On-Road Gasoline Vehicles</t>
  </si>
  <si>
    <t>Vehicle Type</t>
  </si>
  <si>
    <t>Model Year</t>
  </si>
  <si>
    <t>CH4 Factor 
(g CH4 / vehicle-mile)</t>
  </si>
  <si>
    <t>N2O Factor 
(g N2O / vehicle-mile)</t>
  </si>
  <si>
    <t>Gasoline Passenger Cars</t>
  </si>
  <si>
    <t>1973-1974</t>
  </si>
  <si>
    <t>1976-1977</t>
  </si>
  <si>
    <t>1978-1979</t>
  </si>
  <si>
    <t>1984-1993</t>
  </si>
  <si>
    <t>Gasoline Light-Duty Trucks</t>
  </si>
  <si>
    <t>(Vans, Pickup Trucks, SUVs)</t>
  </si>
  <si>
    <t>1977-1978</t>
  </si>
  <si>
    <t>1979-1980</t>
  </si>
  <si>
    <t>1987-1993</t>
  </si>
  <si>
    <t>Gasoline Heavy-Duty Vehicles</t>
  </si>
  <si>
    <t xml:space="preserve"> ≤1980</t>
  </si>
  <si>
    <t>1981-1984</t>
  </si>
  <si>
    <t>1985-1986</t>
  </si>
  <si>
    <t>1988-1989</t>
  </si>
  <si>
    <t>1990-1995</t>
  </si>
  <si>
    <t>Gasoline Motorcycles</t>
  </si>
  <si>
    <t xml:space="preserve"> 1960-1995 </t>
  </si>
  <si>
    <t xml:space="preserve"> 1996-2005</t>
  </si>
  <si>
    <t xml:space="preserve"> 2006-2022</t>
  </si>
  <si>
    <t>Source: EPA (2024) Inventory of U.S. Greenhouse Gas Emissions and Sinks: 1990-2022 (Annexes). All values are calculated from Tables A-79 through A-83.</t>
  </si>
  <si>
    <t>https://www.epa.gov/ghgemissions/inventory-us-greenhouse-gas-emissions-and-sinks</t>
  </si>
  <si>
    <t>Notes: 
The factors represented in the table above represent combustion emissions only (tank-to-wheel) and do not represent upstream emissions or well-to-wheel emissions.</t>
  </si>
  <si>
    <t>Table 4</t>
  </si>
  <si>
    <t xml:space="preserve">    Mobile Combustion CH4 and N2O for On-Road Diesel and Alternative Fuel Vehicles</t>
  </si>
  <si>
    <t>Passenger Cars</t>
  </si>
  <si>
    <t>Diesel</t>
  </si>
  <si>
    <t>1960-1982</t>
  </si>
  <si>
    <t>1983-2006</t>
  </si>
  <si>
    <t>2007-2022</t>
  </si>
  <si>
    <t>Light-Duty Trucks</t>
  </si>
  <si>
    <t>Medium- and Heavy-Duty Vehicles</t>
  </si>
  <si>
    <t>1960-2006</t>
  </si>
  <si>
    <t>Light-Duty Cars</t>
  </si>
  <si>
    <t>Methanol</t>
  </si>
  <si>
    <t>Ethanol</t>
  </si>
  <si>
    <t>CNG</t>
  </si>
  <si>
    <t>Biodiesel</t>
  </si>
  <si>
    <t>LNG</t>
  </si>
  <si>
    <t>Medium-Duty Trucks</t>
  </si>
  <si>
    <t>Heavy-Duty Trucks</t>
  </si>
  <si>
    <t>Buses</t>
  </si>
  <si>
    <t>Source: EPA (2024) Inventory of U.S. Greenhouse Gas Emissions and Sinks: 1990-2022 (Annexes). All values are calculated from Tables A-84 through A-85.</t>
  </si>
  <si>
    <t>Table 5</t>
  </si>
  <si>
    <t xml:space="preserve">    Mobile Combustion CH4 and N2O for Non-Road Vehicles</t>
  </si>
  <si>
    <t xml:space="preserve">CH4 Factor 
(g CH4 / gallon) </t>
  </si>
  <si>
    <t xml:space="preserve">N2O Factor 
(g N2O / gallon) </t>
  </si>
  <si>
    <t>Ships and Boats</t>
  </si>
  <si>
    <t>Gasoline (2 stroke)</t>
  </si>
  <si>
    <t>Gasoline (4 stroke)</t>
  </si>
  <si>
    <t>Locomotives</t>
  </si>
  <si>
    <t>Aircraft</t>
  </si>
  <si>
    <t>Jet Fuel</t>
  </si>
  <si>
    <t>Agricultural EquipmentA</t>
  </si>
  <si>
    <t>Gasoline Off-Road Trucks</t>
  </si>
  <si>
    <t>Diesel Equipment</t>
  </si>
  <si>
    <t>Diesel Off-Road Trucks</t>
  </si>
  <si>
    <t>Construction/Mining EquipmentB</t>
  </si>
  <si>
    <t>Lawn and Garden Equipment</t>
  </si>
  <si>
    <t>Airport Equipment</t>
  </si>
  <si>
    <t>Gasoline</t>
  </si>
  <si>
    <t>Industrial/Commercial Equipment</t>
  </si>
  <si>
    <t>Logging Equipment</t>
  </si>
  <si>
    <t>Railroad Equipment</t>
  </si>
  <si>
    <t>Recreational Equipment</t>
  </si>
  <si>
    <t>Source: EPA (2024) Inventory of U.S. Greenhouse Gas Emissions and Sinks: 1990-2022 (Annexes). All values are calculated from Tables A-86 and A-87.</t>
  </si>
  <si>
    <t xml:space="preserve">Notes: 
The factors represented in the table above represent combustion emissions only (tank-to-wheel) and do not represent upstream emissions or well-to-wheel emissions.
A Includes equipment, such as tractors and combines, as well as fuel consumption from trucks that are used off-road in agriculture.   
B Includes equipment, such as cranes, dumpers, and excavators, as well as fuel consumption from trucks that are used off-road in construction. </t>
  </si>
  <si>
    <t>Table 6</t>
  </si>
  <si>
    <t xml:space="preserve">   Electricity</t>
  </si>
  <si>
    <t>Total Output Emission Factors</t>
  </si>
  <si>
    <t>Non-Baseload Emission Factors</t>
  </si>
  <si>
    <t>eGRID Subregion Acronym</t>
  </si>
  <si>
    <t>eGRID Subregion Name</t>
  </si>
  <si>
    <t>Grid Gross Loss (%)</t>
  </si>
  <si>
    <t>(lb CO2 / MWh)</t>
  </si>
  <si>
    <t>(lb CH4 / MWh)</t>
  </si>
  <si>
    <t>(lb N2O / MWh)</t>
  </si>
  <si>
    <t>AKGD</t>
  </si>
  <si>
    <t>ASCC Alaska Grid</t>
  </si>
  <si>
    <t>AKMS</t>
  </si>
  <si>
    <t>ASCC Miscellaneous</t>
  </si>
  <si>
    <t>AZNM</t>
  </si>
  <si>
    <t>WECC Southwest</t>
  </si>
  <si>
    <t>CAMX</t>
  </si>
  <si>
    <t>WECC California</t>
  </si>
  <si>
    <t>ERCT</t>
  </si>
  <si>
    <t>ERCOT All</t>
  </si>
  <si>
    <t>FRCC</t>
  </si>
  <si>
    <t>FRCC All</t>
  </si>
  <si>
    <t>HIMS</t>
  </si>
  <si>
    <t>HICC Miscellaneous</t>
  </si>
  <si>
    <t>HIOA</t>
  </si>
  <si>
    <t>HICC Oahu</t>
  </si>
  <si>
    <t>MROE</t>
  </si>
  <si>
    <t>MRO East</t>
  </si>
  <si>
    <t>MROW</t>
  </si>
  <si>
    <t>MRO West</t>
  </si>
  <si>
    <t>NEWE</t>
  </si>
  <si>
    <t>NPCC New England</t>
  </si>
  <si>
    <t>NWPP</t>
  </si>
  <si>
    <t>WECC Northwest</t>
  </si>
  <si>
    <t>NYCW</t>
  </si>
  <si>
    <t>NPCC NYC/Westchester</t>
  </si>
  <si>
    <t>NYLI</t>
  </si>
  <si>
    <t>NPCC Long Island</t>
  </si>
  <si>
    <t>NYUP</t>
  </si>
  <si>
    <t>NPCC Upstate NY</t>
  </si>
  <si>
    <t>PRMS</t>
  </si>
  <si>
    <t>Puerto Rico Miscellaneous</t>
  </si>
  <si>
    <t>RFCE</t>
  </si>
  <si>
    <t>RFC East</t>
  </si>
  <si>
    <t>RFCM</t>
  </si>
  <si>
    <t>RFC Michigan</t>
  </si>
  <si>
    <t>RFCW</t>
  </si>
  <si>
    <t>RFC West</t>
  </si>
  <si>
    <t>RMPA</t>
  </si>
  <si>
    <t>WECC Rockies</t>
  </si>
  <si>
    <t>SPNO</t>
  </si>
  <si>
    <t>SPP North</t>
  </si>
  <si>
    <t>SPSO</t>
  </si>
  <si>
    <t>SPP South</t>
  </si>
  <si>
    <t>SRMV</t>
  </si>
  <si>
    <t>SERC Mississippi Valley</t>
  </si>
  <si>
    <t>SRMW</t>
  </si>
  <si>
    <t>SERC Midwest</t>
  </si>
  <si>
    <t>SRSO</t>
  </si>
  <si>
    <t>SERC South</t>
  </si>
  <si>
    <t>SRTV</t>
  </si>
  <si>
    <t>SERC Tennessee Valley</t>
  </si>
  <si>
    <t>SRVC</t>
  </si>
  <si>
    <t>SERC Virginia/Carolina</t>
  </si>
  <si>
    <t>Source: EPA eGRID2023, January 2025 (Summary Tables - Table 1. Subregion Output Emission Rates)</t>
  </si>
  <si>
    <t>https://www.epa.gov/system/files/documents/2025-01/egrid2023_summary_tables.xlsx</t>
  </si>
  <si>
    <t>Notes:</t>
  </si>
  <si>
    <t xml:space="preserve">Total output emission factors can be used as default factors for estimating GHG emissions from electricity use when developing a carbon footprint or emissions inventory. </t>
  </si>
  <si>
    <t xml:space="preserve">Annual non-baseload output emission factors should not be used when developing a carbon footprint or emissions inventory, but can be used to estimate GHG emissions reductions on the grid from changes in electricity use. </t>
  </si>
  <si>
    <t>Grid gross loss % factors provide the Transmission &amp; Distribution loss rates for electricity only, and should not be applied to scope 2 emissions for an end-user. They can assist in calculating one component of Scope 3 Category 3 Fuel- and Energy-Related Activities emissions, Activity C.</t>
  </si>
  <si>
    <t>For technical information, reference the EPA's eGRID Technical Guide</t>
  </si>
  <si>
    <t>https://www.epa.gov/system/files/documents/2025-01/egrid2023_technical_guide.pdf</t>
  </si>
  <si>
    <t>Table 7</t>
  </si>
  <si>
    <t>Steam and Heat</t>
  </si>
  <si>
    <t xml:space="preserve">Emission factors are per mmBtu of steam or heat purchased. These factors assume natural gas fuel is used to generate steam or heat at 80 percent thermal efficiency.  </t>
  </si>
  <si>
    <t>Scope 3 Emission Factors</t>
  </si>
  <si>
    <t>Scope 3 emission factors provided below are aligned with the Greenhouse Gas Protocol Technical Guidance for Calculating Scope 3 Emissions, version 1.0 (Scope 3 Calculation Guidance). Where applicable, the specific calculation method is referenced. Refer to the Scope 3 Calculation Guidance for more information:</t>
  </si>
  <si>
    <t>http://www.ghgprotocol.org/scope-3-technical-calculation-guidance</t>
  </si>
  <si>
    <t>Table 8</t>
  </si>
  <si>
    <t xml:space="preserve">   Scope 3 Category 4: Upstream Transportation and Distribution and Category 9: Downstream Transportation and Distribution</t>
  </si>
  <si>
    <t xml:space="preserve">These factors are intended for use in the distance-based method defined in the Scope 3 Calculation Guidance. If fuel data are available, then the fuel-based method should be used, with factors from Tables 2 through 5. </t>
  </si>
  <si>
    <t>CO2 Factor 
(kg CO2 / unit)</t>
  </si>
  <si>
    <t>CH4 Factor 
(g CH4 / unit)</t>
  </si>
  <si>
    <t>N2O Factor 
(g N2O / unit)</t>
  </si>
  <si>
    <t>Units</t>
  </si>
  <si>
    <t>Medium- and Heavy-Duty Truck</t>
  </si>
  <si>
    <t>vehicle-mile</t>
  </si>
  <si>
    <t>Passenger Car A</t>
  </si>
  <si>
    <t>Light-Duty Truck B</t>
  </si>
  <si>
    <t>Medium- and Heavy-Duty TruckC</t>
  </si>
  <si>
    <t>short ton-mile</t>
  </si>
  <si>
    <t>Rail</t>
  </si>
  <si>
    <t>Waterborne Craft</t>
  </si>
  <si>
    <t>Source: 
CO2, CH4, and N2O emissions data for on-road vehicles are from Table 2-13 of the EPA (2024) Inventory of U.S. Greenhouse Gas Emissions and Sinks: 1990-2022.
Vehicle-miles data for on-road vehicles are from Tables A-71 - A-73 of the EPA (2024) Inventory of U.S. Greenhouse Gas Emissions and Sinks: 1990–2022 (Annexes).  
CO2e emissions data for non-road vehicles are based on Table A-93 of the EPA (2024) Inventory of U.S. Greenhouse Gas Emissions and Sinks: 1990-2022 (Annexes), which are distributed into CO2, CH4, and N2O emissions based on fuel/vehicle emission factors.
Freight ton-mile data are from Table 1-50 of the Bureau of Transportation Statistics, National Transportation Statistics (2024): 2022 data.</t>
  </si>
  <si>
    <t>Notes: 
Vehicle-mile factors are appropriate to use when the entire vehicle is dedicated to transporting the reporting company's product. Ton-mile factors are appropriate when the vehicle is shared with products from other companies.
The factors represented in the table above represent combustion emissions only (tank-to-wheel) and do not represent upstream emissions or well-to-wheel emissions.
A Passenger cars are automobiles used primarily to transport 12 people or less for personal travel, and are less than 8,500 lbs in gross vehicle weight.
B Light-duty trucks are vehicles that primarily transport passengers such as sport utility vehicles (SUVs) and minivans. This category also includes vehicles used for transporting light-weight cargo which are equipped with special features such as four-wheel drive for off-road operation. The gross vehicle weight normally ranges around 8,500 pounds or less. 
C Medium- and heavy-duty trucks are vehicles with a gross vehicle weight of more than around 8,500 pounds, such as single unit trucks, combination trucks, tractor-trailers, and box trucks used for freight transportation. In addition, this category includes some vehicles that are not typically used for freight movement such as service and utility trucks.</t>
  </si>
  <si>
    <t>Table 9</t>
  </si>
  <si>
    <t>Scope 3 Category 5: Waste Generated in Operations and Category 12: End-of-Life Treatment of Sold Products</t>
  </si>
  <si>
    <t>These factors are intended for use in the waste-type-specific method or the average-data method defined in the Scope 3 Calculation Guidance for category 5 and category 12. Choose the appropriate material and disposal method from the table below. For the average-data method, use one of the mixed material types, such as mixed MSW.</t>
  </si>
  <si>
    <t>Metric Tons CO2e / Short Ton Material</t>
  </si>
  <si>
    <t>Material</t>
  </si>
  <si>
    <t>RecycledA</t>
  </si>
  <si>
    <t>LandfilledB</t>
  </si>
  <si>
    <t>CombustedC</t>
  </si>
  <si>
    <t>CompostedD</t>
  </si>
  <si>
    <t>Anaerobically Digested (Dry Digestate with Curing)</t>
  </si>
  <si>
    <t>Anaerobically Digested (Wet  Digestate with Curing)</t>
  </si>
  <si>
    <t>Aluminum Cans</t>
  </si>
  <si>
    <t>NA</t>
  </si>
  <si>
    <t>Aluminum Ingot</t>
  </si>
  <si>
    <t>Steel Cans</t>
  </si>
  <si>
    <t>Copper Wire</t>
  </si>
  <si>
    <t>Glass</t>
  </si>
  <si>
    <t>HDPE</t>
  </si>
  <si>
    <t>LDPE</t>
  </si>
  <si>
    <t>PET</t>
  </si>
  <si>
    <t>LLDPE</t>
  </si>
  <si>
    <t>PP</t>
  </si>
  <si>
    <t>PS</t>
  </si>
  <si>
    <t>PVC</t>
  </si>
  <si>
    <t>PLA</t>
  </si>
  <si>
    <t>Corrugated Containers</t>
  </si>
  <si>
    <t>Magazines/Third-class mail</t>
  </si>
  <si>
    <t>Newspaper</t>
  </si>
  <si>
    <t>Office Paper</t>
  </si>
  <si>
    <t>Phonebooks</t>
  </si>
  <si>
    <t>Textbooks</t>
  </si>
  <si>
    <t>Dimensional Lumber</t>
  </si>
  <si>
    <t>Medium-density Fiberboard</t>
  </si>
  <si>
    <t>Food Waste (non-meat)</t>
  </si>
  <si>
    <t>Food Waste (meat only)</t>
  </si>
  <si>
    <t>Beef</t>
  </si>
  <si>
    <t>Poultry</t>
  </si>
  <si>
    <t>Grains</t>
  </si>
  <si>
    <t>Bread</t>
  </si>
  <si>
    <t>Fruits and Vegetables</t>
  </si>
  <si>
    <t>Dairy Products</t>
  </si>
  <si>
    <t>Yard Trimmings</t>
  </si>
  <si>
    <t>Grass</t>
  </si>
  <si>
    <t>Leaves</t>
  </si>
  <si>
    <t>Branches</t>
  </si>
  <si>
    <t>Mixed Paper (general)</t>
  </si>
  <si>
    <t>Mixed Paper (primarily residential)</t>
  </si>
  <si>
    <t>Mixed Paper (primarily from offices)</t>
  </si>
  <si>
    <t>Mixed Metals</t>
  </si>
  <si>
    <t>Mixed Plastics</t>
  </si>
  <si>
    <t>Mixed Recyclables</t>
  </si>
  <si>
    <t>Food Waste</t>
  </si>
  <si>
    <t>Mixed Organics</t>
  </si>
  <si>
    <t>Mixed MSW</t>
  </si>
  <si>
    <t>Carpet</t>
  </si>
  <si>
    <t>Desktop CPUs</t>
  </si>
  <si>
    <t>Portable Electronic Devices</t>
  </si>
  <si>
    <t>Flat-panel Displays</t>
  </si>
  <si>
    <t>CRT Displays</t>
  </si>
  <si>
    <t>Electronic Peripherals</t>
  </si>
  <si>
    <t>Hard-copy Devices</t>
  </si>
  <si>
    <t>Mixed Electronics</t>
  </si>
  <si>
    <t>Clay Bricks</t>
  </si>
  <si>
    <t>Concrete</t>
  </si>
  <si>
    <t>Fly Ash</t>
  </si>
  <si>
    <t>Asphalt Concrete</t>
  </si>
  <si>
    <t>Asphalt Shingles</t>
  </si>
  <si>
    <t>Drywall</t>
  </si>
  <si>
    <t>Fiberglass Insulation</t>
  </si>
  <si>
    <t>Structural Steel</t>
  </si>
  <si>
    <t>Vinyl Flooring</t>
  </si>
  <si>
    <t>Wood Flooring</t>
  </si>
  <si>
    <t xml:space="preserve">Source: </t>
  </si>
  <si>
    <t xml:space="preserve">U.S. Environmental Protection Agency, Office of Resource Conservation and Recovery (December 2023) Documentation for Greenhouse Gas Emission and Energy Factors used in the Waste Reduction Model (WARM). Factors from tables provided in the Management Practices Chapters and Background Chapters. </t>
  </si>
  <si>
    <t xml:space="preserve">Notes:
These factors do not include avoided emissions impact from any of the disposal methods. This exclusion is an adjustment to the life-cycle factors in the WARM tool. Thus the waste factors presented above will not directly match the factors published in the WARM tool. All the factors presented above include transportation emissions, which are optional in the Scope 3 Calculation Guidance, with an assumed average distance traveled to the processing facility.
AR4 GWP values are used to convert all waste emission factors into CO2e. 
Short ton = 2000 lbs.
A Recycling emissions do not include avoided emissions associated with process energy, transportation energy, process non-energy, or forest carbon storage. Recycling emissions include transport to recycling facility and sorting of recycled materials at material recovery facility.
B Landfilling emissions do not include avoided emissions associated with energy recovery or landfill carbon sequestration. Landfilling emissions include transport to landfill, equipment use at landfill, and landfill CH4 emissions from anaerobic decomposition of biogenic carbon compounds. Landfill CH4 is based on typical landfill gas collection practices, average landfill moisture conditions, and U.S.-average non-baseload electricity grid mix.
C Combustion emissions do not include avoided emissions associated with displaced electric utility generation or decreased energy requirements for production processes using recycled inputs. Combustion emissions include transport to waste-to-energy facility and combustion-related non-biogenic CO2 and N2O.
D Composting emissions do not include avoided emissions associated with fertilizer offset or soil carbon storage. Composting emissions include transport to compost facility, equipment use at compost facility, and CH4 and N2O emissions during composting.
E Anaerobically Digested (Dry and Wet Digestate with Curing) emissions do not include avoided emissions associated with displaced electric utility generation, soil carbon storage, or avoided fertilizer application. Anaerobically Digested (Dry and Wet Digestate with Curing) emissions include transport to the anaerobic digester facility, equipment use at the anaerobic digester facility, biogas leakage at the digester, emissions released during the curing and land application process, and fugitive emissions during the curing and after land application. </t>
  </si>
  <si>
    <t>Table 10</t>
  </si>
  <si>
    <t xml:space="preserve">Scope 3 Category 6: Business Travel and Category 7: Employee Commuting </t>
  </si>
  <si>
    <t xml:space="preserve">These factors are intended for use in the distance-based method defined in the Scope 3 Calculation Guidance.  If fuel data are available, then the fuel-based method should be used, with factors from Tables 2 through 5. </t>
  </si>
  <si>
    <t>Motorcycle</t>
  </si>
  <si>
    <t>Intercity Rail - Northeast Corridor C</t>
  </si>
  <si>
    <t>passenger-mile</t>
  </si>
  <si>
    <t>Intercity Rail - Other Routes C</t>
  </si>
  <si>
    <t>Intercity Rail - National Average C</t>
  </si>
  <si>
    <t>Commuter Rail D</t>
  </si>
  <si>
    <t>Transit Rail (i.e. Subway, Tram) E</t>
  </si>
  <si>
    <t>Bus</t>
  </si>
  <si>
    <t xml:space="preserve">Air Travel - Short Haul (&lt; 300 miles) </t>
  </si>
  <si>
    <t xml:space="preserve">Air Travel - Medium Haul (&gt;= 300 miles, &lt; 2300 miles) </t>
  </si>
  <si>
    <t xml:space="preserve">Air Travel - Long Haul (&gt;= 2300 miles) </t>
  </si>
  <si>
    <t xml:space="preserve">Source: 
CO2, CH4, and N2O emissions data for highway vehicles are from Table 2-13 of the EPA (2024) Inventory of U.S. Greenhouse Gas Emissions and Sinks: 1990–2022.  
Vehicle-miles data for on-road vehicles are from Tables A-71 - A-73 of the EPA (2024) Inventory of U.S. Greenhouse Gas Emissions and Sinks: 1990–2022 (Annexes).  
Passenger-miles data for buses are from Table VM-1 of the Federal Highway Administration Highway Statistics (2024): 2022 data.
Fuel consumption data and passenger-miles data for rail are from Tables A.14 - A.16, 10-10, and 7.3 - 7.4 of the Transportation Energy Data Book: Edition 40 (2022): 2019 data. Fuel consumption was converted to emissions by using fuel and electricity emission factors presented in the tables above. 
Intercity Rail factors from communication with Amtrak, December 2024, based on 2023 data. 
Air Travel factors from 2022 Guidelines to Defra / DECC's GHG Conversion Factors for Company Reporting. Version 2.0 June 2022. Defra air travel emission factors held constant from 2022 release (2018 activity data) to more accurately reflect the current state of business travel as the 2023 and 2024 Defra release reflects significantly reduced load factors during COVID-19. </t>
  </si>
  <si>
    <t>Notes: 
The factors represented in the table above represent combustion emissions only (tank-to-wheel) and do not represent upstream emissions or well-to-wheel emissions.
A Passenger cars are automobiles used primarily to transport 12 people or less for personal travel, and are less than 8,500 lbs in gross vehicle weight.
B Light-duty trucks are vehicles that primarily transport passengers such as sport utility vehicles (SUVs) and minivans. This category also includes vehicles used for transporting light-weight cargo which are equipped with special features such as four-wheel drive for off-road operation. The gross vehicle weight normally ranges around 8,500 pounds or less. 
C Intercity rail: Amtrak long-distance rail between major cities. Northeast Corridor extends from Boston to Washington D.C. Other Routes are all routes outside the Northeast Corridor.
D Commuter rail: rail service between a central city and adjacent suburbs (also called regional rail or suburban rail).  
E Transit rail: rail typically within an urban center, such as subways, elevated railways, metropolitan railways (metro), streetcars, trolley cars, and tramways.</t>
  </si>
  <si>
    <t>Global Warming Potential</t>
  </si>
  <si>
    <t>Table 11</t>
  </si>
  <si>
    <t xml:space="preserve">   Global Warming Potential (GWP)</t>
  </si>
  <si>
    <t>Industrial Designation or 
Common Name </t>
  </si>
  <si>
    <t>Chemical Formula </t>
  </si>
  <si>
    <t>Carbon dioxide</t>
  </si>
  <si>
    <t>CO2</t>
  </si>
  <si>
    <t>Methane</t>
  </si>
  <si>
    <t>Nitrous oxide</t>
  </si>
  <si>
    <t>HFC-23</t>
  </si>
  <si>
    <t>CHF3</t>
  </si>
  <si>
    <t>HFC-32</t>
  </si>
  <si>
    <t>CH2F2  </t>
  </si>
  <si>
    <t>HFC-41</t>
  </si>
  <si>
    <t>CH3F </t>
  </si>
  <si>
    <t>HFC-125</t>
  </si>
  <si>
    <t>CHF2CF3</t>
  </si>
  <si>
    <t>HFC-134</t>
  </si>
  <si>
    <t>CHF2CHF2</t>
  </si>
  <si>
    <t>CH2FCF3  </t>
  </si>
  <si>
    <t>HFC-143</t>
  </si>
  <si>
    <t>CH2FCHF2</t>
  </si>
  <si>
    <t>HFC-143a</t>
  </si>
  <si>
    <t>CH3CF3  </t>
  </si>
  <si>
    <t>HFC-152</t>
  </si>
  <si>
    <t>CH2FCH2F</t>
  </si>
  <si>
    <t>HFC-152a</t>
  </si>
  <si>
    <t>CH3CHF2  </t>
  </si>
  <si>
    <t>HFC-161</t>
  </si>
  <si>
    <t>CH3CH2F</t>
  </si>
  <si>
    <t>HFC-227ea</t>
  </si>
  <si>
    <t>CF3CHFCF3  </t>
  </si>
  <si>
    <t>HFC-236cb</t>
  </si>
  <si>
    <t>CH2FCF2CF3</t>
  </si>
  <si>
    <t>HFC-236ea</t>
  </si>
  <si>
    <t>CHF2CHFCF3</t>
  </si>
  <si>
    <t>HFC-236fa</t>
  </si>
  <si>
    <t>CF3CH2CF3  </t>
  </si>
  <si>
    <t>HFC-245ca</t>
  </si>
  <si>
    <t>CH2FCF2CHF2</t>
  </si>
  <si>
    <t>HFC-245fa</t>
  </si>
  <si>
    <t>CHF2CH2CF3  </t>
  </si>
  <si>
    <t>HFC-365mfc</t>
  </si>
  <si>
    <t>CH3CF2CH2CF3  </t>
  </si>
  <si>
    <t>HFC-43-10mee</t>
  </si>
  <si>
    <t>CF3CHFCHFCF2CF3  </t>
  </si>
  <si>
    <t>Sulfur hexafluoride</t>
  </si>
  <si>
    <t>SF6</t>
  </si>
  <si>
    <t>Nitrogen trifluoride</t>
  </si>
  <si>
    <t>NF3</t>
  </si>
  <si>
    <t>PFC-14</t>
  </si>
  <si>
    <t>CF4</t>
  </si>
  <si>
    <t>PFC-116</t>
  </si>
  <si>
    <t>C2F6</t>
  </si>
  <si>
    <t>PFC-218</t>
  </si>
  <si>
    <t>C3F8</t>
  </si>
  <si>
    <t>PFC-318</t>
  </si>
  <si>
    <t>c-C4F8</t>
  </si>
  <si>
    <t>PFC-31-10</t>
  </si>
  <si>
    <t>C4F10</t>
  </si>
  <si>
    <t>PFC-41-12</t>
  </si>
  <si>
    <t>C5F12</t>
  </si>
  <si>
    <t>PFC-51-14</t>
  </si>
  <si>
    <t>C6F14</t>
  </si>
  <si>
    <t>PFC-91-18</t>
  </si>
  <si>
    <t>C10F18</t>
  </si>
  <si>
    <t xml:space="preserve">Source: 
100-year GWP values from IPCC Fifth Assessment Report (AR5), 2013. Chapter 8, Table 8.A.1, Lifetimes, Radiative Efficiencies and Metric Values.
IPCC AR5 was published in 2013 and is among the most current and comprehensive peer-reviewed assessments of climate change. AR5 provides revised GWP values of several GHGs relative to the values provided in previous assessment reports, following advances in scientific knowledge on the radiative efficiencies and atmospheric lifetimes of these GHGs. </t>
  </si>
  <si>
    <t>Table 12</t>
  </si>
  <si>
    <t>Global Warming Potential (GWP) for Blended Refrigerants</t>
  </si>
  <si>
    <t>ASHRAE #</t>
  </si>
  <si>
    <t>100-year GWP</t>
  </si>
  <si>
    <t>Blend Composition</t>
  </si>
  <si>
    <t>R-401A</t>
  </si>
  <si>
    <t>53% HCFC-22 , 34% HCFC-124 , 13% HFC-152a</t>
  </si>
  <si>
    <t>R-401B</t>
  </si>
  <si>
    <t>61% HCFC-22 , 28% HCFC-124 , 11% HFC-152a</t>
  </si>
  <si>
    <t>R-401C</t>
  </si>
  <si>
    <t>33% HCFC-22 , 52% HCFC-124 , 15% HFC-152a</t>
  </si>
  <si>
    <t>R-402A</t>
  </si>
  <si>
    <t>38% HCFC-22 , 60% HFC-125 , 2% propane</t>
  </si>
  <si>
    <t>R-402B</t>
  </si>
  <si>
    <t>60% HCFC-22 , 38% HFC-125 , 2% propane</t>
  </si>
  <si>
    <t>R-403B</t>
  </si>
  <si>
    <t>56% HCFC-22 , 39% PFC-218 , 5% propane</t>
  </si>
  <si>
    <t>R-404A</t>
  </si>
  <si>
    <t>44% HFC-125 , 4% HFC-134a , 52% HFC-143a</t>
  </si>
  <si>
    <t>R-406A</t>
  </si>
  <si>
    <t>55% HCFC-22 , 41% HCFC-142b , 4% isobutane</t>
  </si>
  <si>
    <t>R-407A</t>
  </si>
  <si>
    <t>20% HFC-32 , 40% HFC-125 , 40% HFC-134a</t>
  </si>
  <si>
    <t>R-407B</t>
  </si>
  <si>
    <t>10% HFC-32 , 70% HFC-125 , 20% HFC-134a</t>
  </si>
  <si>
    <t>R-407C</t>
  </si>
  <si>
    <t>23% HFC-32 , 25% HFC-125 , 52% HFC-134a</t>
  </si>
  <si>
    <t>R-407D</t>
  </si>
  <si>
    <t>15% HFC-32 , 15% HFC-125 , 70% HFC-134a</t>
  </si>
  <si>
    <t>R-408A</t>
  </si>
  <si>
    <t>47% HCFC-22 , 7% HFC-125 , 46% HFC-143a</t>
  </si>
  <si>
    <t>R-409A</t>
  </si>
  <si>
    <t>60% HCFC-22 , 25% HCFC-124 , 15% HCFC-142b</t>
  </si>
  <si>
    <t>R-410A</t>
  </si>
  <si>
    <t>50% HFC-32 , 50% HFC-125</t>
  </si>
  <si>
    <t>R-410B</t>
  </si>
  <si>
    <t>45% HFC-32 , 55% HFC-125</t>
  </si>
  <si>
    <t>R-411A</t>
  </si>
  <si>
    <t>87.5% HCFC-22 , 11% HFC-152a , 1.5% propylene</t>
  </si>
  <si>
    <t>R-411B</t>
  </si>
  <si>
    <t>94% HCFC-22 , 3% HFC-152a , 3% propylene</t>
  </si>
  <si>
    <t>R-414A</t>
  </si>
  <si>
    <t>51% HCFC-22 , 28.5% HCFC-124 , 16.5% HCFC-142b , 4% isobutane</t>
  </si>
  <si>
    <t>R-414B</t>
  </si>
  <si>
    <t>50% HCFC-22 , 39% HCFC-124 , 9.5% HCFC-142b , 1.5% isobutane</t>
  </si>
  <si>
    <t>R-417A</t>
  </si>
  <si>
    <t>46.6% HFC-125 , 50% HFC-134a , 3.4% butane</t>
  </si>
  <si>
    <t>R-422A</t>
  </si>
  <si>
    <t>85.1% HFC-125 , 11.5% HFC-134a , 3.4% isobutane</t>
  </si>
  <si>
    <t>R-422D</t>
  </si>
  <si>
    <t>65.1% HFC-125 , 31.5% HFC-134a , 3.4% isobutane</t>
  </si>
  <si>
    <t>R-424A</t>
  </si>
  <si>
    <t>50.5% HFC-125 , 47% HFC-134a , 1% butane , 0.9% isobutane , 0.6% isopentane</t>
  </si>
  <si>
    <t>R-426A</t>
  </si>
  <si>
    <t>5.1% HFC-125 , 93% HFC-134a , 1.3% butane , 0.6% isobutane</t>
  </si>
  <si>
    <t>R-428A</t>
  </si>
  <si>
    <t>77.5% HFC-125 , 20% HFC-143a , 1.9% isobutane , 0.6% propane</t>
  </si>
  <si>
    <t>R-434A</t>
  </si>
  <si>
    <t>63.2% HFC-125 , 16% HFC-134a , 18% HFC-143a , 2.8% isobutane</t>
  </si>
  <si>
    <t>R-507A</t>
  </si>
  <si>
    <t>50% HFC-125 , 50% HFC-143a</t>
  </si>
  <si>
    <t>R-508A</t>
  </si>
  <si>
    <t>39% HFC-23 , 61% PFC-116</t>
  </si>
  <si>
    <t>R-508B</t>
  </si>
  <si>
    <t>46% HFC-23 , 54% PFC-116</t>
  </si>
  <si>
    <t>Source: 
100-year GWP values from IPCC Fifth Assessment Report (AR5), 2013. Chapter 8, Table 8.A.1, Lifetimes, Radiative Efficiencies and Metric Values.
GWP values of blended refrigerants are based only on their HFC and PFC constituents, which are based on data from https://www.epa.gov/snap/compositions-refrigerant-blends.</t>
  </si>
  <si>
    <t>GHG Emission Factors Hub | US EPA</t>
  </si>
  <si>
    <t>🌍  CARBON FOOTPRINT EXECUTIVE DASHBOARD</t>
  </si>
  <si>
    <t>GHG Protocol Framework  ·  All figures link live to Scope 1, 2, 3 &amp; Assumptions sheets</t>
  </si>
  <si>
    <t>SCOPE 1  DIRECT</t>
  </si>
  <si>
    <t>SCOPE 2  MARKET-BASED</t>
  </si>
  <si>
    <t>SCOPE 3  VALUE CHAIN</t>
  </si>
  <si>
    <t>TOTAL  S1 + S2 + S3</t>
  </si>
  <si>
    <t>Combustion · Fleet · Fugitive</t>
  </si>
  <si>
    <t>Purchased electricity (primary)</t>
  </si>
  <si>
    <t>Upstream &amp; downstream emissions</t>
  </si>
  <si>
    <t>Combined GHG inventory</t>
  </si>
  <si>
    <t xml:space="preserve">  📊  SCOPE BREAKDOWN  —  Linked live from Summary &amp; Intensity sheet</t>
  </si>
  <si>
    <t>% of Total</t>
  </si>
  <si>
    <t>Location-Based</t>
  </si>
  <si>
    <t>Mkt-Based</t>
  </si>
  <si>
    <t>Status</t>
  </si>
  <si>
    <t>Direct Emissions</t>
  </si>
  <si>
    <t>—</t>
  </si>
  <si>
    <t>🟡 Input needed</t>
  </si>
  <si>
    <t>Purchased Energy</t>
  </si>
  <si>
    <t>Value Chain Emissions</t>
  </si>
  <si>
    <t>TOTAL (S1+S2+S3)</t>
  </si>
  <si>
    <t>Combined Inventory</t>
  </si>
  <si>
    <t>✅ Calculated</t>
  </si>
  <si>
    <t xml:space="preserve">  🎯  REDUCTION TARGETS  —  Linked live from Trend Analysis sheet</t>
  </si>
  <si>
    <t>Baseline (tCO₂e)</t>
  </si>
  <si>
    <t>% Required</t>
  </si>
  <si>
    <t>Target (tCO₂e)</t>
  </si>
  <si>
    <t>Annual Reduction</t>
  </si>
  <si>
    <t>Type</t>
  </si>
  <si>
    <t xml:space="preserve">  📐  CARBON INTENSITY RATIOS  —  Linked live from Summary &amp; Intensity sheet</t>
  </si>
  <si>
    <t>Current Year</t>
  </si>
  <si>
    <t>Prior Year</t>
  </si>
  <si>
    <t>Industry Benchmark</t>
  </si>
  <si>
    <t>vs Benchmark</t>
  </si>
  <si>
    <t>tCO₂e/$M</t>
  </si>
  <si>
    <t>tCO₂e / FTE</t>
  </si>
  <si>
    <t>tCO₂e/FTE</t>
  </si>
  <si>
    <t>RECs / Total elec.</t>
  </si>
  <si>
    <t>Scope 1 Intensity</t>
  </si>
  <si>
    <t>S1 / $M revenue</t>
  </si>
  <si>
    <t>Scope 2 MB Intensity</t>
  </si>
  <si>
    <t>S2MB / $M revenue</t>
  </si>
  <si>
    <t>Scope 3 Intensity</t>
  </si>
  <si>
    <t>S3 / $M revenue</t>
  </si>
  <si>
    <t xml:space="preserve">  ⚙️  COMPANY INFORMATION  —  Linked live from Assumptions sheet</t>
  </si>
  <si>
    <t>Field</t>
  </si>
  <si>
    <t>Value</t>
  </si>
  <si>
    <t>Country of Operations</t>
  </si>
  <si>
    <t>Annual Revenue ($M)</t>
  </si>
  <si>
    <t>Required for intensity ratios</t>
  </si>
  <si>
    <t>Employees (FTE)</t>
  </si>
  <si>
    <t>All KPIs update automatically when activity data is entered in Scope 1, 2, 3 and Assumptions sheets  ·  GHG Protocol Corporate Standard</t>
  </si>
  <si>
    <t>SK 2022</t>
  </si>
  <si>
    <t>WR 2022</t>
  </si>
  <si>
    <t>SK 2021</t>
  </si>
  <si>
    <t>WR 2021</t>
  </si>
  <si>
    <t>SK 2020</t>
  </si>
  <si>
    <t>WR 2020</t>
  </si>
  <si>
    <t>SK 2019</t>
  </si>
  <si>
    <t>WR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</si>
</sst>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quot;$&quot;#,##0.00_);[Red]\(&quot;$&quot;#,##0.00\)"/>
    <numFmt numFmtId="43" formatCode="_(* #,##0.00_);_(* \(#,##0.00\);_(* &quot;-&quot;??_);_(@_)"/>
    <numFmt numFmtId="164" formatCode="#,##0.000"/>
    <numFmt numFmtId="165" formatCode="#,##0.0"/>
    <numFmt numFmtId="166" formatCode="0.000"/>
    <numFmt numFmtId="167" formatCode="0.0%"/>
    <numFmt numFmtId="168" formatCode="_(* #,##0_);_(* \(#,##0\);_(* &quot;-&quot;??_);_(@_)"/>
    <numFmt numFmtId="169" formatCode="_(* #,##0.0_);_(* \(#,##0.0\);_(* &quot;-&quot;??_);_(@_)"/>
    <numFmt numFmtId="170" formatCode="_(* #,##0.000_);_(* \(#,##0.000\);_(* &quot;-&quot;??_);_(@_)"/>
    <numFmt numFmtId="171" formatCode="0.0E+00"/>
    <numFmt numFmtId="172" formatCode="_(* #,##0.000000_);_(* \(#,##0.000000\);_(* &quot;-&quot;??_);_(@_)"/>
    <numFmt numFmtId="173" formatCode="_(* #,##0.00000_);_(* \(#,##0.00000\);_(* &quot;-&quot;??_);_(@_)"/>
    <numFmt numFmtId="174" formatCode="_(* #,##0.0000_);_(* \(#,##0.0000\);_(* &quot;-&quot;??_);_(@_)"/>
    <numFmt numFmtId="175" formatCode="0.0000"/>
    <numFmt numFmtId="176" formatCode="General_)"/>
    <numFmt numFmtId="177" formatCode="_(* #,##0_);_(* \(#,##0\);_(@_)"/>
  </numFmts>
  <fonts count="106" x14ac:knownFonts="1">
    <font>
      <sz val="11"/>
      <color theme="1"/>
      <name val="Calibri"/>
      <family val="2"/>
      <charset val="1"/>
    </font>
    <font>
      <sz val="10"/>
      <name val="Arial"/>
      <family val="2"/>
    </font>
    <font>
      <b/>
      <sz val="16"/>
      <color rgb="FFFFFFFF"/>
      <name val="Arial"/>
      <family val="2"/>
    </font>
    <font>
      <b/>
      <sz val="10"/>
      <color rgb="FFFFFFFF"/>
      <name val="Arial"/>
      <family val="2"/>
    </font>
    <font>
      <sz val="9"/>
      <color rgb="FF0F1A14"/>
      <name val="Arial"/>
      <family val="2"/>
    </font>
    <font>
      <b/>
      <sz val="9"/>
      <color rgb="FFFFFFFF"/>
      <name val="Arial"/>
      <family val="2"/>
    </font>
    <font>
      <b/>
      <sz val="10"/>
      <color rgb="FF1A3D2B"/>
      <name val="Arial"/>
      <family val="2"/>
    </font>
    <font>
      <sz val="10"/>
      <color rgb="FF0F1A14"/>
      <name val="Arial"/>
      <family val="2"/>
    </font>
    <font>
      <b/>
      <sz val="10"/>
      <color rgb="FF0000FF"/>
      <name val="Arial"/>
      <family val="2"/>
    </font>
    <font>
      <b/>
      <sz val="10"/>
      <color rgb="FF0F1A14"/>
      <name val="Arial"/>
      <family val="2"/>
    </font>
    <font>
      <b/>
      <sz val="10"/>
      <color rgb="FF007700"/>
      <name val="Arial"/>
      <family val="2"/>
    </font>
    <font>
      <b/>
      <sz val="9"/>
      <color rgb="FF1A3D2B"/>
      <name val="Arial"/>
      <family val="2"/>
    </font>
    <font>
      <i/>
      <sz val="9"/>
      <color rgb="FF0000CC"/>
      <name val="Arial"/>
      <family val="2"/>
    </font>
    <font>
      <b/>
      <sz val="14"/>
      <color rgb="FFFFFFFF"/>
      <name val="Arial"/>
      <family val="2"/>
    </font>
    <font>
      <sz val="10"/>
      <color rgb="FF0000FF"/>
      <name val="Arial"/>
      <family val="2"/>
    </font>
    <font>
      <i/>
      <sz val="8"/>
      <color rgb="FF5A6B72"/>
      <name val="Arial"/>
      <family val="2"/>
    </font>
    <font>
      <sz val="9"/>
      <color rgb="FF5A6B72"/>
      <name val="Arial"/>
      <family val="2"/>
    </font>
    <font>
      <i/>
      <sz val="9"/>
      <color rgb="FF1565C0"/>
      <name val="Arial"/>
      <family val="2"/>
    </font>
    <font>
      <b/>
      <sz val="9"/>
      <color rgb="FF0F1A14"/>
      <name val="Arial"/>
      <family val="2"/>
    </font>
    <font>
      <b/>
      <sz val="13"/>
      <color rgb="FFFFFFFF"/>
      <name val="Arial"/>
      <family val="2"/>
    </font>
    <font>
      <b/>
      <sz val="8"/>
      <color rgb="FFFFFFFF"/>
      <name val="Arial"/>
      <family val="2"/>
    </font>
    <font>
      <b/>
      <sz val="9"/>
      <color rgb="FF2E7D32"/>
      <name val="Arial"/>
      <family val="2"/>
    </font>
    <font>
      <b/>
      <sz val="9"/>
      <color rgb="FF388E3C"/>
      <name val="Arial"/>
      <family val="2"/>
    </font>
    <font>
      <sz val="8"/>
      <color rgb="FF0F1A14"/>
      <name val="Arial"/>
      <family val="2"/>
    </font>
    <font>
      <b/>
      <sz val="9"/>
      <color rgb="FF1565C0"/>
      <name val="Arial"/>
      <family val="2"/>
    </font>
    <font>
      <b/>
      <sz val="9"/>
      <color rgb="FF283593"/>
      <name val="Arial"/>
      <family val="2"/>
    </font>
    <font>
      <b/>
      <sz val="12"/>
      <color rgb="FFFFFFFF"/>
      <name val="Arial"/>
      <family val="2"/>
    </font>
    <font>
      <b/>
      <sz val="9"/>
      <color rgb="FF6A1B9A"/>
      <name val="Arial"/>
      <family val="2"/>
    </font>
    <font>
      <sz val="8"/>
      <color rgb="FF5A6B72"/>
      <name val="Arial"/>
      <family val="2"/>
    </font>
    <font>
      <b/>
      <sz val="9"/>
      <color rgb="FF7B1FA2"/>
      <name val="Arial"/>
      <family val="2"/>
    </font>
    <font>
      <b/>
      <sz val="9"/>
      <color rgb="FF4A148C"/>
      <name val="Arial"/>
      <family val="2"/>
    </font>
    <font>
      <b/>
      <sz val="11"/>
      <color rgb="FFFFFFFF"/>
      <name val="Arial"/>
      <family val="2"/>
    </font>
    <font>
      <sz val="9"/>
      <color rgb="FF0000FF"/>
      <name val="Arial"/>
      <family val="2"/>
    </font>
    <font>
      <i/>
      <sz val="10"/>
      <color rgb="FF1565C0"/>
      <name val="Arial"/>
      <family val="2"/>
    </font>
    <font>
      <sz val="9"/>
      <color rgb="FFFFFFFF"/>
      <name val="Arial"/>
      <family val="2"/>
    </font>
    <font>
      <sz val="11"/>
      <color theme="1"/>
      <name val="Calibri"/>
      <family val="2"/>
      <charset val="1"/>
    </font>
    <font>
      <sz val="9"/>
      <color theme="1"/>
      <name val="Calibri"/>
      <family val="2"/>
      <charset val="1"/>
    </font>
    <font>
      <sz val="11"/>
      <color theme="1"/>
      <name val="Calibri"/>
      <family val="2"/>
    </font>
    <font>
      <u/>
      <sz val="11"/>
      <color theme="10"/>
      <name val="Calibri"/>
      <family val="2"/>
      <charset val="1"/>
    </font>
    <font>
      <i/>
      <sz val="8"/>
      <color rgb="FF1565C0"/>
      <name val="Arial"/>
      <family val="2"/>
    </font>
    <font>
      <sz val="10"/>
      <name val="Arial"/>
      <family val="2"/>
    </font>
    <font>
      <b/>
      <sz val="16"/>
      <name val="Arial"/>
      <family val="2"/>
    </font>
    <font>
      <sz val="10"/>
      <color rgb="FFFF0000"/>
      <name val="Arial"/>
      <family val="2"/>
    </font>
    <font>
      <b/>
      <sz val="14"/>
      <color rgb="FF0070C0"/>
      <name val="Arial"/>
      <family val="2"/>
    </font>
    <font>
      <sz val="9"/>
      <name val="Arial"/>
      <family val="2"/>
    </font>
    <font>
      <b/>
      <sz val="10"/>
      <name val="Arial"/>
      <family val="2"/>
    </font>
    <font>
      <sz val="10"/>
      <color rgb="FF0070C0"/>
      <name val="Arial"/>
      <family val="2"/>
    </font>
    <font>
      <b/>
      <sz val="9"/>
      <name val="Arial"/>
      <family val="2"/>
    </font>
    <font>
      <b/>
      <sz val="12"/>
      <name val="Arial"/>
      <family val="2"/>
    </font>
    <font>
      <b/>
      <sz val="10"/>
      <color theme="5"/>
      <name val="Arial"/>
      <family val="2"/>
    </font>
    <font>
      <sz val="10"/>
      <name val="Verdana"/>
      <family val="2"/>
    </font>
    <font>
      <sz val="9"/>
      <color indexed="10"/>
      <name val="Arial"/>
      <family val="2"/>
    </font>
    <font>
      <u/>
      <sz val="10"/>
      <name val="Arial"/>
      <family val="2"/>
    </font>
    <font>
      <u/>
      <sz val="9"/>
      <color indexed="12"/>
      <name val="Arial"/>
      <family val="2"/>
    </font>
    <font>
      <b/>
      <sz val="10"/>
      <color rgb="FFFF0000"/>
      <name val="Arial"/>
      <family val="2"/>
    </font>
    <font>
      <sz val="10"/>
      <color rgb="FF00B050"/>
      <name val="Arial"/>
      <family val="2"/>
    </font>
    <font>
      <sz val="9"/>
      <color rgb="FFFF0000"/>
      <name val="Arial"/>
      <family val="2"/>
    </font>
    <font>
      <sz val="10"/>
      <color rgb="FFFF0000"/>
      <name val="Verdana"/>
      <family val="2"/>
    </font>
    <font>
      <u/>
      <sz val="10"/>
      <color indexed="12"/>
      <name val="Arial"/>
      <family val="2"/>
    </font>
    <font>
      <sz val="10"/>
      <color rgb="FF00B0F0"/>
      <name val="Arial"/>
      <family val="2"/>
    </font>
    <font>
      <sz val="10"/>
      <color theme="1"/>
      <name val="Arial"/>
      <family val="2"/>
    </font>
    <font>
      <sz val="10"/>
      <color rgb="FF000000"/>
      <name val="Arial"/>
      <family val="2"/>
    </font>
    <font>
      <sz val="8"/>
      <name val="Arial"/>
      <family val="2"/>
    </font>
    <font>
      <sz val="8"/>
      <color rgb="FF0000FF"/>
      <name val="Arial"/>
      <family val="2"/>
    </font>
    <font>
      <b/>
      <sz val="7"/>
      <color rgb="FFFFFFFF"/>
      <name val="Arial"/>
      <family val="2"/>
    </font>
    <font>
      <b/>
      <sz val="22"/>
      <color rgb="FFFFFFFF"/>
      <name val="Calibri"/>
      <family val="2"/>
    </font>
    <font>
      <sz val="10"/>
      <color rgb="FFA8C4E0"/>
      <name val="Calibri"/>
      <family val="2"/>
    </font>
    <font>
      <b/>
      <sz val="9"/>
      <color rgb="FF27AE60"/>
      <name val="Calibri"/>
      <family val="2"/>
    </font>
    <font>
      <b/>
      <sz val="20"/>
      <color rgb="FF1A3557"/>
      <name val="Calibri"/>
      <family val="2"/>
    </font>
    <font>
      <sz val="10"/>
      <color rgb="FF27AE60"/>
      <name val="Calibri"/>
      <family val="2"/>
    </font>
    <font>
      <i/>
      <sz val="8"/>
      <color rgb="FF5D6D7E"/>
      <name val="Calibri"/>
      <family val="2"/>
    </font>
    <font>
      <b/>
      <sz val="9"/>
      <color rgb="FF2980B9"/>
      <name val="Calibri"/>
      <family val="2"/>
    </font>
    <font>
      <sz val="10"/>
      <color rgb="FF2980B9"/>
      <name val="Calibri"/>
      <family val="2"/>
    </font>
    <font>
      <b/>
      <sz val="9"/>
      <color rgb="FFC0392B"/>
      <name val="Calibri"/>
      <family val="2"/>
    </font>
    <font>
      <sz val="10"/>
      <color rgb="FFC0392B"/>
      <name val="Calibri"/>
      <family val="2"/>
    </font>
    <font>
      <b/>
      <sz val="9"/>
      <color rgb="FF6C3483"/>
      <name val="Calibri"/>
      <family val="2"/>
    </font>
    <font>
      <sz val="10"/>
      <color rgb="FF6C3483"/>
      <name val="Calibri"/>
      <family val="2"/>
    </font>
    <font>
      <b/>
      <sz val="11"/>
      <color rgb="FFFFFFFF"/>
      <name val="Calibri"/>
      <family val="2"/>
    </font>
    <font>
      <b/>
      <sz val="10"/>
      <color rgb="FF1A3557"/>
      <name val="Calibri"/>
      <family val="2"/>
    </font>
    <font>
      <b/>
      <sz val="10"/>
      <color rgb="FF27AE60"/>
      <name val="Calibri"/>
      <family val="2"/>
    </font>
    <font>
      <sz val="10"/>
      <color rgb="FF5D6D7E"/>
      <name val="Calibri"/>
      <family val="2"/>
    </font>
    <font>
      <sz val="10"/>
      <color rgb="FF1A3557"/>
      <name val="Calibri"/>
      <family val="2"/>
    </font>
    <font>
      <sz val="10"/>
      <color rgb="FFD68910"/>
      <name val="Calibri"/>
      <family val="2"/>
    </font>
    <font>
      <b/>
      <sz val="10"/>
      <color rgb="FF2980B9"/>
      <name val="Calibri"/>
      <family val="2"/>
    </font>
    <font>
      <b/>
      <sz val="10"/>
      <color rgb="FFC0392B"/>
      <name val="Calibri"/>
      <family val="2"/>
    </font>
    <font>
      <b/>
      <sz val="10"/>
      <color rgb="FF6C3483"/>
      <name val="Calibri"/>
      <family val="2"/>
    </font>
    <font>
      <sz val="10"/>
      <color rgb="FF2E5FA3"/>
      <name val="Calibri"/>
      <family val="2"/>
    </font>
    <font>
      <b/>
      <sz val="10"/>
      <color rgb="FFD68910"/>
      <name val="Calibri"/>
      <family val="2"/>
    </font>
    <font>
      <i/>
      <sz val="9"/>
      <color rgb="FF5D6D7E"/>
      <name val="Calibri"/>
      <family val="2"/>
    </font>
    <font>
      <b/>
      <sz val="9"/>
      <color rgb="FF7D6608"/>
      <name val="Calibri"/>
      <family val="2"/>
    </font>
    <font>
      <b/>
      <sz val="9"/>
      <color rgb="FF1A5276"/>
      <name val="Calibri"/>
      <family val="2"/>
    </font>
    <font>
      <sz val="10"/>
      <color rgb="FF1A1A2E"/>
      <name val="Calibri"/>
      <family val="2"/>
    </font>
    <font>
      <b/>
      <sz val="10"/>
      <color rgb="FFE67E22"/>
      <name val="Calibri"/>
      <family val="2"/>
    </font>
    <font>
      <b/>
      <sz val="10"/>
      <color rgb="FFA8D08D"/>
      <name val="Calibri"/>
      <family val="2"/>
    </font>
    <font>
      <i/>
      <sz val="8.5"/>
      <color rgb="FF5D6D7E"/>
      <name val="Calibri"/>
      <family val="2"/>
    </font>
    <font>
      <sz val="8"/>
      <color theme="1"/>
      <name val="Calibri"/>
      <family val="2"/>
      <charset val="1"/>
    </font>
    <font>
      <b/>
      <sz val="9"/>
      <color rgb="FF7030A0"/>
      <name val="Arial"/>
      <family val="2"/>
    </font>
    <font>
      <sz val="10"/>
      <color theme="1" tint="4.9989318521683403E-2"/>
      <name val="Calibri"/>
      <family val="2"/>
    </font>
    <font>
      <b/>
      <sz val="11"/>
      <color theme="1"/>
      <name val="Calibri"/>
      <family val="2"/>
      <scheme val="minor"/>
    </font>
    <font>
      <b/>
      <vertAlign val="superscript"/>
      <sz val="8"/>
      <color rgb="FFFFFFFF"/>
      <name val="Arial"/>
      <family val="2"/>
    </font>
    <font>
      <b/>
      <sz val="11"/>
      <color theme="1"/>
      <name val="Calibri"/>
      <family val="2"/>
      <charset val="1"/>
    </font>
    <font>
      <sz val="9"/>
      <color indexed="81"/>
      <name val="Tahoma"/>
      <family val="2"/>
    </font>
    <font>
      <b/>
      <sz val="9"/>
      <color indexed="81"/>
      <name val="Tahoma"/>
      <family val="2"/>
    </font>
    <font>
      <b/>
      <sz val="11"/>
      <color theme="0"/>
      <name val="Calibri"/>
      <family val="2"/>
      <charset val="1"/>
    </font>
    <font>
      <sz val="9"/>
      <color rgb="FF000000"/>
      <name val="Tahoma"/>
      <family val="2"/>
    </font>
    <font>
      <sz val="8"/>
      <name val="Calibri"/>
      <family val="2"/>
      <charset val="1"/>
    </font>
  </fonts>
  <fills count="47">
    <fill>
      <patternFill patternType="none"/>
    </fill>
    <fill>
      <patternFill patternType="gray125"/>
    </fill>
    <fill>
      <patternFill patternType="solid">
        <fgColor rgb="FF1A3D2B"/>
        <bgColor rgb="FF1B5E20"/>
      </patternFill>
    </fill>
    <fill>
      <patternFill patternType="solid">
        <fgColor rgb="FF4A7C59"/>
        <bgColor rgb="FF5A6B72"/>
      </patternFill>
    </fill>
    <fill>
      <patternFill patternType="solid">
        <fgColor rgb="FFDFF0E5"/>
        <bgColor rgb="FFE8F5E9"/>
      </patternFill>
    </fill>
    <fill>
      <patternFill patternType="solid">
        <fgColor rgb="FFFFF9E6"/>
        <bgColor rgb="FFFFFDE7"/>
      </patternFill>
    </fill>
    <fill>
      <patternFill patternType="solid">
        <fgColor rgb="FFFFFFFF"/>
        <bgColor rgb="FFFFFDE7"/>
      </patternFill>
    </fill>
    <fill>
      <patternFill patternType="solid">
        <fgColor rgb="FFF5F5F5"/>
        <bgColor rgb="FFFFF9E6"/>
      </patternFill>
    </fill>
    <fill>
      <patternFill patternType="solid">
        <fgColor rgb="FF1B5E20"/>
        <bgColor rgb="FF1A3D2B"/>
      </patternFill>
    </fill>
    <fill>
      <patternFill patternType="solid">
        <fgColor rgb="FF2E7D32"/>
        <bgColor rgb="FF388E3C"/>
      </patternFill>
    </fill>
    <fill>
      <patternFill patternType="solid">
        <fgColor rgb="FF1565C0"/>
        <bgColor rgb="FF3366FF"/>
      </patternFill>
    </fill>
    <fill>
      <patternFill patternType="solid">
        <fgColor rgb="FFBBDEFB"/>
        <bgColor rgb="FFC8E6C9"/>
      </patternFill>
    </fill>
    <fill>
      <patternFill patternType="solid">
        <fgColor rgb="FFC8E6C9"/>
        <bgColor rgb="FFDFF0E5"/>
      </patternFill>
    </fill>
    <fill>
      <patternFill patternType="solid">
        <fgColor rgb="FF388E3C"/>
        <bgColor rgb="FF2E7D32"/>
      </patternFill>
    </fill>
    <fill>
      <patternFill patternType="solid">
        <fgColor rgb="FF1A237E"/>
        <bgColor rgb="FF283593"/>
      </patternFill>
    </fill>
    <fill>
      <patternFill patternType="solid">
        <fgColor rgb="FF283593"/>
        <bgColor rgb="FF1A237E"/>
      </patternFill>
    </fill>
    <fill>
      <patternFill patternType="solid">
        <fgColor rgb="FF6A1B9A"/>
        <bgColor rgb="FF7B1FA2"/>
      </patternFill>
    </fill>
    <fill>
      <patternFill patternType="solid">
        <fgColor rgb="FFE8F5E9"/>
        <bgColor rgb="FFDFF0E5"/>
      </patternFill>
    </fill>
    <fill>
      <patternFill patternType="solid">
        <fgColor rgb="FFE3F2FD"/>
        <bgColor rgb="FFE8EAF6"/>
      </patternFill>
    </fill>
    <fill>
      <patternFill patternType="solid">
        <fgColor rgb="FFE1BEE7"/>
        <bgColor rgb="FFD0D0D0"/>
      </patternFill>
    </fill>
    <fill>
      <patternFill patternType="solid">
        <fgColor rgb="FF7B1FA2"/>
        <bgColor rgb="FF6A1B9A"/>
      </patternFill>
    </fill>
    <fill>
      <patternFill patternType="solid">
        <fgColor rgb="FF4A148C"/>
        <bgColor rgb="FF6A1B9A"/>
      </patternFill>
    </fill>
    <fill>
      <patternFill patternType="solid">
        <fgColor rgb="FF880E4F"/>
        <bgColor rgb="FF800000"/>
      </patternFill>
    </fill>
    <fill>
      <patternFill patternType="solid">
        <fgColor rgb="FFE8EAF6"/>
        <bgColor rgb="FFE3F2FD"/>
      </patternFill>
    </fill>
    <fill>
      <patternFill patternType="solid">
        <fgColor rgb="FFF57F17"/>
        <bgColor rgb="FFE8A020"/>
      </patternFill>
    </fill>
    <fill>
      <patternFill patternType="solid">
        <fgColor rgb="FFFFFDE7"/>
        <bgColor rgb="FFFFF9E6"/>
      </patternFill>
    </fill>
    <fill>
      <patternFill patternType="solid">
        <fgColor theme="0"/>
        <bgColor rgb="FF1B5E20"/>
      </patternFill>
    </fill>
    <fill>
      <patternFill patternType="solid">
        <fgColor rgb="FFF5F7FA"/>
      </patternFill>
    </fill>
    <fill>
      <patternFill patternType="solid">
        <fgColor rgb="FF1A3557"/>
      </patternFill>
    </fill>
    <fill>
      <patternFill patternType="solid">
        <fgColor rgb="FFFFFFFF"/>
      </patternFill>
    </fill>
    <fill>
      <patternFill patternType="solid">
        <fgColor rgb="FF2E5FA3"/>
      </patternFill>
    </fill>
    <fill>
      <patternFill patternType="solid">
        <fgColor rgb="FFEBF0F8"/>
      </patternFill>
    </fill>
    <fill>
      <patternFill patternType="solid">
        <fgColor rgb="FFF0F4FA"/>
      </patternFill>
    </fill>
    <fill>
      <patternFill patternType="solid">
        <fgColor rgb="FFEBF5FB"/>
      </patternFill>
    </fill>
    <fill>
      <patternFill patternType="solid">
        <fgColor rgb="FFFFFDE7"/>
      </patternFill>
    </fill>
    <fill>
      <patternFill patternType="solid">
        <fgColor rgb="FFE3F2FD"/>
      </patternFill>
    </fill>
    <fill>
      <patternFill patternType="solid">
        <fgColor rgb="FFFFFFE5"/>
        <bgColor indexed="64"/>
      </patternFill>
    </fill>
    <fill>
      <patternFill patternType="solid">
        <fgColor theme="9" tint="0.79998168889431442"/>
        <bgColor indexed="65"/>
      </patternFill>
    </fill>
    <fill>
      <patternFill patternType="solid">
        <fgColor rgb="FFD6E4F0"/>
        <bgColor rgb="FFD6E4F0"/>
      </patternFill>
    </fill>
    <fill>
      <patternFill patternType="solid">
        <fgColor rgb="FFFFFFFF"/>
        <bgColor rgb="FFFFFFFF"/>
      </patternFill>
    </fill>
    <fill>
      <patternFill patternType="solid">
        <fgColor theme="9" tint="0.79998168889431442"/>
        <bgColor rgb="FFD6E4F0"/>
      </patternFill>
    </fill>
    <fill>
      <patternFill patternType="solid">
        <fgColor theme="9" tint="0.79998168889431442"/>
        <bgColor indexed="64"/>
      </patternFill>
    </fill>
    <fill>
      <patternFill patternType="solid">
        <fgColor rgb="FFFFFF00"/>
        <bgColor rgb="FF3366FF"/>
      </patternFill>
    </fill>
    <fill>
      <patternFill patternType="solid">
        <fgColor rgb="FFFFFF00"/>
        <bgColor rgb="FFFFFDE7"/>
      </patternFill>
    </fill>
    <fill>
      <patternFill patternType="solid">
        <fgColor rgb="FFFFFF00"/>
        <bgColor rgb="FF1A3D2B"/>
      </patternFill>
    </fill>
    <fill>
      <patternFill patternType="solid">
        <fgColor rgb="FFFFFF00"/>
        <bgColor rgb="FFDFF0E5"/>
      </patternFill>
    </fill>
    <fill>
      <patternFill patternType="solid">
        <fgColor rgb="FF1A3D2B"/>
        <bgColor indexed="64"/>
      </patternFill>
    </fill>
  </fills>
  <borders count="105">
    <border>
      <left/>
      <right/>
      <top/>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style="thin">
        <color rgb="FFD0D0D0"/>
      </left>
      <right style="thin">
        <color rgb="FFD0D0D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medium">
        <color auto="1"/>
      </right>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style="thin">
        <color auto="1"/>
      </right>
      <top/>
      <bottom style="medium">
        <color auto="1"/>
      </bottom>
      <diagonal/>
    </border>
    <border>
      <left/>
      <right style="thin">
        <color auto="1"/>
      </right>
      <top style="medium">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style="medium">
        <color indexed="64"/>
      </right>
      <top style="medium">
        <color indexed="64"/>
      </top>
      <bottom/>
      <diagonal/>
    </border>
    <border>
      <left style="thin">
        <color auto="1"/>
      </left>
      <right style="medium">
        <color auto="1"/>
      </right>
      <top/>
      <bottom/>
      <diagonal/>
    </border>
    <border>
      <left style="thin">
        <color auto="1"/>
      </left>
      <right/>
      <top style="thin">
        <color auto="1"/>
      </top>
      <bottom/>
      <diagonal/>
    </border>
    <border>
      <left style="medium">
        <color indexed="64"/>
      </left>
      <right style="medium">
        <color indexed="64"/>
      </right>
      <top/>
      <bottom/>
      <diagonal/>
    </border>
    <border>
      <left style="thin">
        <color auto="1"/>
      </left>
      <right style="medium">
        <color auto="1"/>
      </right>
      <top/>
      <bottom style="medium">
        <color auto="1"/>
      </bottom>
      <diagonal/>
    </border>
    <border>
      <left style="medium">
        <color indexed="64"/>
      </left>
      <right style="medium">
        <color indexed="64"/>
      </right>
      <top/>
      <bottom style="medium">
        <color auto="1"/>
      </bottom>
      <diagonal/>
    </border>
    <border>
      <left style="medium">
        <color indexed="64"/>
      </left>
      <right style="medium">
        <color indexed="64"/>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indexed="64"/>
      </left>
      <right style="medium">
        <color indexed="64"/>
      </right>
      <top style="thin">
        <color auto="1"/>
      </top>
      <bottom style="medium">
        <color indexed="64"/>
      </bottom>
      <diagonal/>
    </border>
    <border>
      <left/>
      <right/>
      <top style="medium">
        <color auto="1"/>
      </top>
      <bottom/>
      <diagonal/>
    </border>
    <border>
      <left/>
      <right style="thin">
        <color auto="1"/>
      </right>
      <top style="medium">
        <color auto="1"/>
      </top>
      <bottom style="medium">
        <color auto="1"/>
      </bottom>
      <diagonal/>
    </border>
    <border>
      <left/>
      <right/>
      <top style="thin">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thin">
        <color rgb="FFD0D0D0"/>
      </right>
      <top style="thin">
        <color rgb="FFD0D0D0"/>
      </top>
      <bottom style="thin">
        <color rgb="FFD0D0D0"/>
      </bottom>
      <diagonal/>
    </border>
    <border>
      <left style="thin">
        <color rgb="FFD0D0D0"/>
      </left>
      <right style="thin">
        <color rgb="FFD0D0D0"/>
      </right>
      <top/>
      <bottom style="thin">
        <color rgb="FFD0D0D0"/>
      </bottom>
      <diagonal/>
    </border>
    <border>
      <left style="medium">
        <color indexed="64"/>
      </left>
      <right style="thin">
        <color rgb="FFD0D0D0"/>
      </right>
      <top style="medium">
        <color indexed="64"/>
      </top>
      <bottom style="medium">
        <color indexed="64"/>
      </bottom>
      <diagonal/>
    </border>
    <border>
      <left style="thin">
        <color rgb="FFD0D0D0"/>
      </left>
      <right style="thin">
        <color rgb="FFD0D0D0"/>
      </right>
      <top style="medium">
        <color indexed="64"/>
      </top>
      <bottom style="medium">
        <color indexed="64"/>
      </bottom>
      <diagonal/>
    </border>
    <border>
      <left style="thin">
        <color rgb="FFD0D0D0"/>
      </left>
      <right style="medium">
        <color indexed="64"/>
      </right>
      <top style="medium">
        <color indexed="64"/>
      </top>
      <bottom style="medium">
        <color indexed="64"/>
      </bottom>
      <diagonal/>
    </border>
    <border>
      <left/>
      <right style="thin">
        <color rgb="FFD0D0D0"/>
      </right>
      <top style="medium">
        <color indexed="64"/>
      </top>
      <bottom style="medium">
        <color indexed="64"/>
      </bottom>
      <diagonal/>
    </border>
    <border>
      <left/>
      <right/>
      <top style="thin">
        <color rgb="FFD0D0D0"/>
      </top>
      <bottom style="thin">
        <color rgb="FFD0D0D0"/>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indexed="64"/>
      </left>
      <right/>
      <top style="thin">
        <color auto="1"/>
      </top>
      <bottom style="thin">
        <color auto="1"/>
      </bottom>
      <diagonal/>
    </border>
    <border>
      <left style="medium">
        <color indexed="64"/>
      </left>
      <right/>
      <top/>
      <bottom/>
      <diagonal/>
    </border>
    <border>
      <left style="thin">
        <color auto="1"/>
      </left>
      <right style="thin">
        <color auto="1"/>
      </right>
      <top/>
      <bottom/>
      <diagonal/>
    </border>
    <border>
      <left style="medium">
        <color auto="1"/>
      </left>
      <right/>
      <top/>
      <bottom style="thin">
        <color auto="1"/>
      </bottom>
      <diagonal/>
    </border>
    <border>
      <left style="thin">
        <color rgb="FFCDD5DF"/>
      </left>
      <right style="thin">
        <color rgb="FFCDD5DF"/>
      </right>
      <top style="thin">
        <color rgb="FFCDD5DF"/>
      </top>
      <bottom style="thin">
        <color rgb="FFCDD5DF"/>
      </bottom>
      <diagonal/>
    </border>
    <border>
      <left style="thick">
        <color rgb="FF27AE60"/>
      </left>
      <right style="thin">
        <color rgb="FFCDD5DF"/>
      </right>
      <top style="thin">
        <color rgb="FFCDD5DF"/>
      </top>
      <bottom style="thin">
        <color rgb="FFCDD5DF"/>
      </bottom>
      <diagonal/>
    </border>
    <border>
      <left style="thick">
        <color rgb="FF2980B9"/>
      </left>
      <right style="thin">
        <color rgb="FFCDD5DF"/>
      </right>
      <top style="thin">
        <color rgb="FFCDD5DF"/>
      </top>
      <bottom style="thin">
        <color rgb="FFCDD5DF"/>
      </bottom>
      <diagonal/>
    </border>
    <border>
      <left style="thick">
        <color rgb="FFC0392B"/>
      </left>
      <right style="thin">
        <color rgb="FFCDD5DF"/>
      </right>
      <top style="thin">
        <color rgb="FFCDD5DF"/>
      </top>
      <bottom style="thin">
        <color rgb="FFCDD5DF"/>
      </bottom>
      <diagonal/>
    </border>
    <border>
      <left style="thick">
        <color rgb="FF6C3483"/>
      </left>
      <right style="thin">
        <color rgb="FFCDD5DF"/>
      </right>
      <top style="thin">
        <color rgb="FFCDD5DF"/>
      </top>
      <bottom style="thin">
        <color rgb="FFCDD5DF"/>
      </bottom>
      <diagonal/>
    </border>
    <border>
      <left/>
      <right style="thin">
        <color rgb="FFCDD5DF"/>
      </right>
      <top style="thin">
        <color rgb="FFCDD5DF"/>
      </top>
      <bottom style="thin">
        <color rgb="FFCDD5DF"/>
      </bottom>
      <diagonal/>
    </border>
    <border>
      <left style="thick">
        <color rgb="FFE67E22"/>
      </left>
      <right style="thin">
        <color rgb="FFCDD5DF"/>
      </right>
      <top style="thin">
        <color rgb="FFCDD5DF"/>
      </top>
      <bottom style="thin">
        <color rgb="FFCDD5DF"/>
      </bottom>
      <diagonal/>
    </border>
    <border>
      <left style="thick">
        <color rgb="FFA8D08D"/>
      </left>
      <right style="thin">
        <color rgb="FFCDD5DF"/>
      </right>
      <top style="thin">
        <color rgb="FFCDD5DF"/>
      </top>
      <bottom style="thin">
        <color rgb="FFCDD5DF"/>
      </bottom>
      <diagonal/>
    </border>
    <border>
      <left style="thin">
        <color rgb="FFB8D4F5"/>
      </left>
      <right style="thin">
        <color rgb="FFB8D4F5"/>
      </right>
      <top style="thin">
        <color rgb="FFB8D4F5"/>
      </top>
      <bottom style="thin">
        <color rgb="FFB8D4F5"/>
      </bottom>
      <diagonal/>
    </border>
    <border>
      <left style="thick">
        <color rgb="FF1A3557"/>
      </left>
      <right style="thin">
        <color rgb="FFCDD5DF"/>
      </right>
      <top style="thin">
        <color rgb="FFCDD5DF"/>
      </top>
      <bottom style="thin">
        <color rgb="FFCDD5DF"/>
      </bottom>
      <diagonal/>
    </border>
    <border>
      <left style="thin">
        <color rgb="FFBFBFBF"/>
      </left>
      <right style="thin">
        <color rgb="FFBFBFBF"/>
      </right>
      <top style="thin">
        <color rgb="FFBFBFBF"/>
      </top>
      <bottom style="thin">
        <color rgb="FFBFBFBF"/>
      </bottom>
      <diagonal/>
    </border>
    <border>
      <left/>
      <right/>
      <top/>
      <bottom style="thin">
        <color rgb="FFCDD5DF"/>
      </bottom>
      <diagonal/>
    </border>
    <border>
      <left style="thin">
        <color rgb="FFD0D0D0"/>
      </left>
      <right style="thin">
        <color rgb="FFD0D0D0"/>
      </right>
      <top style="thin">
        <color rgb="FFD0D0D0"/>
      </top>
      <bottom/>
      <diagonal/>
    </border>
    <border>
      <left style="thin">
        <color rgb="FFCDD5DF"/>
      </left>
      <right style="thin">
        <color rgb="FFCDD5DF"/>
      </right>
      <top style="thin">
        <color rgb="FFCDD5DF"/>
      </top>
      <bottom/>
      <diagonal/>
    </border>
    <border>
      <left style="medium">
        <color rgb="FF000000"/>
      </left>
      <right style="thin">
        <color rgb="FFD0D0D0"/>
      </right>
      <top style="medium">
        <color rgb="FF000000"/>
      </top>
      <bottom/>
      <diagonal/>
    </border>
    <border>
      <left style="thin">
        <color rgb="FFD0D0D0"/>
      </left>
      <right style="thin">
        <color rgb="FFD0D0D0"/>
      </right>
      <top style="medium">
        <color rgb="FF000000"/>
      </top>
      <bottom style="thin">
        <color rgb="FFD0D0D0"/>
      </bottom>
      <diagonal/>
    </border>
    <border>
      <left style="thin">
        <color rgb="FFBFBFBF"/>
      </left>
      <right style="thin">
        <color rgb="FFBFBFBF"/>
      </right>
      <top style="medium">
        <color rgb="FF000000"/>
      </top>
      <bottom style="thin">
        <color rgb="FFBFBFBF"/>
      </bottom>
      <diagonal/>
    </border>
    <border>
      <left style="thin">
        <color rgb="FFD0D0D0"/>
      </left>
      <right style="medium">
        <color rgb="FF000000"/>
      </right>
      <top style="medium">
        <color rgb="FF000000"/>
      </top>
      <bottom style="thin">
        <color rgb="FFD0D0D0"/>
      </bottom>
      <diagonal/>
    </border>
    <border>
      <left style="thin">
        <color rgb="FFD0D0D0"/>
      </left>
      <right style="medium">
        <color rgb="FF000000"/>
      </right>
      <top style="thin">
        <color rgb="FFD0D0D0"/>
      </top>
      <bottom style="thin">
        <color rgb="FFD0D0D0"/>
      </bottom>
      <diagonal/>
    </border>
    <border>
      <left style="thin">
        <color rgb="FFD0D0D0"/>
      </left>
      <right style="thin">
        <color rgb="FFD0D0D0"/>
      </right>
      <top style="thin">
        <color rgb="FFD0D0D0"/>
      </top>
      <bottom style="medium">
        <color rgb="FF000000"/>
      </bottom>
      <diagonal/>
    </border>
    <border>
      <left style="thin">
        <color rgb="FFBFBFBF"/>
      </left>
      <right style="thin">
        <color rgb="FFBFBFBF"/>
      </right>
      <top style="thin">
        <color rgb="FFBFBFBF"/>
      </top>
      <bottom style="medium">
        <color rgb="FF000000"/>
      </bottom>
      <diagonal/>
    </border>
    <border>
      <left style="thin">
        <color rgb="FFD0D0D0"/>
      </left>
      <right style="medium">
        <color rgb="FF000000"/>
      </right>
      <top style="thin">
        <color rgb="FFD0D0D0"/>
      </top>
      <bottom style="medium">
        <color rgb="FF000000"/>
      </bottom>
      <diagonal/>
    </border>
    <border>
      <left style="thin">
        <color rgb="FFBFBFBF"/>
      </left>
      <right style="thin">
        <color rgb="FFBFBFBF"/>
      </right>
      <top style="thin">
        <color rgb="FFBFBFBF"/>
      </top>
      <bottom/>
      <diagonal/>
    </border>
    <border>
      <left style="thin">
        <color rgb="FFD0D0D0"/>
      </left>
      <right style="medium">
        <color rgb="FF000000"/>
      </right>
      <top style="thin">
        <color rgb="FFD0D0D0"/>
      </top>
      <bottom/>
      <diagonal/>
    </border>
    <border>
      <left style="thin">
        <color rgb="FFD0D0D0"/>
      </left>
      <right/>
      <top/>
      <bottom style="thin">
        <color rgb="FFD0D0D0"/>
      </bottom>
      <diagonal/>
    </border>
    <border>
      <left/>
      <right/>
      <top/>
      <bottom style="thin">
        <color rgb="FFD0D0D0"/>
      </bottom>
      <diagonal/>
    </border>
    <border>
      <left/>
      <right/>
      <top style="thin">
        <color rgb="FFD0D0D0"/>
      </top>
      <bottom/>
      <diagonal/>
    </border>
    <border>
      <left/>
      <right style="thin">
        <color rgb="FFD0D0D0"/>
      </right>
      <top style="thin">
        <color rgb="FFD0D0D0"/>
      </top>
      <bottom/>
      <diagonal/>
    </border>
  </borders>
  <cellStyleXfs count="5">
    <xf numFmtId="0" fontId="0" fillId="0" borderId="0"/>
    <xf numFmtId="43" fontId="1" fillId="0" borderId="0"/>
    <xf numFmtId="9" fontId="35" fillId="0" borderId="0"/>
    <xf numFmtId="0" fontId="38" fillId="0" borderId="0"/>
    <xf numFmtId="0" fontId="50" fillId="0" borderId="0"/>
  </cellStyleXfs>
  <cellXfs count="752">
    <xf numFmtId="0" fontId="0" fillId="0" borderId="0" xfId="0"/>
    <xf numFmtId="0" fontId="4" fillId="0" borderId="0" xfId="0" applyFont="1"/>
    <xf numFmtId="0" fontId="5" fillId="2" borderId="0" xfId="0" applyFont="1" applyFill="1" applyAlignment="1">
      <alignment horizontal="left" vertical="center"/>
    </xf>
    <xf numFmtId="0" fontId="6" fillId="4" borderId="0" xfId="0" applyFont="1" applyFill="1"/>
    <xf numFmtId="0" fontId="7" fillId="4" borderId="0" xfId="0" applyFont="1" applyFill="1"/>
    <xf numFmtId="0" fontId="8" fillId="5" borderId="0" xfId="0" applyFont="1" applyFill="1"/>
    <xf numFmtId="0" fontId="7" fillId="5" borderId="0" xfId="0" applyFont="1" applyFill="1"/>
    <xf numFmtId="0" fontId="9" fillId="6" borderId="0" xfId="0" applyFont="1" applyFill="1"/>
    <xf numFmtId="0" fontId="7" fillId="6" borderId="0" xfId="0" applyFont="1" applyFill="1"/>
    <xf numFmtId="0" fontId="10" fillId="4" borderId="0" xfId="0" applyFont="1" applyFill="1"/>
    <xf numFmtId="0" fontId="11" fillId="0" borderId="0" xfId="0" applyFont="1"/>
    <xf numFmtId="0" fontId="11" fillId="7" borderId="0" xfId="0" applyFont="1" applyFill="1"/>
    <xf numFmtId="0" fontId="12" fillId="7" borderId="0" xfId="0" applyFont="1" applyFill="1"/>
    <xf numFmtId="0" fontId="6" fillId="6" borderId="1" xfId="0" applyFont="1" applyFill="1" applyBorder="1" applyAlignment="1">
      <alignment horizontal="left" vertical="center"/>
    </xf>
    <xf numFmtId="0" fontId="14" fillId="5" borderId="1" xfId="0" applyFont="1" applyFill="1" applyBorder="1" applyAlignment="1">
      <alignment horizontal="left" vertical="center"/>
    </xf>
    <xf numFmtId="0" fontId="15" fillId="6" borderId="0" xfId="0" applyFont="1" applyFill="1" applyAlignment="1">
      <alignment horizontal="left" vertical="center" wrapText="1"/>
    </xf>
    <xf numFmtId="0" fontId="6" fillId="4" borderId="1" xfId="0" applyFont="1" applyFill="1" applyBorder="1" applyAlignment="1">
      <alignment horizontal="left" vertical="center"/>
    </xf>
    <xf numFmtId="0" fontId="15" fillId="4" borderId="0" xfId="0" applyFont="1" applyFill="1" applyAlignment="1">
      <alignment horizontal="left" vertical="center" wrapText="1"/>
    </xf>
    <xf numFmtId="0" fontId="14" fillId="5" borderId="1" xfId="0" applyFont="1" applyFill="1" applyBorder="1" applyAlignment="1">
      <alignment horizontal="center" vertical="center"/>
    </xf>
    <xf numFmtId="0" fontId="16" fillId="7" borderId="1" xfId="0" applyFont="1" applyFill="1" applyBorder="1" applyAlignment="1">
      <alignment horizontal="center" vertical="center"/>
    </xf>
    <xf numFmtId="0" fontId="3" fillId="9" borderId="1" xfId="0" applyFont="1" applyFill="1" applyBorder="1" applyAlignment="1">
      <alignment horizontal="left" vertical="center"/>
    </xf>
    <xf numFmtId="0" fontId="5" fillId="2"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4" fillId="11" borderId="1" xfId="0" applyFont="1" applyFill="1" applyBorder="1" applyAlignment="1">
      <alignment horizontal="center" vertical="center"/>
    </xf>
    <xf numFmtId="0" fontId="20" fillId="8" borderId="1" xfId="0" applyFont="1" applyFill="1" applyBorder="1" applyAlignment="1">
      <alignment horizontal="center" vertical="center" wrapText="1"/>
    </xf>
    <xf numFmtId="0" fontId="5" fillId="8" borderId="1" xfId="0" applyFont="1" applyFill="1" applyBorder="1" applyAlignment="1">
      <alignment horizontal="center" vertical="center"/>
    </xf>
    <xf numFmtId="4" fontId="14" fillId="5" borderId="1" xfId="0" applyNumberFormat="1" applyFont="1" applyFill="1" applyBorder="1" applyAlignment="1">
      <alignment horizontal="center" vertical="center"/>
    </xf>
    <xf numFmtId="164" fontId="16" fillId="7" borderId="1" xfId="0" applyNumberFormat="1" applyFont="1" applyFill="1" applyBorder="1" applyAlignment="1">
      <alignment horizontal="center" vertical="center"/>
    </xf>
    <xf numFmtId="164" fontId="7" fillId="6" borderId="1" xfId="0" applyNumberFormat="1" applyFont="1" applyFill="1" applyBorder="1" applyAlignment="1">
      <alignment horizontal="center" vertical="center"/>
    </xf>
    <xf numFmtId="164" fontId="9" fillId="12" borderId="1" xfId="0" applyNumberFormat="1" applyFont="1" applyFill="1" applyBorder="1" applyAlignment="1">
      <alignment horizontal="center" vertical="center"/>
    </xf>
    <xf numFmtId="0" fontId="0" fillId="8" borderId="1" xfId="0" applyFill="1" applyBorder="1"/>
    <xf numFmtId="164" fontId="3" fillId="8" borderId="1" xfId="0" applyNumberFormat="1" applyFont="1" applyFill="1" applyBorder="1" applyAlignment="1">
      <alignment horizontal="center" vertical="center"/>
    </xf>
    <xf numFmtId="0" fontId="20" fillId="9" borderId="1" xfId="0" applyFont="1" applyFill="1" applyBorder="1" applyAlignment="1">
      <alignment horizontal="center" vertical="center" wrapText="1"/>
    </xf>
    <xf numFmtId="0" fontId="5" fillId="9" borderId="1" xfId="0" applyFont="1" applyFill="1" applyBorder="1" applyAlignment="1">
      <alignment horizontal="center" vertical="center"/>
    </xf>
    <xf numFmtId="0" fontId="21" fillId="6" borderId="1" xfId="0" applyFont="1" applyFill="1" applyBorder="1" applyAlignment="1">
      <alignment horizontal="left" vertical="center"/>
    </xf>
    <xf numFmtId="0" fontId="21" fillId="12" borderId="1" xfId="0" applyFont="1" applyFill="1" applyBorder="1" applyAlignment="1">
      <alignment horizontal="left" vertical="center"/>
    </xf>
    <xf numFmtId="0" fontId="0" fillId="9" borderId="1" xfId="0" applyFill="1" applyBorder="1"/>
    <xf numFmtId="164" fontId="3" fillId="9" borderId="1" xfId="0" applyNumberFormat="1" applyFont="1" applyFill="1" applyBorder="1" applyAlignment="1">
      <alignment horizontal="center" vertical="center"/>
    </xf>
    <xf numFmtId="0" fontId="20" fillId="13" borderId="1" xfId="0" applyFont="1" applyFill="1" applyBorder="1" applyAlignment="1">
      <alignment horizontal="center" vertical="center" wrapText="1"/>
    </xf>
    <xf numFmtId="0" fontId="5" fillId="13" borderId="1" xfId="0" applyFont="1" applyFill="1" applyBorder="1" applyAlignment="1">
      <alignment horizontal="center" vertical="center"/>
    </xf>
    <xf numFmtId="0" fontId="22" fillId="12" borderId="1" xfId="0" applyFont="1" applyFill="1" applyBorder="1" applyAlignment="1">
      <alignment horizontal="left" vertical="center"/>
    </xf>
    <xf numFmtId="0" fontId="0" fillId="7" borderId="1" xfId="0" applyFill="1" applyBorder="1"/>
    <xf numFmtId="0" fontId="22" fillId="6" borderId="1" xfId="0" applyFont="1" applyFill="1" applyBorder="1" applyAlignment="1">
      <alignment horizontal="left" vertical="center"/>
    </xf>
    <xf numFmtId="0" fontId="0" fillId="13" borderId="1" xfId="0" applyFill="1" applyBorder="1"/>
    <xf numFmtId="0" fontId="3" fillId="13" borderId="1" xfId="0" applyFont="1" applyFill="1" applyBorder="1" applyAlignment="1">
      <alignment horizontal="left" vertical="center"/>
    </xf>
    <xf numFmtId="164" fontId="3" fillId="13" borderId="1" xfId="0" applyNumberFormat="1" applyFont="1" applyFill="1" applyBorder="1" applyAlignment="1">
      <alignment horizontal="center" vertical="center"/>
    </xf>
    <xf numFmtId="4" fontId="13" fillId="8" borderId="1" xfId="0" applyNumberFormat="1" applyFont="1" applyFill="1" applyBorder="1" applyAlignment="1">
      <alignment horizontal="center" vertical="center"/>
    </xf>
    <xf numFmtId="0" fontId="23" fillId="6" borderId="1" xfId="0" applyFont="1" applyFill="1" applyBorder="1"/>
    <xf numFmtId="0" fontId="23" fillId="11" borderId="1" xfId="0" applyFont="1" applyFill="1" applyBorder="1"/>
    <xf numFmtId="0" fontId="20" fillId="14" borderId="1" xfId="0" applyFont="1" applyFill="1" applyBorder="1" applyAlignment="1">
      <alignment horizontal="center" vertical="center" wrapText="1"/>
    </xf>
    <xf numFmtId="0" fontId="5" fillId="10" borderId="1" xfId="0" applyFont="1" applyFill="1" applyBorder="1" applyAlignment="1">
      <alignment horizontal="center" vertical="center"/>
    </xf>
    <xf numFmtId="0" fontId="24" fillId="6" borderId="1" xfId="0" applyFont="1" applyFill="1" applyBorder="1" applyAlignment="1">
      <alignment horizontal="left" vertical="center"/>
    </xf>
    <xf numFmtId="165" fontId="14" fillId="5" borderId="1" xfId="0" applyNumberFormat="1" applyFont="1" applyFill="1" applyBorder="1" applyAlignment="1">
      <alignment horizontal="center" vertical="center"/>
    </xf>
    <xf numFmtId="4" fontId="7" fillId="6" borderId="1" xfId="0" applyNumberFormat="1" applyFont="1" applyFill="1" applyBorder="1" applyAlignment="1">
      <alignment horizontal="center" vertical="center"/>
    </xf>
    <xf numFmtId="164" fontId="7" fillId="11" borderId="1" xfId="0" applyNumberFormat="1" applyFont="1" applyFill="1" applyBorder="1" applyAlignment="1">
      <alignment horizontal="center" vertical="center"/>
    </xf>
    <xf numFmtId="0" fontId="24" fillId="11" borderId="1" xfId="0" applyFont="1" applyFill="1" applyBorder="1" applyAlignment="1">
      <alignment horizontal="left" vertical="center"/>
    </xf>
    <xf numFmtId="0" fontId="0" fillId="10" borderId="1" xfId="0" applyFill="1" applyBorder="1"/>
    <xf numFmtId="0" fontId="3" fillId="10" borderId="1" xfId="0" applyFont="1" applyFill="1" applyBorder="1" applyAlignment="1">
      <alignment horizontal="left" vertical="center"/>
    </xf>
    <xf numFmtId="164" fontId="3" fillId="10" borderId="1" xfId="0" applyNumberFormat="1" applyFont="1" applyFill="1" applyBorder="1" applyAlignment="1">
      <alignment horizontal="center" vertical="center"/>
    </xf>
    <xf numFmtId="0" fontId="20" fillId="15" borderId="1" xfId="0" applyFont="1" applyFill="1" applyBorder="1" applyAlignment="1">
      <alignment horizontal="center" vertical="center" wrapText="1"/>
    </xf>
    <xf numFmtId="0" fontId="5" fillId="15" borderId="1" xfId="0" applyFont="1" applyFill="1" applyBorder="1" applyAlignment="1">
      <alignment horizontal="center" vertical="center"/>
    </xf>
    <xf numFmtId="0" fontId="25" fillId="11" borderId="1" xfId="0" applyFont="1" applyFill="1" applyBorder="1" applyAlignment="1">
      <alignment horizontal="left" vertical="center"/>
    </xf>
    <xf numFmtId="165" fontId="16" fillId="7" borderId="1" xfId="0" applyNumberFormat="1" applyFont="1" applyFill="1" applyBorder="1" applyAlignment="1">
      <alignment horizontal="center" vertical="center"/>
    </xf>
    <xf numFmtId="0" fontId="25" fillId="6" borderId="1" xfId="0" applyFont="1" applyFill="1" applyBorder="1" applyAlignment="1">
      <alignment horizontal="left" vertical="center"/>
    </xf>
    <xf numFmtId="0" fontId="0" fillId="15" borderId="1" xfId="0" applyFill="1" applyBorder="1"/>
    <xf numFmtId="0" fontId="3" fillId="15" borderId="1" xfId="0" applyFont="1" applyFill="1" applyBorder="1" applyAlignment="1">
      <alignment horizontal="left" vertical="center"/>
    </xf>
    <xf numFmtId="164" fontId="3" fillId="15" borderId="1" xfId="0" applyNumberFormat="1" applyFont="1" applyFill="1" applyBorder="1" applyAlignment="1">
      <alignment horizontal="center" vertical="center"/>
    </xf>
    <xf numFmtId="4" fontId="19" fillId="10" borderId="1" xfId="0" applyNumberFormat="1" applyFont="1" applyFill="1" applyBorder="1" applyAlignment="1">
      <alignment horizontal="center" vertical="center"/>
    </xf>
    <xf numFmtId="4" fontId="19" fillId="15" borderId="1" xfId="0" applyNumberFormat="1" applyFont="1" applyFill="1" applyBorder="1" applyAlignment="1">
      <alignment horizontal="center" vertical="center"/>
    </xf>
    <xf numFmtId="0" fontId="20" fillId="16" borderId="1" xfId="0" applyFont="1" applyFill="1" applyBorder="1" applyAlignment="1">
      <alignment horizontal="center" vertical="center" wrapText="1"/>
    </xf>
    <xf numFmtId="0" fontId="0" fillId="17" borderId="1" xfId="0" applyFill="1" applyBorder="1"/>
    <xf numFmtId="0" fontId="27" fillId="17" borderId="1" xfId="0" applyFont="1" applyFill="1" applyBorder="1" applyAlignment="1">
      <alignment horizontal="center" vertical="center"/>
    </xf>
    <xf numFmtId="0" fontId="18" fillId="17" borderId="1" xfId="0" applyFont="1" applyFill="1" applyBorder="1" applyAlignment="1">
      <alignment horizontal="left" vertical="center"/>
    </xf>
    <xf numFmtId="0" fontId="28" fillId="17" borderId="1" xfId="0" applyFont="1" applyFill="1" applyBorder="1" applyAlignment="1">
      <alignment horizontal="left" vertical="center" wrapText="1"/>
    </xf>
    <xf numFmtId="0" fontId="0" fillId="18" borderId="1" xfId="0" applyFill="1" applyBorder="1"/>
    <xf numFmtId="0" fontId="27" fillId="18" borderId="1" xfId="0" applyFont="1" applyFill="1" applyBorder="1" applyAlignment="1">
      <alignment horizontal="center" vertical="center"/>
    </xf>
    <xf numFmtId="0" fontId="18" fillId="18" borderId="1" xfId="0" applyFont="1" applyFill="1" applyBorder="1" applyAlignment="1">
      <alignment horizontal="left" vertical="center"/>
    </xf>
    <xf numFmtId="0" fontId="28" fillId="18" borderId="1" xfId="0" applyFont="1" applyFill="1" applyBorder="1" applyAlignment="1">
      <alignment horizontal="left" vertical="center" wrapText="1"/>
    </xf>
    <xf numFmtId="0" fontId="5" fillId="16" borderId="1" xfId="0" applyFont="1" applyFill="1" applyBorder="1" applyAlignment="1">
      <alignment horizontal="center" vertical="center"/>
    </xf>
    <xf numFmtId="0" fontId="27" fillId="19" borderId="1" xfId="0" applyFont="1" applyFill="1" applyBorder="1" applyAlignment="1">
      <alignment horizontal="left" vertical="center"/>
    </xf>
    <xf numFmtId="3" fontId="14" fillId="5" borderId="1" xfId="0" applyNumberFormat="1" applyFont="1" applyFill="1" applyBorder="1" applyAlignment="1">
      <alignment horizontal="center" vertical="center"/>
    </xf>
    <xf numFmtId="166" fontId="16" fillId="7" borderId="1" xfId="0" applyNumberFormat="1" applyFont="1" applyFill="1" applyBorder="1" applyAlignment="1">
      <alignment horizontal="center" vertical="center"/>
    </xf>
    <xf numFmtId="0" fontId="15" fillId="7" borderId="1" xfId="0" applyFont="1" applyFill="1" applyBorder="1" applyAlignment="1">
      <alignment horizontal="left" vertical="center" wrapText="1"/>
    </xf>
    <xf numFmtId="164" fontId="7" fillId="19" borderId="1" xfId="0" applyNumberFormat="1" applyFont="1" applyFill="1" applyBorder="1" applyAlignment="1">
      <alignment horizontal="center" vertical="center"/>
    </xf>
    <xf numFmtId="0" fontId="27" fillId="6" borderId="1" xfId="0" applyFont="1" applyFill="1" applyBorder="1" applyAlignment="1">
      <alignment horizontal="left" vertical="center"/>
    </xf>
    <xf numFmtId="0" fontId="0" fillId="16" borderId="1" xfId="0" applyFill="1" applyBorder="1"/>
    <xf numFmtId="0" fontId="3" fillId="16" borderId="1" xfId="0" applyFont="1" applyFill="1" applyBorder="1" applyAlignment="1">
      <alignment horizontal="left" vertical="center"/>
    </xf>
    <xf numFmtId="3" fontId="3" fillId="16" borderId="1" xfId="0" applyNumberFormat="1" applyFont="1" applyFill="1" applyBorder="1" applyAlignment="1">
      <alignment horizontal="center" vertical="center"/>
    </xf>
    <xf numFmtId="0" fontId="20" fillId="20" borderId="1" xfId="0" applyFont="1" applyFill="1" applyBorder="1" applyAlignment="1">
      <alignment horizontal="center" vertical="center" wrapText="1"/>
    </xf>
    <xf numFmtId="0" fontId="5" fillId="20" borderId="1" xfId="0" applyFont="1" applyFill="1" applyBorder="1" applyAlignment="1">
      <alignment horizontal="center" vertical="center"/>
    </xf>
    <xf numFmtId="0" fontId="29" fillId="19" borderId="1" xfId="0" applyFont="1" applyFill="1" applyBorder="1" applyAlignment="1">
      <alignment horizontal="left" vertical="center"/>
    </xf>
    <xf numFmtId="167" fontId="16" fillId="7" borderId="1" xfId="0" applyNumberFormat="1" applyFont="1" applyFill="1" applyBorder="1" applyAlignment="1">
      <alignment horizontal="center" vertical="center"/>
    </xf>
    <xf numFmtId="0" fontId="29" fillId="6" borderId="1" xfId="0" applyFont="1" applyFill="1" applyBorder="1" applyAlignment="1">
      <alignment horizontal="left" vertical="center"/>
    </xf>
    <xf numFmtId="0" fontId="0" fillId="20" borderId="1" xfId="0" applyFill="1" applyBorder="1"/>
    <xf numFmtId="0" fontId="3" fillId="20" borderId="1" xfId="0" applyFont="1" applyFill="1" applyBorder="1" applyAlignment="1">
      <alignment horizontal="left" vertical="center"/>
    </xf>
    <xf numFmtId="164" fontId="3" fillId="20" borderId="1" xfId="0" applyNumberFormat="1" applyFont="1" applyFill="1" applyBorder="1" applyAlignment="1">
      <alignment horizontal="center" vertical="center"/>
    </xf>
    <xf numFmtId="0" fontId="20" fillId="21" borderId="1" xfId="0" applyFont="1" applyFill="1" applyBorder="1" applyAlignment="1">
      <alignment horizontal="center" vertical="center" wrapText="1"/>
    </xf>
    <xf numFmtId="0" fontId="5" fillId="21" borderId="1" xfId="0" applyFont="1" applyFill="1" applyBorder="1" applyAlignment="1">
      <alignment horizontal="center" vertical="center"/>
    </xf>
    <xf numFmtId="0" fontId="30" fillId="19" borderId="1" xfId="0" applyFont="1" applyFill="1" applyBorder="1" applyAlignment="1">
      <alignment horizontal="left" vertical="center"/>
    </xf>
    <xf numFmtId="0" fontId="15" fillId="7" borderId="1" xfId="0" applyFont="1" applyFill="1" applyBorder="1" applyAlignment="1">
      <alignment horizontal="left" vertical="center"/>
    </xf>
    <xf numFmtId="0" fontId="30" fillId="6" borderId="1" xfId="0" applyFont="1" applyFill="1" applyBorder="1" applyAlignment="1">
      <alignment horizontal="left" vertical="center"/>
    </xf>
    <xf numFmtId="0" fontId="0" fillId="21" borderId="1" xfId="0" applyFill="1" applyBorder="1"/>
    <xf numFmtId="0" fontId="3" fillId="21" borderId="1" xfId="0" applyFont="1" applyFill="1" applyBorder="1" applyAlignment="1">
      <alignment horizontal="left" vertical="center"/>
    </xf>
    <xf numFmtId="0" fontId="20" fillId="22" borderId="1" xfId="0" applyFont="1" applyFill="1" applyBorder="1" applyAlignment="1">
      <alignment horizontal="center" vertical="center" wrapText="1"/>
    </xf>
    <xf numFmtId="0" fontId="5" fillId="22" borderId="1" xfId="0" applyFont="1" applyFill="1" applyBorder="1" applyAlignment="1">
      <alignment horizontal="center" vertical="center"/>
    </xf>
    <xf numFmtId="164" fontId="7" fillId="19" borderId="1" xfId="0" applyNumberFormat="1" applyFont="1" applyFill="1" applyBorder="1" applyAlignment="1">
      <alignment horizontal="left" vertical="center"/>
    </xf>
    <xf numFmtId="0" fontId="0" fillId="22" borderId="1" xfId="0" applyFill="1" applyBorder="1"/>
    <xf numFmtId="0" fontId="3" fillId="22" borderId="1" xfId="0" applyFont="1" applyFill="1" applyBorder="1" applyAlignment="1">
      <alignment horizontal="left" vertical="center"/>
    </xf>
    <xf numFmtId="164" fontId="3" fillId="22" borderId="1" xfId="0" applyNumberFormat="1" applyFont="1" applyFill="1" applyBorder="1" applyAlignment="1">
      <alignment horizontal="center" vertical="center"/>
    </xf>
    <xf numFmtId="4" fontId="13" fillId="16" borderId="1" xfId="0" applyNumberFormat="1" applyFont="1" applyFill="1" applyBorder="1" applyAlignment="1">
      <alignment horizontal="center" vertical="center"/>
    </xf>
    <xf numFmtId="4" fontId="10" fillId="12" borderId="1" xfId="0" applyNumberFormat="1" applyFont="1" applyFill="1" applyBorder="1" applyAlignment="1">
      <alignment horizontal="center" vertical="center"/>
    </xf>
    <xf numFmtId="167" fontId="7" fillId="12" borderId="1" xfId="0" applyNumberFormat="1" applyFont="1" applyFill="1" applyBorder="1" applyAlignment="1">
      <alignment horizontal="center" vertical="center"/>
    </xf>
    <xf numFmtId="4" fontId="10" fillId="11" borderId="1" xfId="0" applyNumberFormat="1" applyFont="1" applyFill="1" applyBorder="1" applyAlignment="1">
      <alignment horizontal="center" vertical="center"/>
    </xf>
    <xf numFmtId="167" fontId="7" fillId="11" borderId="1" xfId="0" applyNumberFormat="1" applyFont="1" applyFill="1" applyBorder="1" applyAlignment="1">
      <alignment horizontal="center" vertical="center"/>
    </xf>
    <xf numFmtId="0" fontId="3" fillId="14" borderId="1" xfId="0" applyFont="1" applyFill="1" applyBorder="1" applyAlignment="1">
      <alignment horizontal="left" vertical="center"/>
    </xf>
    <xf numFmtId="0" fontId="4" fillId="23" borderId="1" xfId="0" applyFont="1" applyFill="1" applyBorder="1" applyAlignment="1">
      <alignment horizontal="left" vertical="center" wrapText="1"/>
    </xf>
    <xf numFmtId="4" fontId="10" fillId="23" borderId="1" xfId="0" applyNumberFormat="1" applyFont="1" applyFill="1" applyBorder="1" applyAlignment="1">
      <alignment horizontal="center" vertical="center"/>
    </xf>
    <xf numFmtId="4" fontId="10" fillId="19" borderId="1" xfId="0" applyNumberFormat="1" applyFont="1" applyFill="1" applyBorder="1" applyAlignment="1">
      <alignment horizontal="center" vertical="center"/>
    </xf>
    <xf numFmtId="167" fontId="7" fillId="19" borderId="1" xfId="0" applyNumberFormat="1" applyFont="1" applyFill="1" applyBorder="1" applyAlignment="1">
      <alignment horizontal="center" vertical="center"/>
    </xf>
    <xf numFmtId="4" fontId="26" fillId="2" borderId="1" xfId="0" applyNumberFormat="1" applyFont="1" applyFill="1" applyBorder="1" applyAlignment="1">
      <alignment horizontal="center" vertical="center"/>
    </xf>
    <xf numFmtId="0" fontId="0" fillId="2" borderId="1" xfId="0" applyFill="1" applyBorder="1"/>
    <xf numFmtId="4" fontId="26" fillId="3" borderId="1" xfId="0" applyNumberFormat="1" applyFont="1" applyFill="1" applyBorder="1" applyAlignment="1">
      <alignment horizontal="center" vertical="center"/>
    </xf>
    <xf numFmtId="0" fontId="0" fillId="3" borderId="1" xfId="0" applyFill="1" applyBorder="1"/>
    <xf numFmtId="0" fontId="15" fillId="6" borderId="1" xfId="0" applyFont="1" applyFill="1" applyBorder="1" applyAlignment="1">
      <alignment horizontal="left" vertical="center" wrapText="1"/>
    </xf>
    <xf numFmtId="4" fontId="9" fillId="4" borderId="1" xfId="0" applyNumberFormat="1" applyFont="1" applyFill="1" applyBorder="1" applyAlignment="1">
      <alignment horizontal="center" vertical="center"/>
    </xf>
    <xf numFmtId="167" fontId="7" fillId="6" borderId="1" xfId="0" applyNumberFormat="1" applyFont="1" applyFill="1" applyBorder="1" applyAlignment="1">
      <alignment horizontal="center" vertical="center"/>
    </xf>
    <xf numFmtId="0" fontId="15" fillId="4" borderId="1" xfId="0" applyFont="1" applyFill="1" applyBorder="1" applyAlignment="1">
      <alignment horizontal="left" vertical="center" wrapText="1"/>
    </xf>
    <xf numFmtId="167" fontId="7" fillId="4" borderId="1" xfId="0" applyNumberFormat="1" applyFont="1" applyFill="1" applyBorder="1" applyAlignment="1">
      <alignment horizontal="center" vertical="center"/>
    </xf>
    <xf numFmtId="4" fontId="9" fillId="12" borderId="1" xfId="0" applyNumberFormat="1" applyFont="1" applyFill="1" applyBorder="1" applyAlignment="1">
      <alignment horizontal="center" vertical="center"/>
    </xf>
    <xf numFmtId="4" fontId="9" fillId="11" borderId="1" xfId="0" applyNumberFormat="1" applyFont="1" applyFill="1" applyBorder="1" applyAlignment="1">
      <alignment horizontal="center" vertical="center"/>
    </xf>
    <xf numFmtId="4" fontId="9" fillId="19" borderId="1" xfId="0" applyNumberFormat="1" applyFont="1" applyFill="1" applyBorder="1" applyAlignment="1">
      <alignment horizontal="center" vertical="center"/>
    </xf>
    <xf numFmtId="0" fontId="31" fillId="2" borderId="1" xfId="0" applyFont="1" applyFill="1" applyBorder="1" applyAlignment="1">
      <alignment horizontal="left" vertical="center"/>
    </xf>
    <xf numFmtId="0" fontId="31" fillId="2" borderId="1" xfId="0" applyFont="1" applyFill="1" applyBorder="1" applyAlignment="1">
      <alignment horizontal="center" vertical="center"/>
    </xf>
    <xf numFmtId="0" fontId="11" fillId="4" borderId="1" xfId="0" applyFont="1" applyFill="1" applyBorder="1" applyAlignment="1">
      <alignment horizontal="left" vertical="center"/>
    </xf>
    <xf numFmtId="0" fontId="5" fillId="8" borderId="1" xfId="0" applyFont="1" applyFill="1" applyBorder="1" applyAlignment="1">
      <alignment horizontal="left" vertical="center" wrapText="1"/>
    </xf>
    <xf numFmtId="167" fontId="7" fillId="23" borderId="1" xfId="0" applyNumberFormat="1" applyFont="1" applyFill="1" applyBorder="1" applyAlignment="1">
      <alignment horizontal="center" vertical="center"/>
    </xf>
    <xf numFmtId="0" fontId="5" fillId="16"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4" fontId="10" fillId="4" borderId="1" xfId="0" applyNumberFormat="1" applyFont="1" applyFill="1" applyBorder="1" applyAlignment="1">
      <alignment horizontal="center" vertical="center"/>
    </xf>
    <xf numFmtId="0" fontId="5" fillId="3" borderId="1" xfId="0" applyFont="1" applyFill="1" applyBorder="1" applyAlignment="1">
      <alignment horizontal="left" vertical="center" wrapText="1"/>
    </xf>
    <xf numFmtId="0" fontId="5" fillId="24" borderId="1" xfId="0" applyFont="1" applyFill="1" applyBorder="1" applyAlignment="1">
      <alignment horizontal="left" vertical="center" wrapText="1"/>
    </xf>
    <xf numFmtId="4" fontId="10" fillId="25" borderId="1" xfId="0" applyNumberFormat="1" applyFont="1" applyFill="1" applyBorder="1" applyAlignment="1">
      <alignment horizontal="center" vertical="center"/>
    </xf>
    <xf numFmtId="167" fontId="7" fillId="25" borderId="1" xfId="0" applyNumberFormat="1" applyFont="1" applyFill="1" applyBorder="1" applyAlignment="1">
      <alignment horizontal="center" vertical="center"/>
    </xf>
    <xf numFmtId="0" fontId="11" fillId="6" borderId="1" xfId="0" applyFont="1" applyFill="1" applyBorder="1" applyAlignment="1">
      <alignment horizontal="left" vertical="center"/>
    </xf>
    <xf numFmtId="0" fontId="32" fillId="5" borderId="1" xfId="0" applyFont="1" applyFill="1" applyBorder="1" applyAlignment="1">
      <alignment horizontal="center" vertical="center"/>
    </xf>
    <xf numFmtId="0" fontId="32" fillId="5" borderId="1" xfId="0" applyFont="1" applyFill="1" applyBorder="1" applyAlignment="1">
      <alignment horizontal="left" vertical="center"/>
    </xf>
    <xf numFmtId="0" fontId="4" fillId="6" borderId="1" xfId="0" applyFont="1" applyFill="1" applyBorder="1" applyAlignment="1">
      <alignment horizontal="left" vertical="center"/>
    </xf>
    <xf numFmtId="0" fontId="4" fillId="6" borderId="1" xfId="0" applyFont="1" applyFill="1" applyBorder="1" applyAlignment="1">
      <alignment horizontal="center" vertical="center"/>
    </xf>
    <xf numFmtId="164" fontId="4" fillId="6" borderId="1" xfId="0" applyNumberFormat="1" applyFont="1" applyFill="1" applyBorder="1" applyAlignment="1">
      <alignment horizontal="center" vertical="center"/>
    </xf>
    <xf numFmtId="0" fontId="4" fillId="12" borderId="1" xfId="0" applyFont="1" applyFill="1" applyBorder="1" applyAlignment="1">
      <alignment horizontal="left" vertical="center"/>
    </xf>
    <xf numFmtId="0" fontId="4" fillId="12" borderId="1" xfId="0" applyFont="1" applyFill="1" applyBorder="1" applyAlignment="1">
      <alignment horizontal="center" vertical="center"/>
    </xf>
    <xf numFmtId="164" fontId="4" fillId="12" borderId="1" xfId="0" applyNumberFormat="1" applyFont="1" applyFill="1" applyBorder="1" applyAlignment="1">
      <alignment horizontal="center" vertical="center"/>
    </xf>
    <xf numFmtId="0" fontId="20" fillId="10" borderId="1" xfId="0" applyFont="1" applyFill="1" applyBorder="1" applyAlignment="1">
      <alignment horizontal="center" vertical="center" wrapText="1"/>
    </xf>
    <xf numFmtId="0" fontId="4" fillId="11" borderId="1" xfId="0" applyFont="1" applyFill="1" applyBorder="1" applyAlignment="1">
      <alignment horizontal="left" vertical="center"/>
    </xf>
    <xf numFmtId="3" fontId="4" fillId="11" borderId="1" xfId="0" applyNumberFormat="1" applyFont="1" applyFill="1" applyBorder="1" applyAlignment="1">
      <alignment horizontal="center" vertical="center"/>
    </xf>
    <xf numFmtId="3" fontId="4" fillId="6"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4" fillId="6"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34" fillId="3" borderId="1" xfId="0" applyFont="1" applyFill="1" applyBorder="1" applyAlignment="1">
      <alignment horizontal="center" vertical="center"/>
    </xf>
    <xf numFmtId="0" fontId="18" fillId="26" borderId="1" xfId="0" applyFont="1" applyFill="1" applyBorder="1" applyAlignment="1">
      <alignment horizontal="left" vertical="center"/>
    </xf>
    <xf numFmtId="0" fontId="3" fillId="8" borderId="1" xfId="0" applyFont="1" applyFill="1" applyBorder="1" applyAlignment="1">
      <alignment horizontal="left" vertical="center"/>
    </xf>
    <xf numFmtId="0" fontId="4" fillId="11"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32" fillId="5" borderId="1" xfId="0" applyFont="1" applyFill="1" applyBorder="1" applyAlignment="1">
      <alignment horizontal="left" vertical="center" wrapText="1"/>
    </xf>
    <xf numFmtId="0" fontId="37" fillId="0" borderId="0" xfId="0" applyFont="1"/>
    <xf numFmtId="0" fontId="38" fillId="0" borderId="0" xfId="3"/>
    <xf numFmtId="0" fontId="53" fillId="0" borderId="0" xfId="3" applyFont="1"/>
    <xf numFmtId="10" fontId="44" fillId="0" borderId="0" xfId="2" applyNumberFormat="1" applyFont="1"/>
    <xf numFmtId="0" fontId="53" fillId="0" borderId="0" xfId="3" applyFont="1" applyAlignment="1">
      <alignment horizontal="left" indent="2"/>
    </xf>
    <xf numFmtId="0" fontId="53" fillId="0" borderId="0" xfId="3" applyFont="1" applyAlignment="1">
      <alignment vertical="center"/>
    </xf>
    <xf numFmtId="167" fontId="46" fillId="0" borderId="49" xfId="2" applyNumberFormat="1" applyFont="1" applyBorder="1"/>
    <xf numFmtId="167" fontId="46" fillId="0" borderId="52" xfId="2" applyNumberFormat="1" applyFont="1" applyBorder="1"/>
    <xf numFmtId="0" fontId="53" fillId="0" borderId="0" xfId="3" applyFont="1" applyAlignment="1">
      <alignment horizontal="left" vertical="top"/>
    </xf>
    <xf numFmtId="0" fontId="53" fillId="0" borderId="0" xfId="3" applyFont="1" applyAlignment="1">
      <alignment horizontal="left" vertical="top" indent="2"/>
    </xf>
    <xf numFmtId="0" fontId="58" fillId="0" borderId="0" xfId="3" applyFont="1" applyAlignment="1">
      <alignment horizontal="left" vertical="center" indent="2"/>
    </xf>
    <xf numFmtId="0" fontId="40" fillId="0" borderId="0" xfId="0" applyFont="1"/>
    <xf numFmtId="0" fontId="40" fillId="0" borderId="0" xfId="0" applyFont="1" applyAlignment="1">
      <alignment horizontal="center"/>
    </xf>
    <xf numFmtId="0" fontId="42" fillId="0" borderId="0" xfId="0" applyFont="1"/>
    <xf numFmtId="0" fontId="42"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horizontal="center" vertical="center"/>
    </xf>
    <xf numFmtId="0" fontId="45" fillId="0" borderId="7" xfId="0" applyFont="1" applyBorder="1" applyAlignment="1">
      <alignment horizontal="center" vertical="center"/>
    </xf>
    <xf numFmtId="0" fontId="45" fillId="0" borderId="8" xfId="0" applyFont="1" applyBorder="1" applyAlignment="1">
      <alignment horizontal="center" vertical="center"/>
    </xf>
    <xf numFmtId="0" fontId="46" fillId="0" borderId="0" xfId="0" applyFont="1" applyAlignment="1">
      <alignment horizontal="left" wrapText="1"/>
    </xf>
    <xf numFmtId="0" fontId="44" fillId="0" borderId="0" xfId="0" applyFont="1"/>
    <xf numFmtId="0" fontId="44" fillId="0" borderId="0" xfId="0" applyFont="1" applyAlignment="1">
      <alignment horizontal="center"/>
    </xf>
    <xf numFmtId="0" fontId="40" fillId="0" borderId="0" xfId="0" applyFont="1" applyAlignment="1">
      <alignment vertical="center"/>
    </xf>
    <xf numFmtId="0" fontId="48" fillId="0" borderId="13" xfId="0" applyFont="1" applyBorder="1" applyAlignment="1">
      <alignment horizontal="center" vertical="center"/>
    </xf>
    <xf numFmtId="0" fontId="48" fillId="0" borderId="4" xfId="0" applyFont="1" applyBorder="1" applyAlignment="1">
      <alignment vertical="center"/>
    </xf>
    <xf numFmtId="0" fontId="48" fillId="0" borderId="5" xfId="0" applyFont="1" applyBorder="1" applyAlignment="1">
      <alignment vertical="center"/>
    </xf>
    <xf numFmtId="0" fontId="44" fillId="0" borderId="0" xfId="0" applyFont="1" applyAlignment="1">
      <alignment vertical="center"/>
    </xf>
    <xf numFmtId="0" fontId="45" fillId="0" borderId="9" xfId="0" applyFont="1" applyBorder="1" applyAlignment="1">
      <alignment horizontal="center" vertical="center"/>
    </xf>
    <xf numFmtId="0" fontId="45" fillId="0" borderId="14" xfId="0" applyFont="1" applyBorder="1" applyAlignment="1">
      <alignment horizontal="center" vertical="center" wrapText="1"/>
    </xf>
    <xf numFmtId="0" fontId="45" fillId="0" borderId="10" xfId="0" applyFont="1" applyBorder="1" applyAlignment="1">
      <alignment horizontal="center" vertical="center" wrapText="1"/>
    </xf>
    <xf numFmtId="0" fontId="40" fillId="0" borderId="0" xfId="0" applyFont="1" applyAlignment="1">
      <alignment horizontal="center" vertical="center" wrapText="1"/>
    </xf>
    <xf numFmtId="0" fontId="47" fillId="0" borderId="13" xfId="0" applyFont="1" applyBorder="1" applyAlignment="1">
      <alignment horizontal="center" vertical="top" wrapText="1"/>
    </xf>
    <xf numFmtId="0" fontId="47" fillId="0" borderId="15" xfId="0" applyFont="1" applyBorder="1" applyAlignment="1">
      <alignment horizontal="center" vertical="top" wrapText="1"/>
    </xf>
    <xf numFmtId="0" fontId="49" fillId="0" borderId="0" xfId="0" applyFont="1"/>
    <xf numFmtId="0" fontId="45" fillId="0" borderId="16" xfId="0" applyFont="1" applyBorder="1" applyAlignment="1">
      <alignment horizontal="center"/>
    </xf>
    <xf numFmtId="0" fontId="45" fillId="0" borderId="0" xfId="0" applyFont="1" applyAlignment="1">
      <alignment horizontal="center" vertical="center" wrapText="1"/>
    </xf>
    <xf numFmtId="0" fontId="45" fillId="0" borderId="17" xfId="0" applyFont="1" applyBorder="1" applyAlignment="1">
      <alignment horizontal="center" vertical="center" wrapText="1"/>
    </xf>
    <xf numFmtId="0" fontId="45" fillId="0" borderId="19" xfId="0" applyFont="1" applyBorder="1" applyAlignment="1">
      <alignment horizontal="center"/>
    </xf>
    <xf numFmtId="0" fontId="47" fillId="0" borderId="13" xfId="0" applyFont="1" applyBorder="1" applyAlignment="1">
      <alignment horizontal="center" vertical="center" wrapText="1"/>
    </xf>
    <xf numFmtId="0" fontId="47" fillId="0" borderId="15" xfId="0" applyFont="1" applyBorder="1" applyAlignment="1">
      <alignment horizontal="center" vertical="center" wrapText="1"/>
    </xf>
    <xf numFmtId="0" fontId="45" fillId="0" borderId="16" xfId="0" applyFont="1" applyBorder="1" applyAlignment="1">
      <alignment horizontal="center" vertical="center" wrapText="1"/>
    </xf>
    <xf numFmtId="43" fontId="44" fillId="0" borderId="0" xfId="0" applyNumberFormat="1" applyFont="1" applyAlignment="1">
      <alignment horizontal="center"/>
    </xf>
    <xf numFmtId="43" fontId="45" fillId="0" borderId="19" xfId="1" applyFont="1" applyBorder="1" applyAlignment="1">
      <alignment horizontal="center"/>
    </xf>
    <xf numFmtId="43" fontId="44" fillId="0" borderId="0" xfId="0" applyNumberFormat="1" applyFont="1" applyAlignment="1">
      <alignment horizontal="center" vertical="center"/>
    </xf>
    <xf numFmtId="0" fontId="40" fillId="0" borderId="0" xfId="0" applyFont="1" applyAlignment="1">
      <alignment horizontal="center" vertical="center"/>
    </xf>
    <xf numFmtId="43" fontId="45" fillId="0" borderId="16" xfId="0" applyNumberFormat="1" applyFont="1" applyBorder="1" applyAlignment="1">
      <alignment horizontal="center" vertical="center"/>
    </xf>
    <xf numFmtId="0" fontId="52" fillId="0" borderId="0" xfId="3" applyFont="1"/>
    <xf numFmtId="43" fontId="44" fillId="0" borderId="0" xfId="1" applyFont="1" applyAlignment="1">
      <alignment vertical="center"/>
    </xf>
    <xf numFmtId="43" fontId="44" fillId="0" borderId="17" xfId="1" applyFont="1" applyBorder="1" applyAlignment="1">
      <alignment vertical="center"/>
    </xf>
    <xf numFmtId="43" fontId="45" fillId="0" borderId="16" xfId="0" applyNumberFormat="1" applyFont="1" applyBorder="1" applyAlignment="1">
      <alignment horizontal="center" vertical="center" wrapText="1"/>
    </xf>
    <xf numFmtId="43" fontId="44" fillId="0" borderId="20" xfId="1" applyFont="1" applyBorder="1" applyAlignment="1">
      <alignment vertical="center"/>
    </xf>
    <xf numFmtId="43" fontId="44" fillId="0" borderId="22" xfId="1" applyFont="1" applyBorder="1" applyAlignment="1">
      <alignment vertical="center"/>
    </xf>
    <xf numFmtId="0" fontId="47" fillId="0" borderId="0" xfId="0" applyFont="1" applyAlignment="1">
      <alignment vertical="center"/>
    </xf>
    <xf numFmtId="0" fontId="44" fillId="0" borderId="0" xfId="0" applyFont="1" applyAlignment="1">
      <alignment horizontal="left"/>
    </xf>
    <xf numFmtId="0" fontId="44" fillId="0" borderId="0" xfId="0" applyFont="1" applyAlignment="1">
      <alignment horizontal="left" wrapText="1"/>
    </xf>
    <xf numFmtId="0" fontId="45" fillId="0" borderId="23" xfId="0" applyFont="1" applyBorder="1" applyAlignment="1">
      <alignment horizontal="center" vertical="center"/>
    </xf>
    <xf numFmtId="0" fontId="45" fillId="0" borderId="24" xfId="0" applyFont="1" applyBorder="1" applyAlignment="1">
      <alignment horizontal="center" vertical="center" wrapText="1"/>
    </xf>
    <xf numFmtId="0" fontId="45" fillId="0" borderId="25" xfId="0" applyFont="1" applyBorder="1" applyAlignment="1">
      <alignment horizontal="center" vertical="center" wrapText="1"/>
    </xf>
    <xf numFmtId="0" fontId="54" fillId="0" borderId="0" xfId="0" applyFont="1"/>
    <xf numFmtId="43" fontId="52" fillId="0" borderId="0" xfId="3" applyNumberFormat="1" applyFont="1"/>
    <xf numFmtId="0" fontId="44" fillId="0" borderId="0" xfId="0" applyFont="1" applyAlignment="1">
      <alignment horizontal="left" vertical="top" indent="2"/>
    </xf>
    <xf numFmtId="0" fontId="44" fillId="0" borderId="0" xfId="0" applyFont="1" applyAlignment="1">
      <alignment horizontal="left" vertical="top" wrapText="1"/>
    </xf>
    <xf numFmtId="0" fontId="48" fillId="0" borderId="13" xfId="0" applyFont="1" applyBorder="1" applyAlignment="1">
      <alignment horizontal="center"/>
    </xf>
    <xf numFmtId="0" fontId="48" fillId="0" borderId="4" xfId="0" applyFont="1" applyBorder="1"/>
    <xf numFmtId="0" fontId="45" fillId="0" borderId="24" xfId="0" applyFont="1" applyBorder="1" applyAlignment="1">
      <alignment horizontal="center" vertical="center"/>
    </xf>
    <xf numFmtId="0" fontId="45" fillId="0" borderId="34" xfId="0" applyFont="1" applyBorder="1" applyAlignment="1">
      <alignment horizontal="center" vertical="center" wrapText="1"/>
    </xf>
    <xf numFmtId="0" fontId="55" fillId="0" borderId="0" xfId="0" applyFont="1"/>
    <xf numFmtId="0" fontId="56" fillId="0" borderId="0" xfId="0" applyFont="1" applyAlignment="1">
      <alignment horizontal="left" vertical="top"/>
    </xf>
    <xf numFmtId="0" fontId="38" fillId="0" borderId="0" xfId="3" applyAlignment="1">
      <alignment vertical="center"/>
    </xf>
    <xf numFmtId="0" fontId="45" fillId="0" borderId="5" xfId="0" applyFont="1" applyBorder="1"/>
    <xf numFmtId="0" fontId="45" fillId="0" borderId="0" xfId="0" applyFont="1"/>
    <xf numFmtId="0" fontId="45" fillId="0" borderId="23" xfId="0" applyFont="1" applyBorder="1" applyAlignment="1">
      <alignment horizontal="center" vertical="center" wrapText="1"/>
    </xf>
    <xf numFmtId="2" fontId="46" fillId="0" borderId="13" xfId="0" applyNumberFormat="1" applyFont="1" applyBorder="1"/>
    <xf numFmtId="2" fontId="46" fillId="0" borderId="15" xfId="0" applyNumberFormat="1" applyFont="1" applyBorder="1"/>
    <xf numFmtId="2" fontId="46" fillId="0" borderId="21" xfId="0" applyNumberFormat="1" applyFont="1" applyBorder="1"/>
    <xf numFmtId="0" fontId="57" fillId="0" borderId="0" xfId="0" applyFont="1" applyAlignment="1">
      <alignment wrapText="1"/>
    </xf>
    <xf numFmtId="0" fontId="45" fillId="0" borderId="29" xfId="0" applyFont="1" applyBorder="1"/>
    <xf numFmtId="0" fontId="45" fillId="0" borderId="8" xfId="0" applyFont="1" applyBorder="1"/>
    <xf numFmtId="0" fontId="45" fillId="0" borderId="40" xfId="0" applyFont="1" applyBorder="1" applyAlignment="1">
      <alignment horizontal="centerContinuous" vertical="distributed"/>
    </xf>
    <xf numFmtId="0" fontId="45" fillId="0" borderId="41" xfId="0" applyFont="1" applyBorder="1" applyAlignment="1">
      <alignment horizontal="centerContinuous" vertical="distributed"/>
    </xf>
    <xf numFmtId="0" fontId="45" fillId="0" borderId="42" xfId="0" applyFont="1" applyBorder="1" applyAlignment="1">
      <alignment horizontal="centerContinuous" vertical="distributed"/>
    </xf>
    <xf numFmtId="0" fontId="45" fillId="0" borderId="43" xfId="0" applyFont="1" applyBorder="1"/>
    <xf numFmtId="0" fontId="45" fillId="0" borderId="44" xfId="0" applyFont="1" applyBorder="1" applyAlignment="1">
      <alignment horizontal="center"/>
    </xf>
    <xf numFmtId="0" fontId="45" fillId="0" borderId="45" xfId="0" applyFont="1" applyBorder="1" applyAlignment="1">
      <alignment horizontal="center" vertical="center" wrapText="1"/>
    </xf>
    <xf numFmtId="0" fontId="45" fillId="0" borderId="31" xfId="0" applyFont="1" applyBorder="1" applyAlignment="1">
      <alignment horizontal="center" vertical="center" wrapText="1"/>
    </xf>
    <xf numFmtId="0" fontId="45" fillId="0" borderId="46" xfId="0" applyFont="1" applyBorder="1" applyAlignment="1">
      <alignment horizontal="center"/>
    </xf>
    <xf numFmtId="0" fontId="45" fillId="0" borderId="32" xfId="0" applyFont="1" applyBorder="1" applyAlignment="1">
      <alignment horizontal="center" wrapText="1"/>
    </xf>
    <xf numFmtId="0" fontId="45" fillId="0" borderId="47" xfId="0" applyFont="1" applyBorder="1" applyAlignment="1">
      <alignment horizontal="center" wrapText="1"/>
    </xf>
    <xf numFmtId="0" fontId="45" fillId="0" borderId="33" xfId="0" applyFont="1" applyBorder="1" applyAlignment="1">
      <alignment horizontal="center" vertical="center" wrapText="1"/>
    </xf>
    <xf numFmtId="0" fontId="45" fillId="0" borderId="35" xfId="0" applyFont="1" applyBorder="1" applyAlignment="1">
      <alignment horizontal="center" vertical="center" wrapText="1"/>
    </xf>
    <xf numFmtId="0" fontId="45" fillId="0" borderId="47" xfId="0" applyFont="1" applyBorder="1" applyAlignment="1">
      <alignment horizontal="center" vertical="center" wrapText="1"/>
    </xf>
    <xf numFmtId="0" fontId="45" fillId="0" borderId="48" xfId="0" applyFont="1" applyBorder="1" applyAlignment="1">
      <alignment horizontal="center" wrapText="1"/>
    </xf>
    <xf numFmtId="0" fontId="44" fillId="0" borderId="53" xfId="0" applyFont="1" applyBorder="1" applyAlignment="1">
      <alignment horizontal="left" vertical="top"/>
    </xf>
    <xf numFmtId="0" fontId="56" fillId="0" borderId="53" xfId="0" applyFont="1" applyBorder="1" applyAlignment="1">
      <alignment horizontal="left" vertical="top" wrapText="1"/>
    </xf>
    <xf numFmtId="0" fontId="44" fillId="0" borderId="53" xfId="0" applyFont="1" applyBorder="1" applyAlignment="1">
      <alignment horizontal="left" vertical="top" wrapText="1"/>
    </xf>
    <xf numFmtId="0" fontId="44" fillId="0" borderId="0" xfId="0" applyFont="1" applyAlignment="1">
      <alignment horizontal="left" vertical="top"/>
    </xf>
    <xf numFmtId="0" fontId="48" fillId="0" borderId="5" xfId="0" applyFont="1" applyBorder="1"/>
    <xf numFmtId="0" fontId="45" fillId="0" borderId="54" xfId="0" applyFont="1" applyBorder="1" applyAlignment="1">
      <alignment horizontal="center" vertical="center" wrapText="1"/>
    </xf>
    <xf numFmtId="0" fontId="48" fillId="0" borderId="0" xfId="0" applyFont="1" applyAlignment="1">
      <alignment horizontal="center"/>
    </xf>
    <xf numFmtId="166" fontId="59" fillId="0" borderId="14" xfId="0" applyNumberFormat="1" applyFont="1" applyBorder="1" applyAlignment="1">
      <alignment vertical="center"/>
    </xf>
    <xf numFmtId="166" fontId="42" fillId="0" borderId="0" xfId="0" applyNumberFormat="1" applyFont="1"/>
    <xf numFmtId="166" fontId="59" fillId="0" borderId="13" xfId="0" applyNumberFormat="1" applyFont="1" applyBorder="1" applyAlignment="1">
      <alignment vertical="center"/>
    </xf>
    <xf numFmtId="166" fontId="59" fillId="0" borderId="21" xfId="0" applyNumberFormat="1" applyFont="1" applyBorder="1" applyAlignment="1">
      <alignment vertical="center"/>
    </xf>
    <xf numFmtId="0" fontId="54" fillId="0" borderId="0" xfId="0" applyFont="1" applyAlignment="1">
      <alignment vertical="center"/>
    </xf>
    <xf numFmtId="2" fontId="45" fillId="0" borderId="23" xfId="4" applyNumberFormat="1" applyFont="1" applyBorder="1" applyAlignment="1">
      <alignment horizontal="center" vertical="center" wrapText="1"/>
    </xf>
    <xf numFmtId="2" fontId="45" fillId="0" borderId="24" xfId="4" applyNumberFormat="1" applyFont="1" applyBorder="1" applyAlignment="1">
      <alignment horizontal="center" vertical="center" wrapText="1"/>
    </xf>
    <xf numFmtId="2" fontId="45" fillId="0" borderId="25" xfId="4" applyNumberFormat="1" applyFont="1" applyBorder="1" applyAlignment="1">
      <alignment horizontal="center" vertical="center" wrapText="1"/>
    </xf>
    <xf numFmtId="43" fontId="60" fillId="0" borderId="13" xfId="1" applyFont="1" applyBorder="1" applyAlignment="1">
      <alignment horizontal="right"/>
    </xf>
    <xf numFmtId="0" fontId="48" fillId="0" borderId="4" xfId="0" applyFont="1" applyBorder="1" applyAlignment="1">
      <alignment horizontal="left"/>
    </xf>
    <xf numFmtId="0" fontId="48" fillId="0" borderId="5" xfId="0" applyFont="1" applyBorder="1" applyAlignment="1">
      <alignment horizontal="left" wrapText="1"/>
    </xf>
    <xf numFmtId="0" fontId="48" fillId="0" borderId="0" xfId="0" applyFont="1" applyAlignment="1">
      <alignment horizontal="center" vertical="center"/>
    </xf>
    <xf numFmtId="0" fontId="61" fillId="0" borderId="26" xfId="0" applyFont="1" applyBorder="1" applyAlignment="1">
      <alignment vertical="center"/>
    </xf>
    <xf numFmtId="0" fontId="45" fillId="0" borderId="29" xfId="0" applyFont="1" applyBorder="1" applyAlignment="1">
      <alignment horizontal="center" vertical="center" wrapText="1"/>
    </xf>
    <xf numFmtId="0" fontId="45" fillId="0" borderId="8" xfId="0" applyFont="1" applyBorder="1" applyAlignment="1">
      <alignment horizontal="center" vertical="center" wrapText="1"/>
    </xf>
    <xf numFmtId="0" fontId="45" fillId="0" borderId="0" xfId="0" applyFont="1" applyAlignment="1">
      <alignment horizontal="left"/>
    </xf>
    <xf numFmtId="0" fontId="45" fillId="0" borderId="7" xfId="0" applyFont="1" applyBorder="1" applyAlignment="1">
      <alignment horizontal="center" vertical="top" wrapText="1"/>
    </xf>
    <xf numFmtId="0" fontId="45" fillId="0" borderId="58" xfId="0" applyFont="1" applyBorder="1" applyAlignment="1">
      <alignment horizontal="center" vertical="top" wrapText="1"/>
    </xf>
    <xf numFmtId="0" fontId="45" fillId="0" borderId="59" xfId="0" applyFont="1" applyBorder="1" applyAlignment="1">
      <alignment horizontal="center" vertical="top" wrapText="1"/>
    </xf>
    <xf numFmtId="0" fontId="45" fillId="0" borderId="56" xfId="0" applyFont="1" applyBorder="1" applyAlignment="1">
      <alignment horizontal="center" vertical="top" wrapText="1"/>
    </xf>
    <xf numFmtId="0" fontId="45" fillId="0" borderId="57" xfId="0" applyFont="1" applyBorder="1" applyAlignment="1">
      <alignment horizontal="center" vertical="top" wrapText="1"/>
    </xf>
    <xf numFmtId="0" fontId="63" fillId="5" borderId="1" xfId="0" applyFont="1" applyFill="1" applyBorder="1" applyAlignment="1">
      <alignment horizontal="left" vertical="center"/>
    </xf>
    <xf numFmtId="0" fontId="64" fillId="16" borderId="1" xfId="0" applyFont="1" applyFill="1" applyBorder="1" applyAlignment="1">
      <alignment horizontal="center" vertical="center" wrapText="1"/>
    </xf>
    <xf numFmtId="0" fontId="20" fillId="20" borderId="64" xfId="0" applyFont="1" applyFill="1" applyBorder="1" applyAlignment="1">
      <alignment horizontal="center" vertical="center" wrapText="1"/>
    </xf>
    <xf numFmtId="165" fontId="16" fillId="7" borderId="65" xfId="0" applyNumberFormat="1" applyFont="1" applyFill="1" applyBorder="1" applyAlignment="1">
      <alignment horizontal="center" vertical="center"/>
    </xf>
    <xf numFmtId="164" fontId="7" fillId="19" borderId="65" xfId="0" applyNumberFormat="1" applyFont="1" applyFill="1" applyBorder="1" applyAlignment="1">
      <alignment horizontal="center" vertical="center"/>
    </xf>
    <xf numFmtId="0" fontId="14" fillId="5" borderId="65" xfId="0" applyFont="1" applyFill="1" applyBorder="1" applyAlignment="1">
      <alignment horizontal="center" vertical="center"/>
    </xf>
    <xf numFmtId="0" fontId="20" fillId="20" borderId="66" xfId="0" applyFont="1" applyFill="1" applyBorder="1" applyAlignment="1">
      <alignment horizontal="center" vertical="center" wrapText="1"/>
    </xf>
    <xf numFmtId="0" fontId="20" fillId="20" borderId="69" xfId="0" applyFont="1" applyFill="1" applyBorder="1" applyAlignment="1">
      <alignment horizontal="center" vertical="center" wrapText="1"/>
    </xf>
    <xf numFmtId="3" fontId="4" fillId="11" borderId="1" xfId="0" quotePrefix="1" applyNumberFormat="1" applyFont="1" applyFill="1" applyBorder="1" applyAlignment="1">
      <alignment horizontal="center" vertical="center"/>
    </xf>
    <xf numFmtId="0" fontId="4" fillId="11" borderId="3" xfId="0" applyFont="1" applyFill="1" applyBorder="1" applyAlignment="1">
      <alignment horizontal="left" vertical="center"/>
    </xf>
    <xf numFmtId="3" fontId="4" fillId="11" borderId="3" xfId="0" applyNumberFormat="1" applyFont="1" applyFill="1" applyBorder="1" applyAlignment="1">
      <alignment horizontal="center" vertical="center"/>
    </xf>
    <xf numFmtId="0" fontId="0" fillId="27" borderId="0" xfId="0" applyFill="1"/>
    <xf numFmtId="0" fontId="78" fillId="31" borderId="77" xfId="0" applyFont="1" applyFill="1" applyBorder="1" applyAlignment="1">
      <alignment horizontal="center" vertical="center"/>
    </xf>
    <xf numFmtId="0" fontId="79" fillId="29" borderId="77" xfId="0" applyFont="1" applyFill="1" applyBorder="1" applyAlignment="1">
      <alignment horizontal="left" vertical="center"/>
    </xf>
    <xf numFmtId="0" fontId="80" fillId="29" borderId="77" xfId="0" applyFont="1" applyFill="1" applyBorder="1" applyAlignment="1">
      <alignment horizontal="left" vertical="center"/>
    </xf>
    <xf numFmtId="4" fontId="81" fillId="29" borderId="77" xfId="0" applyNumberFormat="1" applyFont="1" applyFill="1" applyBorder="1" applyAlignment="1">
      <alignment horizontal="center" vertical="center"/>
    </xf>
    <xf numFmtId="167" fontId="80" fillId="29" borderId="77" xfId="0" applyNumberFormat="1" applyFont="1" applyFill="1" applyBorder="1" applyAlignment="1">
      <alignment horizontal="center" vertical="center"/>
    </xf>
    <xf numFmtId="0" fontId="80" fillId="29" borderId="77" xfId="0" applyFont="1" applyFill="1" applyBorder="1" applyAlignment="1">
      <alignment horizontal="center" vertical="center"/>
    </xf>
    <xf numFmtId="4" fontId="80" fillId="29" borderId="77" xfId="0" applyNumberFormat="1" applyFont="1" applyFill="1" applyBorder="1" applyAlignment="1">
      <alignment horizontal="center" vertical="center"/>
    </xf>
    <xf numFmtId="0" fontId="82" fillId="29" borderId="77" xfId="0" applyFont="1" applyFill="1" applyBorder="1" applyAlignment="1">
      <alignment horizontal="center" vertical="center"/>
    </xf>
    <xf numFmtId="0" fontId="83" fillId="32" borderId="77" xfId="0" applyFont="1" applyFill="1" applyBorder="1" applyAlignment="1">
      <alignment horizontal="left" vertical="center"/>
    </xf>
    <xf numFmtId="0" fontId="80" fillId="32" borderId="77" xfId="0" applyFont="1" applyFill="1" applyBorder="1" applyAlignment="1">
      <alignment horizontal="left" vertical="center"/>
    </xf>
    <xf numFmtId="4" fontId="81" fillId="32" borderId="77" xfId="0" applyNumberFormat="1" applyFont="1" applyFill="1" applyBorder="1" applyAlignment="1">
      <alignment horizontal="center" vertical="center"/>
    </xf>
    <xf numFmtId="167" fontId="80" fillId="32" borderId="77" xfId="0" applyNumberFormat="1" applyFont="1" applyFill="1" applyBorder="1" applyAlignment="1">
      <alignment horizontal="center" vertical="center"/>
    </xf>
    <xf numFmtId="4" fontId="80" fillId="32" borderId="77" xfId="0" applyNumberFormat="1" applyFont="1" applyFill="1" applyBorder="1" applyAlignment="1">
      <alignment horizontal="center" vertical="center"/>
    </xf>
    <xf numFmtId="0" fontId="80" fillId="32" borderId="77" xfId="0" applyFont="1" applyFill="1" applyBorder="1" applyAlignment="1">
      <alignment horizontal="center" vertical="center"/>
    </xf>
    <xf numFmtId="0" fontId="82" fillId="32" borderId="77" xfId="0" applyFont="1" applyFill="1" applyBorder="1" applyAlignment="1">
      <alignment horizontal="center" vertical="center"/>
    </xf>
    <xf numFmtId="0" fontId="84" fillId="29" borderId="77" xfId="0" applyFont="1" applyFill="1" applyBorder="1" applyAlignment="1">
      <alignment horizontal="left" vertical="center"/>
    </xf>
    <xf numFmtId="0" fontId="85" fillId="31" borderId="77" xfId="0" applyFont="1" applyFill="1" applyBorder="1" applyAlignment="1">
      <alignment horizontal="left" vertical="center"/>
    </xf>
    <xf numFmtId="0" fontId="80" fillId="31" borderId="77" xfId="0" applyFont="1" applyFill="1" applyBorder="1" applyAlignment="1">
      <alignment horizontal="left" vertical="center"/>
    </xf>
    <xf numFmtId="4" fontId="78" fillId="31" borderId="77" xfId="0" applyNumberFormat="1" applyFont="1" applyFill="1" applyBorder="1" applyAlignment="1">
      <alignment horizontal="center" vertical="center"/>
    </xf>
    <xf numFmtId="167" fontId="80" fillId="31" borderId="77" xfId="0" applyNumberFormat="1" applyFont="1" applyFill="1" applyBorder="1" applyAlignment="1">
      <alignment horizontal="center" vertical="center"/>
    </xf>
    <xf numFmtId="0" fontId="80" fillId="31" borderId="77" xfId="0" applyFont="1" applyFill="1" applyBorder="1" applyAlignment="1">
      <alignment horizontal="center" vertical="center"/>
    </xf>
    <xf numFmtId="0" fontId="86" fillId="31" borderId="77" xfId="0" applyFont="1" applyFill="1" applyBorder="1" applyAlignment="1">
      <alignment horizontal="center" vertical="center"/>
    </xf>
    <xf numFmtId="0" fontId="87" fillId="29" borderId="77" xfId="0" applyFont="1" applyFill="1" applyBorder="1" applyAlignment="1">
      <alignment horizontal="left" vertical="center"/>
    </xf>
    <xf numFmtId="1" fontId="80" fillId="29" borderId="77" xfId="0" applyNumberFormat="1" applyFont="1" applyFill="1" applyBorder="1" applyAlignment="1">
      <alignment horizontal="center" vertical="center"/>
    </xf>
    <xf numFmtId="3" fontId="81" fillId="29" borderId="77" xfId="0" applyNumberFormat="1" applyFont="1" applyFill="1" applyBorder="1" applyAlignment="1">
      <alignment horizontal="center" vertical="center"/>
    </xf>
    <xf numFmtId="0" fontId="79" fillId="32" borderId="77" xfId="0" applyFont="1" applyFill="1" applyBorder="1" applyAlignment="1">
      <alignment horizontal="left" vertical="center"/>
    </xf>
    <xf numFmtId="1" fontId="80" fillId="32" borderId="77" xfId="0" applyNumberFormat="1" applyFont="1" applyFill="1" applyBorder="1" applyAlignment="1">
      <alignment horizontal="center" vertical="center"/>
    </xf>
    <xf numFmtId="3" fontId="81" fillId="32" borderId="77" xfId="0" applyNumberFormat="1" applyFont="1" applyFill="1" applyBorder="1" applyAlignment="1">
      <alignment horizontal="center" vertical="center"/>
    </xf>
    <xf numFmtId="0" fontId="78" fillId="29" borderId="77" xfId="0" applyFont="1" applyFill="1" applyBorder="1" applyAlignment="1">
      <alignment horizontal="left" vertical="center"/>
    </xf>
    <xf numFmtId="167" fontId="74" fillId="29" borderId="77" xfId="0" applyNumberFormat="1" applyFont="1" applyFill="1" applyBorder="1" applyAlignment="1">
      <alignment horizontal="center" vertical="center"/>
    </xf>
    <xf numFmtId="167" fontId="86" fillId="29" borderId="77" xfId="0" applyNumberFormat="1" applyFont="1" applyFill="1" applyBorder="1" applyAlignment="1">
      <alignment horizontal="center" vertical="center"/>
    </xf>
    <xf numFmtId="0" fontId="78" fillId="32" borderId="77" xfId="0" applyFont="1" applyFill="1" applyBorder="1" applyAlignment="1">
      <alignment horizontal="left" vertical="center"/>
    </xf>
    <xf numFmtId="167" fontId="74" fillId="32" borderId="77" xfId="0" applyNumberFormat="1" applyFont="1" applyFill="1" applyBorder="1" applyAlignment="1">
      <alignment horizontal="center" vertical="center"/>
    </xf>
    <xf numFmtId="167" fontId="86" fillId="32" borderId="77" xfId="0" applyNumberFormat="1" applyFont="1" applyFill="1" applyBorder="1" applyAlignment="1">
      <alignment horizontal="center" vertical="center"/>
    </xf>
    <xf numFmtId="0" fontId="86" fillId="29" borderId="77" xfId="0" applyFont="1" applyFill="1" applyBorder="1" applyAlignment="1">
      <alignment horizontal="left" vertical="center"/>
    </xf>
    <xf numFmtId="0" fontId="86" fillId="32" borderId="77" xfId="0" applyFont="1" applyFill="1" applyBorder="1" applyAlignment="1">
      <alignment horizontal="left" vertical="center"/>
    </xf>
    <xf numFmtId="169" fontId="44" fillId="0" borderId="0" xfId="0" applyNumberFormat="1" applyFont="1"/>
    <xf numFmtId="170" fontId="42" fillId="0" borderId="0" xfId="0" applyNumberFormat="1" applyFont="1"/>
    <xf numFmtId="170" fontId="45" fillId="0" borderId="0" xfId="1" applyNumberFormat="1" applyFont="1"/>
    <xf numFmtId="168" fontId="45" fillId="0" borderId="0" xfId="1" applyNumberFormat="1" applyFont="1"/>
    <xf numFmtId="169" fontId="45" fillId="0" borderId="0" xfId="1" applyNumberFormat="1" applyFont="1"/>
    <xf numFmtId="168" fontId="45" fillId="0" borderId="17" xfId="1" applyNumberFormat="1" applyFont="1" applyBorder="1"/>
    <xf numFmtId="168" fontId="45" fillId="0" borderId="0" xfId="0" applyNumberFormat="1" applyFont="1"/>
    <xf numFmtId="168" fontId="45" fillId="0" borderId="17" xfId="0" applyNumberFormat="1" applyFont="1" applyBorder="1"/>
    <xf numFmtId="170" fontId="44" fillId="0" borderId="0" xfId="1" applyNumberFormat="1" applyFont="1"/>
    <xf numFmtId="170" fontId="51" fillId="0" borderId="0" xfId="1" applyNumberFormat="1" applyFont="1"/>
    <xf numFmtId="173" fontId="45" fillId="0" borderId="0" xfId="1" applyNumberFormat="1" applyFont="1"/>
    <xf numFmtId="172" fontId="45" fillId="0" borderId="0" xfId="1" applyNumberFormat="1" applyFont="1"/>
    <xf numFmtId="172" fontId="45" fillId="0" borderId="17" xfId="1" applyNumberFormat="1" applyFont="1" applyBorder="1"/>
    <xf numFmtId="174" fontId="44" fillId="0" borderId="0" xfId="0" applyNumberFormat="1" applyFont="1"/>
    <xf numFmtId="173" fontId="44" fillId="0" borderId="0" xfId="0" applyNumberFormat="1" applyFont="1"/>
    <xf numFmtId="174" fontId="46" fillId="0" borderId="14" xfId="1" applyNumberFormat="1" applyFont="1" applyBorder="1"/>
    <xf numFmtId="174" fontId="46" fillId="0" borderId="10" xfId="1" applyNumberFormat="1" applyFont="1" applyBorder="1"/>
    <xf numFmtId="174" fontId="46" fillId="0" borderId="13" xfId="1" applyNumberFormat="1" applyFont="1" applyBorder="1"/>
    <xf numFmtId="174" fontId="46" fillId="0" borderId="15" xfId="1" applyNumberFormat="1" applyFont="1" applyBorder="1"/>
    <xf numFmtId="174" fontId="46" fillId="0" borderId="21" xfId="1" applyNumberFormat="1" applyFont="1" applyBorder="1"/>
    <xf numFmtId="174" fontId="46" fillId="0" borderId="12" xfId="1" applyNumberFormat="1" applyFont="1" applyBorder="1"/>
    <xf numFmtId="169" fontId="46" fillId="0" borderId="9" xfId="1" applyNumberFormat="1" applyFont="1" applyBorder="1"/>
    <xf numFmtId="170" fontId="46" fillId="0" borderId="14" xfId="1" applyNumberFormat="1" applyFont="1" applyBorder="1"/>
    <xf numFmtId="170" fontId="46" fillId="0" borderId="41" xfId="1" applyNumberFormat="1" applyFont="1" applyBorder="1"/>
    <xf numFmtId="170" fontId="46" fillId="0" borderId="10" xfId="1" applyNumberFormat="1" applyFont="1" applyBorder="1"/>
    <xf numFmtId="169" fontId="46" fillId="0" borderId="18" xfId="1" applyNumberFormat="1" applyFont="1" applyBorder="1"/>
    <xf numFmtId="170" fontId="46" fillId="0" borderId="13" xfId="1" applyNumberFormat="1" applyFont="1" applyBorder="1"/>
    <xf numFmtId="170" fontId="46" fillId="0" borderId="5" xfId="1" applyNumberFormat="1" applyFont="1" applyBorder="1"/>
    <xf numFmtId="170" fontId="46" fillId="0" borderId="15" xfId="1" applyNumberFormat="1" applyFont="1" applyBorder="1"/>
    <xf numFmtId="169" fontId="46" fillId="0" borderId="11" xfId="1" applyNumberFormat="1" applyFont="1" applyBorder="1"/>
    <xf numFmtId="170" fontId="46" fillId="0" borderId="21" xfId="1" applyNumberFormat="1" applyFont="1" applyBorder="1"/>
    <xf numFmtId="170" fontId="46" fillId="0" borderId="51" xfId="1" applyNumberFormat="1" applyFont="1" applyBorder="1"/>
    <xf numFmtId="170" fontId="46" fillId="0" borderId="12" xfId="1" applyNumberFormat="1" applyFont="1" applyBorder="1"/>
    <xf numFmtId="173" fontId="56" fillId="0" borderId="0" xfId="0" applyNumberFormat="1" applyFont="1"/>
    <xf numFmtId="175" fontId="59" fillId="0" borderId="14" xfId="0" applyNumberFormat="1" applyFont="1" applyBorder="1" applyAlignment="1">
      <alignment vertical="center"/>
    </xf>
    <xf numFmtId="175" fontId="42" fillId="0" borderId="0" xfId="0" applyNumberFormat="1" applyFont="1"/>
    <xf numFmtId="175" fontId="59" fillId="0" borderId="13" xfId="0" applyNumberFormat="1" applyFont="1" applyBorder="1" applyAlignment="1">
      <alignment vertical="center"/>
    </xf>
    <xf numFmtId="175" fontId="59" fillId="0" borderId="21" xfId="0" applyNumberFormat="1" applyFont="1" applyBorder="1" applyAlignment="1">
      <alignment vertical="center"/>
    </xf>
    <xf numFmtId="170" fontId="59" fillId="0" borderId="14" xfId="1" applyNumberFormat="1" applyFont="1" applyBorder="1" applyAlignment="1">
      <alignment vertical="center"/>
    </xf>
    <xf numFmtId="174" fontId="59" fillId="0" borderId="14" xfId="1" applyNumberFormat="1" applyFont="1" applyBorder="1" applyAlignment="1">
      <alignment vertical="center"/>
    </xf>
    <xf numFmtId="174" fontId="42" fillId="0" borderId="0" xfId="0" applyNumberFormat="1" applyFont="1"/>
    <xf numFmtId="170" fontId="59" fillId="0" borderId="13" xfId="1" applyNumberFormat="1" applyFont="1" applyBorder="1" applyAlignment="1">
      <alignment vertical="center"/>
    </xf>
    <xf numFmtId="174" fontId="59" fillId="0" borderId="13" xfId="1" applyNumberFormat="1" applyFont="1" applyBorder="1" applyAlignment="1">
      <alignment vertical="center"/>
    </xf>
    <xf numFmtId="170" fontId="59" fillId="0" borderId="21" xfId="1" applyNumberFormat="1" applyFont="1" applyBorder="1" applyAlignment="1">
      <alignment vertical="center"/>
    </xf>
    <xf numFmtId="174" fontId="59" fillId="0" borderId="21" xfId="1" applyNumberFormat="1" applyFont="1" applyBorder="1" applyAlignment="1">
      <alignment vertical="center"/>
    </xf>
    <xf numFmtId="170" fontId="59" fillId="0" borderId="27" xfId="1" applyNumberFormat="1" applyFont="1" applyBorder="1" applyAlignment="1">
      <alignment vertical="center"/>
    </xf>
    <xf numFmtId="174" fontId="59" fillId="0" borderId="27" xfId="1" applyNumberFormat="1" applyFont="1" applyBorder="1" applyAlignment="1">
      <alignment vertical="center"/>
    </xf>
    <xf numFmtId="169" fontId="42" fillId="0" borderId="0" xfId="0" applyNumberFormat="1" applyFont="1"/>
    <xf numFmtId="0" fontId="78" fillId="31" borderId="77" xfId="0" applyFont="1" applyFill="1" applyBorder="1" applyAlignment="1">
      <alignment horizontal="left" vertical="center"/>
    </xf>
    <xf numFmtId="4" fontId="91" fillId="34" borderId="77" xfId="0" applyNumberFormat="1" applyFont="1" applyFill="1" applyBorder="1" applyAlignment="1">
      <alignment horizontal="center" vertical="center"/>
    </xf>
    <xf numFmtId="0" fontId="92" fillId="29" borderId="83" xfId="0" applyFont="1" applyFill="1" applyBorder="1" applyAlignment="1">
      <alignment horizontal="left" vertical="center" wrapText="1"/>
    </xf>
    <xf numFmtId="4" fontId="91" fillId="35" borderId="77" xfId="0" applyNumberFormat="1" applyFont="1" applyFill="1" applyBorder="1" applyAlignment="1">
      <alignment horizontal="center" vertical="center"/>
    </xf>
    <xf numFmtId="0" fontId="93" fillId="29" borderId="84" xfId="0" applyFont="1" applyFill="1" applyBorder="1" applyAlignment="1">
      <alignment horizontal="left" vertical="center" wrapText="1"/>
    </xf>
    <xf numFmtId="0" fontId="83" fillId="29" borderId="79" xfId="0" applyFont="1" applyFill="1" applyBorder="1" applyAlignment="1">
      <alignment horizontal="left" vertical="center" wrapText="1"/>
    </xf>
    <xf numFmtId="0" fontId="69" fillId="29" borderId="78" xfId="0" applyFont="1" applyFill="1" applyBorder="1" applyAlignment="1">
      <alignment horizontal="left" vertical="center"/>
    </xf>
    <xf numFmtId="4" fontId="69" fillId="34" borderId="77" xfId="0" applyNumberFormat="1" applyFont="1" applyFill="1" applyBorder="1" applyAlignment="1">
      <alignment horizontal="center" vertical="center"/>
    </xf>
    <xf numFmtId="0" fontId="74" fillId="29" borderId="80" xfId="0" applyFont="1" applyFill="1" applyBorder="1" applyAlignment="1">
      <alignment horizontal="left" vertical="center"/>
    </xf>
    <xf numFmtId="0" fontId="78" fillId="31" borderId="86" xfId="0" applyFont="1" applyFill="1" applyBorder="1" applyAlignment="1">
      <alignment horizontal="left" vertical="center"/>
    </xf>
    <xf numFmtId="0" fontId="92" fillId="35" borderId="77" xfId="0" applyFont="1" applyFill="1" applyBorder="1" applyAlignment="1">
      <alignment horizontal="center" vertical="center"/>
    </xf>
    <xf numFmtId="0" fontId="91" fillId="35" borderId="77" xfId="0" applyFont="1" applyFill="1" applyBorder="1" applyAlignment="1">
      <alignment horizontal="left" vertical="center"/>
    </xf>
    <xf numFmtId="0" fontId="88" fillId="35" borderId="77" xfId="0" applyFont="1" applyFill="1" applyBorder="1" applyAlignment="1">
      <alignment horizontal="left" vertical="center" wrapText="1"/>
    </xf>
    <xf numFmtId="0" fontId="80" fillId="34" borderId="77" xfId="0" applyFont="1" applyFill="1" applyBorder="1" applyAlignment="1">
      <alignment horizontal="center" vertical="center"/>
    </xf>
    <xf numFmtId="0" fontId="80" fillId="34" borderId="77" xfId="0" applyFont="1" applyFill="1" applyBorder="1" applyAlignment="1">
      <alignment horizontal="left" vertical="center"/>
    </xf>
    <xf numFmtId="0" fontId="88" fillId="34" borderId="77" xfId="0" applyFont="1" applyFill="1" applyBorder="1" applyAlignment="1">
      <alignment horizontal="left" vertical="center" wrapText="1"/>
    </xf>
    <xf numFmtId="43" fontId="0" fillId="0" borderId="0" xfId="0" applyNumberFormat="1"/>
    <xf numFmtId="0" fontId="95" fillId="27" borderId="0" xfId="0" applyFont="1" applyFill="1"/>
    <xf numFmtId="43" fontId="78" fillId="31" borderId="77" xfId="0" applyNumberFormat="1" applyFont="1" applyFill="1" applyBorder="1" applyAlignment="1">
      <alignment horizontal="center" vertical="center"/>
    </xf>
    <xf numFmtId="0" fontId="16" fillId="7" borderId="1" xfId="0" applyFont="1" applyFill="1" applyBorder="1" applyAlignment="1">
      <alignment horizontal="left" vertical="center"/>
    </xf>
    <xf numFmtId="3" fontId="44" fillId="38" borderId="87" xfId="0" applyNumberFormat="1" applyFont="1" applyFill="1" applyBorder="1" applyAlignment="1">
      <alignment horizontal="right" vertical="center"/>
    </xf>
    <xf numFmtId="0" fontId="44" fillId="38" borderId="87" xfId="0" applyFont="1" applyFill="1" applyBorder="1" applyAlignment="1">
      <alignment horizontal="left" indent="1"/>
    </xf>
    <xf numFmtId="0" fontId="44" fillId="39" borderId="87" xfId="0" applyFont="1" applyFill="1" applyBorder="1" applyAlignment="1">
      <alignment horizontal="left" indent="1"/>
    </xf>
    <xf numFmtId="0" fontId="96" fillId="38" borderId="87" xfId="0" applyFont="1" applyFill="1" applyBorder="1" applyAlignment="1">
      <alignment horizontal="left"/>
    </xf>
    <xf numFmtId="0" fontId="95" fillId="0" borderId="0" xfId="0" applyFont="1" applyAlignment="1">
      <alignment wrapText="1"/>
    </xf>
    <xf numFmtId="43" fontId="1" fillId="36" borderId="0" xfId="1" applyFill="1" applyAlignment="1">
      <alignment horizontal="left"/>
    </xf>
    <xf numFmtId="0" fontId="78" fillId="37" borderId="77" xfId="0" applyFont="1" applyFill="1" applyBorder="1" applyAlignment="1">
      <alignment horizontal="center" vertical="center"/>
    </xf>
    <xf numFmtId="3" fontId="44" fillId="40" borderId="87" xfId="0" applyNumberFormat="1" applyFont="1" applyFill="1" applyBorder="1" applyAlignment="1">
      <alignment horizontal="right" vertical="center"/>
    </xf>
    <xf numFmtId="0" fontId="0" fillId="41" borderId="0" xfId="0" applyFill="1"/>
    <xf numFmtId="4" fontId="97" fillId="37" borderId="77" xfId="0" applyNumberFormat="1" applyFont="1" applyFill="1" applyBorder="1" applyAlignment="1">
      <alignment horizontal="center" vertical="center"/>
    </xf>
    <xf numFmtId="0" fontId="20" fillId="20" borderId="2" xfId="0" applyFont="1" applyFill="1" applyBorder="1" applyAlignment="1">
      <alignment horizontal="center" vertical="center" wrapText="1"/>
    </xf>
    <xf numFmtId="0" fontId="100" fillId="0" borderId="0" xfId="0" applyFont="1" applyAlignment="1">
      <alignment horizontal="left" vertical="center" indent="1"/>
    </xf>
    <xf numFmtId="0" fontId="5" fillId="2" borderId="89" xfId="0" applyFont="1" applyFill="1" applyBorder="1" applyAlignment="1">
      <alignment horizontal="center" vertical="center" wrapText="1"/>
    </xf>
    <xf numFmtId="0" fontId="78" fillId="31" borderId="90" xfId="0" applyFont="1" applyFill="1" applyBorder="1" applyAlignment="1">
      <alignment horizontal="center" vertical="center"/>
    </xf>
    <xf numFmtId="8" fontId="98" fillId="0" borderId="0" xfId="0" applyNumberFormat="1" applyFont="1" applyAlignment="1">
      <alignment vertical="center" wrapText="1"/>
    </xf>
    <xf numFmtId="3" fontId="98" fillId="0" borderId="0" xfId="0" applyNumberFormat="1" applyFont="1" applyAlignment="1">
      <alignment vertical="center" wrapText="1"/>
    </xf>
    <xf numFmtId="0" fontId="18" fillId="26" borderId="0" xfId="0" applyFont="1" applyFill="1" applyAlignment="1">
      <alignment horizontal="right" vertical="center"/>
    </xf>
    <xf numFmtId="0" fontId="4" fillId="6" borderId="0" xfId="0" applyFont="1" applyFill="1" applyAlignment="1">
      <alignment horizontal="left" vertical="center"/>
    </xf>
    <xf numFmtId="0" fontId="5" fillId="42" borderId="0" xfId="0" applyFont="1" applyFill="1" applyAlignment="1">
      <alignment horizontal="center" vertical="center"/>
    </xf>
    <xf numFmtId="0" fontId="4" fillId="43" borderId="3" xfId="0" applyFont="1" applyFill="1" applyBorder="1" applyAlignment="1">
      <alignment horizontal="left" vertical="center"/>
    </xf>
    <xf numFmtId="3" fontId="4" fillId="43" borderId="3" xfId="0" applyNumberFormat="1" applyFont="1" applyFill="1" applyBorder="1" applyAlignment="1">
      <alignment horizontal="center" vertical="center"/>
    </xf>
    <xf numFmtId="0" fontId="4" fillId="43" borderId="0" xfId="0" applyFont="1" applyFill="1" applyAlignment="1">
      <alignment horizontal="left" vertical="center"/>
    </xf>
    <xf numFmtId="0" fontId="4" fillId="43" borderId="0" xfId="0" applyFont="1" applyFill="1" applyAlignment="1">
      <alignment horizontal="center" vertical="center"/>
    </xf>
    <xf numFmtId="0" fontId="5" fillId="44" borderId="1" xfId="0" applyFont="1" applyFill="1" applyBorder="1" applyAlignment="1">
      <alignment horizontal="center" vertical="center"/>
    </xf>
    <xf numFmtId="0" fontId="4" fillId="45" borderId="1" xfId="0" applyFont="1" applyFill="1" applyBorder="1" applyAlignment="1">
      <alignment horizontal="left" vertical="center"/>
    </xf>
    <xf numFmtId="0" fontId="4" fillId="45" borderId="1" xfId="0" applyFont="1" applyFill="1" applyBorder="1" applyAlignment="1">
      <alignment horizontal="center" vertical="center"/>
    </xf>
    <xf numFmtId="164" fontId="4" fillId="45" borderId="1" xfId="0" applyNumberFormat="1" applyFont="1" applyFill="1" applyBorder="1" applyAlignment="1">
      <alignment horizontal="center" vertical="center"/>
    </xf>
    <xf numFmtId="0" fontId="4" fillId="43" borderId="1" xfId="0" applyFont="1" applyFill="1" applyBorder="1" applyAlignment="1">
      <alignment horizontal="left" vertical="center"/>
    </xf>
    <xf numFmtId="0" fontId="4" fillId="43" borderId="1" xfId="0" applyFont="1" applyFill="1" applyBorder="1" applyAlignment="1">
      <alignment horizontal="center" vertical="center"/>
    </xf>
    <xf numFmtId="164" fontId="4" fillId="43" borderId="1" xfId="0" applyNumberFormat="1" applyFont="1" applyFill="1" applyBorder="1" applyAlignment="1">
      <alignment horizontal="center" vertical="center"/>
    </xf>
    <xf numFmtId="0" fontId="20" fillId="10" borderId="1" xfId="0" applyFont="1" applyFill="1" applyBorder="1"/>
    <xf numFmtId="0" fontId="20" fillId="20" borderId="67" xfId="0" applyFont="1" applyFill="1" applyBorder="1" applyAlignment="1">
      <alignment horizontal="center" vertical="center" wrapText="1"/>
    </xf>
    <xf numFmtId="0" fontId="20" fillId="20" borderId="68" xfId="0" applyFont="1" applyFill="1" applyBorder="1" applyAlignment="1">
      <alignment horizontal="center" vertical="center" wrapText="1"/>
    </xf>
    <xf numFmtId="164" fontId="3" fillId="21"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0" fontId="10" fillId="4" borderId="1" xfId="0" applyFont="1" applyFill="1" applyBorder="1" applyAlignment="1">
      <alignment horizontal="center" vertical="center"/>
    </xf>
    <xf numFmtId="0" fontId="5" fillId="10"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43" fontId="32" fillId="36" borderId="0" xfId="1" applyFont="1" applyFill="1"/>
    <xf numFmtId="43" fontId="32" fillId="36" borderId="0" xfId="1" applyFont="1" applyFill="1" applyAlignment="1">
      <alignment horizontal="left" vertical="center"/>
    </xf>
    <xf numFmtId="0" fontId="88" fillId="27" borderId="0" xfId="0" applyFont="1" applyFill="1" applyAlignment="1">
      <alignment vertical="center"/>
    </xf>
    <xf numFmtId="0" fontId="78" fillId="31" borderId="82" xfId="0" applyFont="1" applyFill="1" applyBorder="1" applyAlignment="1">
      <alignment horizontal="left" vertical="center"/>
    </xf>
    <xf numFmtId="43" fontId="32" fillId="36" borderId="0" xfId="1" applyFont="1" applyFill="1" applyAlignment="1">
      <alignment horizontal="center" vertical="center"/>
    </xf>
    <xf numFmtId="0" fontId="72" fillId="32" borderId="79" xfId="0" applyFont="1" applyFill="1" applyBorder="1" applyAlignment="1">
      <alignment horizontal="left" vertical="center"/>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1" fillId="0" borderId="9" xfId="0" applyFont="1" applyBorder="1" applyAlignment="1">
      <alignment horizontal="center" vertical="center"/>
    </xf>
    <xf numFmtId="168" fontId="1" fillId="0" borderId="10" xfId="0" applyNumberFormat="1" applyFont="1" applyBorder="1" applyAlignment="1">
      <alignment horizontal="center" vertical="center"/>
    </xf>
    <xf numFmtId="0" fontId="1" fillId="0" borderId="11" xfId="0" applyFont="1" applyBorder="1" applyAlignment="1">
      <alignment horizontal="center" vertical="center"/>
    </xf>
    <xf numFmtId="168" fontId="1" fillId="0" borderId="12" xfId="0" applyNumberFormat="1" applyFont="1" applyBorder="1" applyAlignment="1">
      <alignment horizontal="center"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0" xfId="0" applyFont="1" applyAlignment="1">
      <alignment vertical="center"/>
    </xf>
    <xf numFmtId="0" fontId="1" fillId="0" borderId="0" xfId="0" applyFont="1" applyAlignment="1">
      <alignment horizontal="center" vertical="center" wrapText="1"/>
    </xf>
    <xf numFmtId="0" fontId="45" fillId="0" borderId="74" xfId="0" applyFont="1" applyBorder="1" applyAlignment="1">
      <alignment horizontal="center" vertical="center" wrapText="1"/>
    </xf>
    <xf numFmtId="0" fontId="1" fillId="0" borderId="18" xfId="0" applyFont="1" applyBorder="1"/>
    <xf numFmtId="43" fontId="1" fillId="0" borderId="13" xfId="1" applyBorder="1"/>
    <xf numFmtId="168" fontId="1" fillId="0" borderId="13" xfId="1" applyNumberFormat="1" applyBorder="1"/>
    <xf numFmtId="169" fontId="1" fillId="0" borderId="13" xfId="1" applyNumberFormat="1" applyBorder="1"/>
    <xf numFmtId="168" fontId="1" fillId="0" borderId="15" xfId="1" applyNumberFormat="1" applyBorder="1"/>
    <xf numFmtId="170" fontId="1" fillId="0" borderId="0" xfId="0" applyNumberFormat="1" applyFont="1"/>
    <xf numFmtId="171" fontId="1" fillId="0" borderId="0" xfId="0" applyNumberFormat="1" applyFont="1"/>
    <xf numFmtId="169" fontId="1" fillId="0" borderId="0" xfId="1" applyNumberFormat="1"/>
    <xf numFmtId="0" fontId="1" fillId="0" borderId="17" xfId="0" applyFont="1" applyBorder="1"/>
    <xf numFmtId="172" fontId="1" fillId="0" borderId="13" xfId="1" applyNumberFormat="1" applyBorder="1"/>
    <xf numFmtId="173" fontId="1" fillId="0" borderId="13" xfId="1" applyNumberFormat="1" applyBorder="1"/>
    <xf numFmtId="173" fontId="1" fillId="0" borderId="15" xfId="1" applyNumberFormat="1" applyBorder="1"/>
    <xf numFmtId="43" fontId="1" fillId="0" borderId="0" xfId="0" applyNumberFormat="1" applyFont="1"/>
    <xf numFmtId="172" fontId="1" fillId="0" borderId="0" xfId="1" applyNumberFormat="1"/>
    <xf numFmtId="170" fontId="1" fillId="0" borderId="13" xfId="1" applyNumberFormat="1" applyBorder="1"/>
    <xf numFmtId="172" fontId="1" fillId="0" borderId="15" xfId="1" applyNumberFormat="1" applyBorder="1"/>
    <xf numFmtId="43" fontId="1" fillId="0" borderId="13" xfId="1" applyBorder="1" applyAlignment="1">
      <alignment horizontal="center"/>
    </xf>
    <xf numFmtId="170" fontId="1" fillId="0" borderId="0" xfId="1" applyNumberFormat="1"/>
    <xf numFmtId="0" fontId="1" fillId="0" borderId="18" xfId="0" applyFont="1" applyBorder="1" applyAlignment="1">
      <alignment vertical="center"/>
    </xf>
    <xf numFmtId="172" fontId="1" fillId="0" borderId="13" xfId="1" applyNumberFormat="1" applyBorder="1" applyAlignment="1">
      <alignment vertical="center"/>
    </xf>
    <xf numFmtId="43" fontId="1" fillId="0" borderId="13" xfId="1" applyBorder="1" applyAlignment="1">
      <alignment vertical="center"/>
    </xf>
    <xf numFmtId="169" fontId="1" fillId="0" borderId="13" xfId="1" applyNumberFormat="1" applyBorder="1" applyAlignment="1">
      <alignment vertical="center"/>
    </xf>
    <xf numFmtId="0" fontId="1" fillId="0" borderId="0" xfId="0" applyFont="1" applyAlignment="1">
      <alignment horizontal="center" vertical="center"/>
    </xf>
    <xf numFmtId="0" fontId="1" fillId="0" borderId="17" xfId="0" applyFont="1" applyBorder="1" applyAlignment="1">
      <alignment vertical="center"/>
    </xf>
    <xf numFmtId="43" fontId="1" fillId="0" borderId="15" xfId="1" applyBorder="1"/>
    <xf numFmtId="43" fontId="1" fillId="0" borderId="0" xfId="0" applyNumberFormat="1" applyFont="1" applyAlignment="1">
      <alignment vertical="center"/>
    </xf>
    <xf numFmtId="0" fontId="1" fillId="0" borderId="11" xfId="0" applyFont="1" applyBorder="1"/>
    <xf numFmtId="169" fontId="1" fillId="0" borderId="21" xfId="1" applyNumberFormat="1" applyBorder="1"/>
    <xf numFmtId="43" fontId="1" fillId="0" borderId="21" xfId="1" applyBorder="1"/>
    <xf numFmtId="43" fontId="1" fillId="0" borderId="0" xfId="1"/>
    <xf numFmtId="11" fontId="1" fillId="0" borderId="0" xfId="0" applyNumberFormat="1" applyFont="1"/>
    <xf numFmtId="0" fontId="1" fillId="0" borderId="26" xfId="0" applyFont="1" applyBorder="1" applyAlignment="1">
      <alignment vertical="center"/>
    </xf>
    <xf numFmtId="43" fontId="1" fillId="0" borderId="27" xfId="1" applyBorder="1" applyAlignment="1">
      <alignment vertical="center"/>
    </xf>
    <xf numFmtId="0" fontId="1" fillId="0" borderId="28" xfId="0" applyFont="1" applyBorder="1" applyAlignment="1">
      <alignment horizontal="center" vertical="center"/>
    </xf>
    <xf numFmtId="0" fontId="1" fillId="0" borderId="15" xfId="0" applyFont="1" applyBorder="1" applyAlignment="1">
      <alignment horizontal="center" vertical="center"/>
    </xf>
    <xf numFmtId="173" fontId="1" fillId="0" borderId="13" xfId="1" applyNumberFormat="1" applyBorder="1" applyAlignment="1">
      <alignment vertical="center"/>
    </xf>
    <xf numFmtId="173" fontId="1" fillId="0" borderId="0" xfId="1" applyNumberFormat="1"/>
    <xf numFmtId="0" fontId="1" fillId="0" borderId="11" xfId="0" applyFont="1" applyBorder="1" applyAlignment="1">
      <alignment vertical="center"/>
    </xf>
    <xf numFmtId="43" fontId="1" fillId="0" borderId="21" xfId="1" applyBorder="1" applyAlignment="1">
      <alignment vertical="center"/>
    </xf>
    <xf numFmtId="0" fontId="1" fillId="0" borderId="12" xfId="0" applyFont="1" applyBorder="1" applyAlignment="1">
      <alignment horizontal="center" vertical="center"/>
    </xf>
    <xf numFmtId="0" fontId="1" fillId="0" borderId="5" xfId="0" applyFont="1" applyBorder="1"/>
    <xf numFmtId="0" fontId="1" fillId="0" borderId="6" xfId="0" applyFont="1" applyBorder="1"/>
    <xf numFmtId="0" fontId="1" fillId="0" borderId="29" xfId="0" applyFont="1" applyBorder="1"/>
    <xf numFmtId="0" fontId="1" fillId="0" borderId="14" xfId="0" applyFont="1" applyBorder="1" applyAlignment="1">
      <alignment horizontal="left"/>
    </xf>
    <xf numFmtId="174" fontId="1" fillId="0" borderId="14" xfId="1" applyNumberFormat="1" applyBorder="1"/>
    <xf numFmtId="174" fontId="1" fillId="0" borderId="10" xfId="1" applyNumberFormat="1" applyBorder="1"/>
    <xf numFmtId="0" fontId="1" fillId="0" borderId="74" xfId="0" applyFont="1" applyBorder="1"/>
    <xf numFmtId="0" fontId="1" fillId="0" borderId="27" xfId="0" applyFont="1" applyBorder="1" applyAlignment="1">
      <alignment horizontal="left"/>
    </xf>
    <xf numFmtId="174" fontId="1" fillId="0" borderId="27" xfId="1" applyNumberFormat="1" applyBorder="1"/>
    <xf numFmtId="174" fontId="1" fillId="0" borderId="28" xfId="1" applyNumberFormat="1" applyBorder="1"/>
    <xf numFmtId="0" fontId="1" fillId="0" borderId="13" xfId="0" applyFont="1" applyBorder="1" applyAlignment="1">
      <alignment horizontal="left"/>
    </xf>
    <xf numFmtId="174" fontId="1" fillId="0" borderId="13" xfId="1" applyNumberFormat="1" applyBorder="1"/>
    <xf numFmtId="174" fontId="1" fillId="0" borderId="15" xfId="1" applyNumberFormat="1" applyBorder="1"/>
    <xf numFmtId="174" fontId="1" fillId="0" borderId="30" xfId="1" applyNumberFormat="1" applyBorder="1"/>
    <xf numFmtId="174" fontId="1" fillId="0" borderId="31" xfId="1" applyNumberFormat="1" applyBorder="1"/>
    <xf numFmtId="0" fontId="1" fillId="0" borderId="32" xfId="0" applyFont="1" applyBorder="1"/>
    <xf numFmtId="0" fontId="1" fillId="0" borderId="13" xfId="0" quotePrefix="1" applyFont="1" applyBorder="1" applyAlignment="1">
      <alignment horizontal="left"/>
    </xf>
    <xf numFmtId="174" fontId="1" fillId="0" borderId="21" xfId="1" applyNumberFormat="1" applyBorder="1"/>
    <xf numFmtId="174" fontId="1" fillId="0" borderId="12" xfId="1" applyNumberFormat="1" applyBorder="1"/>
    <xf numFmtId="0" fontId="1" fillId="0" borderId="21" xfId="0" applyFont="1" applyBorder="1" applyAlignment="1">
      <alignment horizontal="left"/>
    </xf>
    <xf numFmtId="0" fontId="1" fillId="0" borderId="0" xfId="0" applyFont="1" applyAlignment="1">
      <alignment horizontal="left"/>
    </xf>
    <xf numFmtId="174" fontId="1" fillId="0" borderId="13" xfId="1" applyNumberFormat="1" applyBorder="1" applyAlignment="1">
      <alignment horizontal="right"/>
    </xf>
    <xf numFmtId="174" fontId="1" fillId="0" borderId="15" xfId="1" applyNumberFormat="1" applyBorder="1" applyAlignment="1">
      <alignment horizontal="right"/>
    </xf>
    <xf numFmtId="0" fontId="1" fillId="0" borderId="30" xfId="0" applyFont="1" applyBorder="1"/>
    <xf numFmtId="0" fontId="1" fillId="0" borderId="75" xfId="0" applyFont="1" applyBorder="1"/>
    <xf numFmtId="0" fontId="1" fillId="0" borderId="13" xfId="0" applyFont="1" applyBorder="1"/>
    <xf numFmtId="0" fontId="1" fillId="0" borderId="35" xfId="0" applyFont="1" applyBorder="1"/>
    <xf numFmtId="0" fontId="1" fillId="0" borderId="36" xfId="0" applyFont="1" applyBorder="1"/>
    <xf numFmtId="2" fontId="1" fillId="0" borderId="27" xfId="0" applyNumberFormat="1" applyFont="1" applyBorder="1"/>
    <xf numFmtId="2" fontId="1" fillId="0" borderId="28" xfId="0" applyNumberFormat="1" applyFont="1" applyBorder="1"/>
    <xf numFmtId="2" fontId="1" fillId="0" borderId="15" xfId="0" applyNumberFormat="1" applyFont="1" applyBorder="1"/>
    <xf numFmtId="2" fontId="1" fillId="0" borderId="13" xfId="0" applyNumberFormat="1" applyFont="1" applyBorder="1"/>
    <xf numFmtId="1" fontId="1" fillId="0" borderId="13" xfId="0" applyNumberFormat="1" applyFont="1" applyBorder="1"/>
    <xf numFmtId="0" fontId="1" fillId="0" borderId="37" xfId="0" applyFont="1" applyBorder="1"/>
    <xf numFmtId="0" fontId="1" fillId="0" borderId="38" xfId="0" applyFont="1" applyBorder="1"/>
    <xf numFmtId="1" fontId="1" fillId="0" borderId="15" xfId="0" applyNumberFormat="1" applyFont="1" applyBorder="1"/>
    <xf numFmtId="0" fontId="1" fillId="0" borderId="39" xfId="0" applyFont="1" applyBorder="1"/>
    <xf numFmtId="2" fontId="1" fillId="0" borderId="12" xfId="0" applyNumberFormat="1" applyFont="1" applyBorder="1"/>
    <xf numFmtId="0" fontId="45" fillId="0" borderId="74" xfId="0" applyFont="1" applyBorder="1" applyAlignment="1">
      <alignment horizontal="center"/>
    </xf>
    <xf numFmtId="0" fontId="1" fillId="0" borderId="40" xfId="0" applyFont="1" applyBorder="1"/>
    <xf numFmtId="0" fontId="1" fillId="0" borderId="10" xfId="0" applyFont="1" applyBorder="1"/>
    <xf numFmtId="167" fontId="46" fillId="0" borderId="72" xfId="2" applyNumberFormat="1" applyFont="1" applyBorder="1"/>
    <xf numFmtId="0" fontId="1" fillId="0" borderId="73" xfId="0" applyFont="1" applyBorder="1"/>
    <xf numFmtId="0" fontId="1" fillId="0" borderId="15" xfId="0" applyFont="1" applyBorder="1"/>
    <xf numFmtId="0" fontId="1" fillId="0" borderId="50" xfId="0" applyFont="1" applyBorder="1"/>
    <xf numFmtId="0" fontId="1" fillId="0" borderId="12" xfId="0" applyFont="1" applyBorder="1"/>
    <xf numFmtId="173" fontId="1" fillId="0" borderId="0" xfId="0" applyNumberFormat="1" applyFont="1"/>
    <xf numFmtId="0" fontId="1" fillId="0" borderId="33" xfId="0" applyFont="1" applyBorder="1"/>
    <xf numFmtId="170" fontId="1" fillId="0" borderId="21" xfId="1" applyNumberFormat="1" applyBorder="1" applyAlignment="1">
      <alignment vertical="center"/>
    </xf>
    <xf numFmtId="170" fontId="1" fillId="0" borderId="12" xfId="1" applyNumberFormat="1" applyBorder="1" applyAlignment="1">
      <alignment vertical="center"/>
    </xf>
    <xf numFmtId="0" fontId="1" fillId="0" borderId="9" xfId="0" applyFont="1" applyBorder="1"/>
    <xf numFmtId="0" fontId="1" fillId="0" borderId="10" xfId="0" applyFont="1" applyBorder="1" applyAlignment="1">
      <alignment vertical="center"/>
    </xf>
    <xf numFmtId="0" fontId="1" fillId="0" borderId="26" xfId="0" applyFont="1" applyBorder="1"/>
    <xf numFmtId="0" fontId="1" fillId="0" borderId="28" xfId="0" applyFont="1" applyBorder="1" applyAlignment="1">
      <alignment vertical="center"/>
    </xf>
    <xf numFmtId="0" fontId="1" fillId="0" borderId="12" xfId="0" applyFont="1" applyBorder="1" applyAlignment="1">
      <alignment vertical="center"/>
    </xf>
    <xf numFmtId="0" fontId="1" fillId="0" borderId="15" xfId="0" applyFont="1" applyBorder="1" applyAlignment="1">
      <alignment vertical="center"/>
    </xf>
    <xf numFmtId="0" fontId="1" fillId="0" borderId="21" xfId="1" quotePrefix="1" applyNumberFormat="1" applyBorder="1" applyAlignment="1">
      <alignment horizontal="right" vertical="center"/>
    </xf>
    <xf numFmtId="2" fontId="1" fillId="0" borderId="0" xfId="4" applyNumberFormat="1" applyFont="1" applyAlignment="1">
      <alignment vertical="center"/>
    </xf>
    <xf numFmtId="176" fontId="1" fillId="0" borderId="9" xfId="0" applyNumberFormat="1" applyFont="1" applyBorder="1"/>
    <xf numFmtId="43" fontId="1" fillId="0" borderId="14" xfId="1" applyBorder="1" applyAlignment="1">
      <alignment horizontal="right"/>
    </xf>
    <xf numFmtId="0" fontId="1" fillId="0" borderId="14" xfId="0" applyFont="1" applyBorder="1" applyAlignment="1">
      <alignment horizontal="right"/>
    </xf>
    <xf numFmtId="0" fontId="1" fillId="0" borderId="10" xfId="0" applyFont="1" applyBorder="1" applyAlignment="1">
      <alignment horizontal="right"/>
    </xf>
    <xf numFmtId="176" fontId="1" fillId="0" borderId="18" xfId="0" applyNumberFormat="1" applyFont="1" applyBorder="1"/>
    <xf numFmtId="43" fontId="1" fillId="0" borderId="13" xfId="1" applyBorder="1" applyAlignment="1">
      <alignment horizontal="right"/>
    </xf>
    <xf numFmtId="0" fontId="1" fillId="0" borderId="13" xfId="0" applyFont="1" applyBorder="1" applyAlignment="1">
      <alignment horizontal="right"/>
    </xf>
    <xf numFmtId="0" fontId="1" fillId="0" borderId="15" xfId="0" applyFont="1" applyBorder="1" applyAlignment="1">
      <alignment horizontal="right"/>
    </xf>
    <xf numFmtId="2" fontId="1" fillId="0" borderId="13" xfId="0" applyNumberFormat="1" applyFont="1" applyBorder="1" applyAlignment="1">
      <alignment horizontal="right"/>
    </xf>
    <xf numFmtId="2" fontId="1" fillId="0" borderId="15" xfId="0" applyNumberFormat="1" applyFont="1" applyBorder="1" applyAlignment="1">
      <alignment horizontal="right"/>
    </xf>
    <xf numFmtId="170" fontId="1" fillId="0" borderId="13" xfId="1" quotePrefix="1" applyNumberFormat="1" applyBorder="1" applyAlignment="1">
      <alignment horizontal="right"/>
    </xf>
    <xf numFmtId="176" fontId="1" fillId="0" borderId="11" xfId="0" applyNumberFormat="1" applyFont="1" applyBorder="1"/>
    <xf numFmtId="43" fontId="1" fillId="0" borderId="21" xfId="1" applyBorder="1" applyAlignment="1">
      <alignment horizontal="right"/>
    </xf>
    <xf numFmtId="0" fontId="1" fillId="0" borderId="21" xfId="0" applyFont="1" applyBorder="1" applyAlignment="1">
      <alignment horizontal="right"/>
    </xf>
    <xf numFmtId="0" fontId="1" fillId="0" borderId="12" xfId="0" applyFont="1" applyBorder="1" applyAlignment="1">
      <alignment horizontal="right"/>
    </xf>
    <xf numFmtId="0" fontId="1" fillId="0" borderId="9" xfId="0" applyFont="1" applyBorder="1" applyAlignment="1">
      <alignment vertical="center"/>
    </xf>
    <xf numFmtId="170" fontId="59" fillId="0" borderId="75" xfId="1" applyNumberFormat="1" applyFont="1" applyBorder="1" applyAlignment="1">
      <alignment vertical="center"/>
    </xf>
    <xf numFmtId="174" fontId="59" fillId="0" borderId="75" xfId="1" applyNumberFormat="1" applyFont="1" applyBorder="1" applyAlignment="1">
      <alignment vertical="center"/>
    </xf>
    <xf numFmtId="175" fontId="1" fillId="0" borderId="0" xfId="0" applyNumberFormat="1" applyFont="1"/>
    <xf numFmtId="0" fontId="61" fillId="0" borderId="76" xfId="0" applyFont="1" applyBorder="1" applyAlignment="1">
      <alignment vertical="center"/>
    </xf>
    <xf numFmtId="0" fontId="61" fillId="0" borderId="73" xfId="0" applyFont="1" applyBorder="1" applyAlignment="1">
      <alignment vertical="center"/>
    </xf>
    <xf numFmtId="170" fontId="1" fillId="0" borderId="30" xfId="1" applyNumberFormat="1" applyBorder="1" applyAlignment="1">
      <alignment vertical="center"/>
    </xf>
    <xf numFmtId="174" fontId="1" fillId="0" borderId="30" xfId="1" applyNumberFormat="1" applyBorder="1" applyAlignment="1">
      <alignment vertical="center"/>
    </xf>
    <xf numFmtId="0" fontId="1" fillId="0" borderId="50" xfId="0" applyFont="1" applyBorder="1" applyAlignment="1">
      <alignment vertical="center"/>
    </xf>
    <xf numFmtId="174" fontId="1" fillId="0" borderId="21" xfId="1" applyNumberFormat="1" applyBorder="1" applyAlignment="1">
      <alignment vertical="center"/>
    </xf>
    <xf numFmtId="0" fontId="1" fillId="0" borderId="76" xfId="0" applyFont="1" applyBorder="1" applyAlignment="1">
      <alignment vertical="center"/>
    </xf>
    <xf numFmtId="170" fontId="1" fillId="0" borderId="27" xfId="1" applyNumberFormat="1" applyBorder="1" applyAlignment="1">
      <alignment vertical="center"/>
    </xf>
    <xf numFmtId="174" fontId="1" fillId="0" borderId="27" xfId="1" applyNumberFormat="1" applyBorder="1" applyAlignment="1">
      <alignment vertical="center"/>
    </xf>
    <xf numFmtId="174" fontId="1" fillId="0" borderId="13" xfId="1" applyNumberFormat="1" applyBorder="1" applyAlignment="1">
      <alignment vertical="center"/>
    </xf>
    <xf numFmtId="0" fontId="1" fillId="0" borderId="18" xfId="0" applyFont="1" applyBorder="1" applyAlignment="1">
      <alignment vertical="center" wrapText="1"/>
    </xf>
    <xf numFmtId="170" fontId="1" fillId="0" borderId="13" xfId="1" applyNumberFormat="1" applyBorder="1" applyAlignment="1">
      <alignment vertical="center"/>
    </xf>
    <xf numFmtId="0" fontId="1" fillId="0" borderId="11" xfId="0" applyFont="1" applyBorder="1" applyAlignment="1">
      <alignment vertical="center" wrapText="1"/>
    </xf>
    <xf numFmtId="174" fontId="1" fillId="0" borderId="35" xfId="1" applyNumberFormat="1" applyBorder="1" applyAlignment="1">
      <alignment vertical="center"/>
    </xf>
    <xf numFmtId="0" fontId="1" fillId="0" borderId="14" xfId="0" applyFont="1" applyBorder="1" applyAlignment="1">
      <alignment vertical="center"/>
    </xf>
    <xf numFmtId="168" fontId="1" fillId="0" borderId="10" xfId="1" applyNumberFormat="1" applyBorder="1" applyAlignment="1">
      <alignment vertical="center"/>
    </xf>
    <xf numFmtId="0" fontId="1" fillId="0" borderId="13" xfId="0" applyFont="1" applyBorder="1" applyAlignment="1">
      <alignment vertical="center"/>
    </xf>
    <xf numFmtId="168" fontId="1" fillId="0" borderId="15" xfId="1" applyNumberFormat="1" applyBorder="1" applyAlignment="1">
      <alignment vertical="center"/>
    </xf>
    <xf numFmtId="0" fontId="1" fillId="0" borderId="21" xfId="0" applyFont="1" applyBorder="1" applyAlignment="1">
      <alignment vertical="center"/>
    </xf>
    <xf numFmtId="168" fontId="1" fillId="0" borderId="12" xfId="1" applyNumberFormat="1" applyBorder="1" applyAlignment="1">
      <alignment horizontal="right" vertical="center"/>
    </xf>
    <xf numFmtId="177" fontId="1" fillId="0" borderId="36" xfId="1" applyNumberFormat="1" applyBorder="1"/>
    <xf numFmtId="0" fontId="1" fillId="0" borderId="60" xfId="0" applyFont="1" applyBorder="1" applyAlignment="1">
      <alignment horizontal="left"/>
    </xf>
    <xf numFmtId="0" fontId="1" fillId="0" borderId="41" xfId="0" applyFont="1" applyBorder="1" applyAlignment="1">
      <alignment horizontal="left"/>
    </xf>
    <xf numFmtId="0" fontId="1" fillId="0" borderId="42" xfId="0" applyFont="1" applyBorder="1" applyAlignment="1">
      <alignment horizontal="left"/>
    </xf>
    <xf numFmtId="177" fontId="1" fillId="0" borderId="6" xfId="1" applyNumberFormat="1" applyBorder="1"/>
    <xf numFmtId="0" fontId="1" fillId="0" borderId="4" xfId="0" applyFont="1" applyBorder="1" applyAlignment="1">
      <alignment horizontal="left"/>
    </xf>
    <xf numFmtId="0" fontId="1" fillId="0" borderId="5" xfId="0" applyFont="1" applyBorder="1" applyAlignment="1">
      <alignment horizontal="left"/>
    </xf>
    <xf numFmtId="0" fontId="1" fillId="0" borderId="61" xfId="0" applyFont="1" applyBorder="1" applyAlignment="1">
      <alignment horizontal="left"/>
    </xf>
    <xf numFmtId="169" fontId="1" fillId="0" borderId="0" xfId="0" applyNumberFormat="1" applyFont="1"/>
    <xf numFmtId="0" fontId="1" fillId="0" borderId="18" xfId="0" applyFont="1" applyBorder="1" applyAlignment="1">
      <alignment horizontal="left"/>
    </xf>
    <xf numFmtId="177" fontId="1" fillId="0" borderId="39" xfId="1" applyNumberFormat="1" applyBorder="1"/>
    <xf numFmtId="0" fontId="1" fillId="0" borderId="62" xfId="0" applyFont="1" applyBorder="1" applyAlignment="1">
      <alignment horizontal="left"/>
    </xf>
    <xf numFmtId="0" fontId="1" fillId="0" borderId="51" xfId="0" applyFont="1" applyBorder="1" applyAlignment="1">
      <alignment horizontal="left"/>
    </xf>
    <xf numFmtId="0" fontId="1" fillId="0" borderId="63" xfId="0" applyFont="1" applyBorder="1" applyAlignment="1">
      <alignment horizontal="left"/>
    </xf>
    <xf numFmtId="164" fontId="0" fillId="0" borderId="0" xfId="0" applyNumberFormat="1"/>
    <xf numFmtId="10" fontId="10" fillId="11" borderId="1" xfId="0" applyNumberFormat="1" applyFont="1" applyFill="1" applyBorder="1" applyAlignment="1">
      <alignment horizontal="center" vertical="center"/>
    </xf>
    <xf numFmtId="10" fontId="10" fillId="23" borderId="1" xfId="0" applyNumberFormat="1" applyFont="1" applyFill="1" applyBorder="1" applyAlignment="1">
      <alignment horizontal="center" vertical="center"/>
    </xf>
    <xf numFmtId="0" fontId="3" fillId="8" borderId="92" xfId="0" applyFont="1" applyFill="1" applyBorder="1" applyAlignment="1">
      <alignment horizontal="left" vertical="center"/>
    </xf>
    <xf numFmtId="0" fontId="4" fillId="12" borderId="92" xfId="0" applyFont="1" applyFill="1" applyBorder="1" applyAlignment="1">
      <alignment horizontal="left" vertical="center" wrapText="1"/>
    </xf>
    <xf numFmtId="4" fontId="10" fillId="12" borderId="92" xfId="0" applyNumberFormat="1" applyFont="1" applyFill="1" applyBorder="1" applyAlignment="1">
      <alignment horizontal="center" vertical="center"/>
    </xf>
    <xf numFmtId="10" fontId="10" fillId="12" borderId="92" xfId="0" applyNumberFormat="1" applyFont="1" applyFill="1" applyBorder="1" applyAlignment="1">
      <alignment horizontal="center" vertical="center"/>
    </xf>
    <xf numFmtId="3" fontId="44" fillId="38" borderId="93" xfId="0" applyNumberFormat="1" applyFont="1" applyFill="1" applyBorder="1" applyAlignment="1">
      <alignment horizontal="right" vertical="center"/>
    </xf>
    <xf numFmtId="4" fontId="14" fillId="5" borderId="92" xfId="0" applyNumberFormat="1" applyFont="1" applyFill="1" applyBorder="1" applyAlignment="1">
      <alignment horizontal="center" vertical="center"/>
    </xf>
    <xf numFmtId="0" fontId="14" fillId="5" borderId="94" xfId="0" applyFont="1" applyFill="1" applyBorder="1" applyAlignment="1">
      <alignment horizontal="left" vertical="center"/>
    </xf>
    <xf numFmtId="0" fontId="14" fillId="5" borderId="95" xfId="0" applyFont="1" applyFill="1" applyBorder="1" applyAlignment="1">
      <alignment horizontal="left" vertical="center"/>
    </xf>
    <xf numFmtId="0" fontId="3" fillId="16" borderId="96" xfId="0" applyFont="1" applyFill="1" applyBorder="1" applyAlignment="1">
      <alignment horizontal="left" vertical="center"/>
    </xf>
    <xf numFmtId="0" fontId="4" fillId="19" borderId="96" xfId="0" applyFont="1" applyFill="1" applyBorder="1" applyAlignment="1">
      <alignment horizontal="left" vertical="center" wrapText="1"/>
    </xf>
    <xf numFmtId="10" fontId="10" fillId="19" borderId="96" xfId="0" applyNumberFormat="1" applyFont="1" applyFill="1" applyBorder="1" applyAlignment="1">
      <alignment horizontal="center" vertical="center"/>
    </xf>
    <xf numFmtId="3" fontId="44" fillId="38" borderId="97" xfId="0" applyNumberFormat="1" applyFont="1" applyFill="1" applyBorder="1" applyAlignment="1">
      <alignment horizontal="right" vertical="center"/>
    </xf>
    <xf numFmtId="4" fontId="14" fillId="5" borderId="96" xfId="0" applyNumberFormat="1" applyFont="1" applyFill="1" applyBorder="1" applyAlignment="1">
      <alignment horizontal="center" vertical="center"/>
    </xf>
    <xf numFmtId="0" fontId="14" fillId="5" borderId="98" xfId="0" applyFont="1" applyFill="1" applyBorder="1" applyAlignment="1">
      <alignment horizontal="left" vertical="center"/>
    </xf>
    <xf numFmtId="0" fontId="3" fillId="16" borderId="89" xfId="0" applyFont="1" applyFill="1" applyBorder="1" applyAlignment="1">
      <alignment horizontal="left" vertical="center"/>
    </xf>
    <xf numFmtId="0" fontId="4" fillId="19" borderId="89" xfId="0" applyFont="1" applyFill="1" applyBorder="1" applyAlignment="1">
      <alignment horizontal="left" vertical="center" wrapText="1"/>
    </xf>
    <xf numFmtId="4" fontId="10" fillId="19" borderId="89" xfId="0" applyNumberFormat="1" applyFont="1" applyFill="1" applyBorder="1" applyAlignment="1">
      <alignment horizontal="center" vertical="center"/>
    </xf>
    <xf numFmtId="10" fontId="10" fillId="19" borderId="89" xfId="0" applyNumberFormat="1" applyFont="1" applyFill="1" applyBorder="1" applyAlignment="1">
      <alignment horizontal="center" vertical="center"/>
    </xf>
    <xf numFmtId="3" fontId="44" fillId="38" borderId="99" xfId="0" applyNumberFormat="1" applyFont="1" applyFill="1" applyBorder="1" applyAlignment="1">
      <alignment horizontal="right" vertical="center"/>
    </xf>
    <xf numFmtId="4" fontId="14" fillId="5" borderId="89" xfId="0" applyNumberFormat="1" applyFont="1" applyFill="1" applyBorder="1" applyAlignment="1">
      <alignment horizontal="center" vertical="center"/>
    </xf>
    <xf numFmtId="0" fontId="14" fillId="5" borderId="100" xfId="0" applyFont="1" applyFill="1" applyBorder="1" applyAlignment="1">
      <alignment horizontal="left" vertical="center"/>
    </xf>
    <xf numFmtId="4" fontId="26" fillId="2" borderId="65" xfId="0" applyNumberFormat="1" applyFont="1" applyFill="1" applyBorder="1" applyAlignment="1">
      <alignment horizontal="center" vertical="center"/>
    </xf>
    <xf numFmtId="0" fontId="0" fillId="2" borderId="65" xfId="0" applyFill="1" applyBorder="1"/>
    <xf numFmtId="0" fontId="5" fillId="46" borderId="89" xfId="0" applyFont="1" applyFill="1" applyBorder="1" applyAlignment="1">
      <alignment horizontal="center" vertical="center" wrapText="1"/>
    </xf>
    <xf numFmtId="0" fontId="103" fillId="46" borderId="91" xfId="0" applyFont="1" applyFill="1" applyBorder="1" applyAlignment="1">
      <alignment vertical="center"/>
    </xf>
    <xf numFmtId="0" fontId="20" fillId="14" borderId="3" xfId="0" applyFont="1" applyFill="1" applyBorder="1" applyAlignment="1">
      <alignment horizontal="center" vertical="center" wrapText="1"/>
    </xf>
    <xf numFmtId="0" fontId="20" fillId="8" borderId="3" xfId="0" applyFont="1" applyFill="1" applyBorder="1" applyAlignment="1">
      <alignment horizontal="center" vertical="center" wrapText="1"/>
    </xf>
    <xf numFmtId="1" fontId="7" fillId="6" borderId="1" xfId="0" applyNumberFormat="1" applyFont="1" applyFill="1" applyBorder="1" applyAlignment="1">
      <alignment horizontal="center" vertical="center"/>
    </xf>
    <xf numFmtId="0" fontId="26" fillId="15" borderId="2" xfId="0" applyFont="1" applyFill="1" applyBorder="1" applyAlignment="1">
      <alignment horizontal="right" vertical="center"/>
    </xf>
    <xf numFmtId="0" fontId="0" fillId="0" borderId="70" xfId="0" applyBorder="1"/>
    <xf numFmtId="0" fontId="3" fillId="15" borderId="0" xfId="0" applyFont="1" applyFill="1" applyAlignment="1">
      <alignment horizontal="left" vertical="center"/>
    </xf>
    <xf numFmtId="0" fontId="0" fillId="0" borderId="0" xfId="0"/>
    <xf numFmtId="0" fontId="26" fillId="10" borderId="2" xfId="0" applyFont="1" applyFill="1" applyBorder="1" applyAlignment="1">
      <alignment horizontal="right" vertical="center"/>
    </xf>
    <xf numFmtId="0" fontId="19" fillId="10" borderId="0" xfId="0" applyFont="1" applyFill="1" applyAlignment="1">
      <alignment horizontal="center" vertical="center"/>
    </xf>
    <xf numFmtId="0" fontId="39" fillId="11" borderId="0" xfId="0" applyFont="1" applyFill="1" applyAlignment="1">
      <alignment horizontal="left" vertical="center"/>
    </xf>
    <xf numFmtId="0" fontId="3" fillId="10" borderId="0" xfId="0" applyFont="1" applyFill="1" applyAlignment="1">
      <alignment horizontal="left" vertical="center"/>
    </xf>
    <xf numFmtId="0" fontId="5" fillId="10" borderId="0" xfId="0" applyFont="1" applyFill="1" applyAlignment="1">
      <alignment horizontal="center" vertical="center"/>
    </xf>
    <xf numFmtId="0" fontId="3" fillId="14" borderId="0" xfId="0" applyFont="1" applyFill="1" applyAlignment="1">
      <alignment horizontal="center" vertical="center"/>
    </xf>
    <xf numFmtId="0" fontId="2" fillId="2" borderId="0" xfId="0" applyFont="1" applyFill="1" applyAlignment="1">
      <alignment horizontal="center" vertical="center"/>
    </xf>
    <xf numFmtId="0" fontId="36" fillId="0" borderId="0" xfId="0" applyFont="1" applyAlignment="1">
      <alignment horizontal="left"/>
    </xf>
    <xf numFmtId="0" fontId="3" fillId="3" borderId="0" xfId="0" applyFont="1" applyFill="1" applyAlignment="1">
      <alignment horizontal="left" vertical="center"/>
    </xf>
    <xf numFmtId="0" fontId="3" fillId="3" borderId="0" xfId="0" applyFont="1" applyFill="1" applyAlignment="1">
      <alignment horizontal="center" vertical="center"/>
    </xf>
    <xf numFmtId="0" fontId="17" fillId="0" borderId="0" xfId="0" applyFont="1" applyAlignment="1">
      <alignment horizontal="left" vertical="center" wrapText="1"/>
    </xf>
    <xf numFmtId="0" fontId="15" fillId="0" borderId="0" xfId="0" applyFont="1" applyAlignment="1">
      <alignment horizontal="left" vertical="center" wrapText="1"/>
    </xf>
    <xf numFmtId="0" fontId="5" fillId="3" borderId="0" xfId="0" applyFont="1" applyFill="1" applyAlignment="1">
      <alignment horizontal="center" vertical="center"/>
    </xf>
    <xf numFmtId="0" fontId="3" fillId="8" borderId="1" xfId="0" applyFont="1" applyFill="1" applyBorder="1" applyAlignment="1">
      <alignment horizontal="left" vertical="center"/>
    </xf>
    <xf numFmtId="0" fontId="0" fillId="0" borderId="64" xfId="0" applyBorder="1"/>
    <xf numFmtId="0" fontId="13" fillId="2" borderId="0" xfId="0" applyFont="1" applyFill="1" applyAlignment="1">
      <alignment horizontal="center" vertical="center"/>
    </xf>
    <xf numFmtId="0" fontId="3" fillId="8" borderId="0" xfId="0" applyFont="1" applyFill="1" applyAlignment="1">
      <alignment horizontal="left" vertical="center"/>
    </xf>
    <xf numFmtId="0" fontId="3" fillId="9" borderId="0" xfId="0" applyFont="1" applyFill="1" applyAlignment="1">
      <alignment horizontal="left" vertical="center"/>
    </xf>
    <xf numFmtId="0" fontId="19" fillId="8" borderId="2" xfId="0" applyFont="1" applyFill="1" applyBorder="1" applyAlignment="1">
      <alignment horizontal="right" vertical="center"/>
    </xf>
    <xf numFmtId="0" fontId="19" fillId="8" borderId="0" xfId="0" applyFont="1" applyFill="1" applyAlignment="1">
      <alignment horizontal="center" vertical="center"/>
    </xf>
    <xf numFmtId="0" fontId="5" fillId="9" borderId="0" xfId="0" applyFont="1" applyFill="1" applyAlignment="1">
      <alignment horizontal="center" vertical="center"/>
    </xf>
    <xf numFmtId="0" fontId="3" fillId="13" borderId="0" xfId="0" applyFont="1" applyFill="1" applyAlignment="1">
      <alignment horizontal="left" vertical="center"/>
    </xf>
    <xf numFmtId="0" fontId="3" fillId="8" borderId="0" xfId="0" applyFont="1" applyFill="1" applyAlignment="1">
      <alignment horizontal="center" vertical="center"/>
    </xf>
    <xf numFmtId="0" fontId="3" fillId="22" borderId="0" xfId="0" applyFont="1" applyFill="1" applyAlignment="1">
      <alignment horizontal="left" vertical="center"/>
    </xf>
    <xf numFmtId="0" fontId="19" fillId="16" borderId="2" xfId="0" applyFont="1" applyFill="1" applyBorder="1" applyAlignment="1">
      <alignment horizontal="right" vertical="center"/>
    </xf>
    <xf numFmtId="0" fontId="19" fillId="16" borderId="0" xfId="0" applyFont="1" applyFill="1" applyAlignment="1">
      <alignment horizontal="center" vertical="center"/>
    </xf>
    <xf numFmtId="0" fontId="5" fillId="16" borderId="0" xfId="0" applyFont="1" applyFill="1" applyAlignment="1">
      <alignment horizontal="center" vertical="center"/>
    </xf>
    <xf numFmtId="0" fontId="3" fillId="16" borderId="0" xfId="0" applyFont="1" applyFill="1" applyAlignment="1">
      <alignment horizontal="left" vertical="center"/>
    </xf>
    <xf numFmtId="0" fontId="3" fillId="20" borderId="0" xfId="0" applyFont="1" applyFill="1" applyAlignment="1">
      <alignment horizontal="left" vertical="center"/>
    </xf>
    <xf numFmtId="0" fontId="3" fillId="21" borderId="0" xfId="0" applyFont="1" applyFill="1" applyAlignment="1">
      <alignment horizontal="left" vertical="center"/>
    </xf>
    <xf numFmtId="0" fontId="3" fillId="2" borderId="0" xfId="0" applyFont="1" applyFill="1" applyAlignment="1">
      <alignment horizontal="center" vertical="center"/>
    </xf>
    <xf numFmtId="0" fontId="4" fillId="12" borderId="1" xfId="0" applyFont="1" applyFill="1" applyBorder="1" applyAlignment="1">
      <alignment horizontal="left" vertical="center" wrapText="1"/>
    </xf>
    <xf numFmtId="0" fontId="31" fillId="3" borderId="103" xfId="0" applyFont="1" applyFill="1" applyBorder="1" applyAlignment="1">
      <alignment horizontal="right" vertical="center"/>
    </xf>
    <xf numFmtId="0" fontId="31" fillId="3" borderId="104" xfId="0" applyFont="1" applyFill="1" applyBorder="1" applyAlignment="1">
      <alignment horizontal="right" vertical="center"/>
    </xf>
    <xf numFmtId="0" fontId="3" fillId="2" borderId="0" xfId="0" applyFont="1" applyFill="1" applyAlignment="1">
      <alignment horizontal="left" vertical="center"/>
    </xf>
    <xf numFmtId="0" fontId="31" fillId="2" borderId="101" xfId="0" applyFont="1" applyFill="1" applyBorder="1" applyAlignment="1">
      <alignment horizontal="right" vertical="center"/>
    </xf>
    <xf numFmtId="0" fontId="0" fillId="0" borderId="102" xfId="0" applyBorder="1"/>
    <xf numFmtId="0" fontId="4" fillId="19"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33" fillId="11" borderId="0" xfId="0" applyFont="1" applyFill="1" applyAlignment="1">
      <alignment horizontal="left" vertical="center" wrapText="1"/>
    </xf>
    <xf numFmtId="0" fontId="77" fillId="30" borderId="0" xfId="0" applyFont="1" applyFill="1" applyAlignment="1">
      <alignment horizontal="left" vertical="center"/>
    </xf>
    <xf numFmtId="0" fontId="0" fillId="30" borderId="0" xfId="0" applyFill="1"/>
    <xf numFmtId="0" fontId="66" fillId="28" borderId="0" xfId="0" applyFont="1" applyFill="1" applyAlignment="1">
      <alignment horizontal="left" vertical="center"/>
    </xf>
    <xf numFmtId="0" fontId="0" fillId="28" borderId="0" xfId="0" applyFill="1"/>
    <xf numFmtId="0" fontId="94" fillId="33" borderId="85" xfId="0" applyFont="1" applyFill="1" applyBorder="1" applyAlignment="1">
      <alignment horizontal="left" vertical="center" wrapText="1"/>
    </xf>
    <xf numFmtId="0" fontId="65" fillId="28" borderId="0" xfId="0" applyFont="1" applyFill="1" applyAlignment="1">
      <alignment horizontal="left" vertical="center"/>
    </xf>
    <xf numFmtId="0" fontId="89" fillId="34" borderId="0" xfId="0" applyFont="1" applyFill="1" applyAlignment="1">
      <alignment horizontal="left" vertical="center"/>
    </xf>
    <xf numFmtId="0" fontId="90" fillId="35" borderId="0" xfId="0" applyFont="1" applyFill="1" applyAlignment="1">
      <alignment horizontal="left" vertical="center"/>
    </xf>
    <xf numFmtId="0" fontId="77" fillId="30" borderId="88" xfId="0" applyFont="1" applyFill="1" applyBorder="1" applyAlignment="1">
      <alignment horizontal="center" vertical="center"/>
    </xf>
    <xf numFmtId="0" fontId="32" fillId="5"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44" fillId="0" borderId="0" xfId="0" applyFont="1" applyAlignment="1">
      <alignment horizontal="left" vertical="top" wrapText="1"/>
    </xf>
    <xf numFmtId="0" fontId="1" fillId="0" borderId="0" xfId="0" applyFont="1" applyAlignment="1">
      <alignment vertical="center"/>
    </xf>
    <xf numFmtId="0" fontId="62" fillId="0" borderId="0" xfId="0" applyFont="1" applyAlignment="1">
      <alignment horizontal="left" wrapText="1"/>
    </xf>
    <xf numFmtId="0" fontId="1" fillId="0" borderId="0" xfId="0" applyFont="1"/>
    <xf numFmtId="0" fontId="1" fillId="0" borderId="73" xfId="0" applyFont="1" applyBorder="1" applyAlignment="1">
      <alignment horizontal="left" vertical="center"/>
    </xf>
    <xf numFmtId="0" fontId="0" fillId="0" borderId="74" xfId="0" applyBorder="1"/>
    <xf numFmtId="0" fontId="0" fillId="0" borderId="76" xfId="0" applyBorder="1"/>
    <xf numFmtId="0" fontId="1" fillId="0" borderId="18" xfId="0" applyFont="1" applyBorder="1" applyAlignment="1">
      <alignment horizontal="left" vertical="center"/>
    </xf>
    <xf numFmtId="0" fontId="0" fillId="0" borderId="19" xfId="0" applyBorder="1"/>
    <xf numFmtId="0" fontId="0" fillId="0" borderId="26" xfId="0" applyBorder="1"/>
    <xf numFmtId="0" fontId="1" fillId="0" borderId="11" xfId="0" applyFont="1" applyBorder="1" applyAlignment="1">
      <alignment horizontal="left" vertical="center"/>
    </xf>
    <xf numFmtId="0" fontId="0" fillId="0" borderId="33" xfId="0" applyBorder="1"/>
    <xf numFmtId="0" fontId="48" fillId="0" borderId="13" xfId="0" applyFont="1" applyBorder="1" applyAlignment="1">
      <alignment horizontal="center"/>
    </xf>
    <xf numFmtId="0" fontId="0" fillId="0" borderId="5" xfId="0" applyBorder="1"/>
    <xf numFmtId="0" fontId="0" fillId="0" borderId="6" xfId="0" applyBorder="1"/>
    <xf numFmtId="0" fontId="41" fillId="0" borderId="13" xfId="0" applyFont="1" applyBorder="1" applyAlignment="1">
      <alignment horizontal="center" vertical="center"/>
    </xf>
    <xf numFmtId="0" fontId="44" fillId="0" borderId="0" xfId="0" applyFont="1" applyAlignment="1">
      <alignment horizontal="left" wrapText="1"/>
    </xf>
    <xf numFmtId="0" fontId="1" fillId="0" borderId="13" xfId="0" applyFont="1" applyBorder="1" applyAlignment="1">
      <alignment horizontal="left" vertical="center"/>
    </xf>
    <xf numFmtId="0" fontId="0" fillId="0" borderId="75" xfId="0" applyBorder="1"/>
    <xf numFmtId="0" fontId="0" fillId="0" borderId="27" xfId="0" applyBorder="1"/>
    <xf numFmtId="0" fontId="1" fillId="0" borderId="55" xfId="0" applyFont="1" applyBorder="1" applyAlignment="1">
      <alignment horizontal="left" vertical="center" wrapText="1"/>
    </xf>
    <xf numFmtId="0" fontId="0" fillId="0" borderId="55" xfId="0" applyBorder="1"/>
    <xf numFmtId="0" fontId="1" fillId="0" borderId="0" xfId="0" applyFont="1" applyAlignment="1">
      <alignment horizontal="left" wrapText="1"/>
    </xf>
    <xf numFmtId="0" fontId="1" fillId="0" borderId="14" xfId="0" applyFont="1" applyBorder="1" applyAlignment="1">
      <alignment horizontal="left" vertical="center"/>
    </xf>
    <xf numFmtId="2" fontId="45" fillId="0" borderId="71" xfId="4" applyNumberFormat="1" applyFont="1" applyBorder="1" applyAlignment="1">
      <alignment horizontal="center" vertical="center"/>
    </xf>
    <xf numFmtId="0" fontId="0" fillId="0" borderId="56" xfId="0" applyBorder="1"/>
    <xf numFmtId="0" fontId="0" fillId="0" borderId="57" xfId="0" applyBorder="1"/>
    <xf numFmtId="0" fontId="45" fillId="0" borderId="72" xfId="0" applyFont="1" applyBorder="1" applyAlignment="1">
      <alignment horizontal="center"/>
    </xf>
    <xf numFmtId="0" fontId="0" fillId="0" borderId="41" xfId="0" applyBorder="1"/>
    <xf numFmtId="0" fontId="0" fillId="0" borderId="42" xfId="0" applyBorder="1"/>
    <xf numFmtId="0" fontId="44" fillId="0" borderId="0" xfId="0" applyFont="1" applyAlignment="1">
      <alignment horizontal="left" vertical="center" wrapText="1"/>
    </xf>
    <xf numFmtId="0" fontId="1" fillId="0" borderId="55" xfId="0" applyFont="1" applyBorder="1" applyAlignment="1">
      <alignment horizontal="left" wrapText="1"/>
    </xf>
    <xf numFmtId="0" fontId="47" fillId="0" borderId="0" xfId="0" applyFont="1" applyAlignment="1">
      <alignment horizontal="left" vertical="top" wrapText="1"/>
    </xf>
    <xf numFmtId="0" fontId="53" fillId="0" borderId="0" xfId="3" applyFont="1" applyAlignment="1">
      <alignment horizontal="left" vertical="top" wrapText="1"/>
    </xf>
    <xf numFmtId="0" fontId="1" fillId="0" borderId="40" xfId="0" applyFont="1" applyBorder="1" applyAlignment="1">
      <alignment horizontal="left" vertical="center"/>
    </xf>
    <xf numFmtId="0" fontId="1" fillId="0" borderId="23" xfId="0" applyFont="1" applyBorder="1" applyAlignment="1">
      <alignment horizontal="left" vertical="center"/>
    </xf>
    <xf numFmtId="0" fontId="1" fillId="0" borderId="9" xfId="0" applyFont="1" applyBorder="1" applyAlignment="1">
      <alignment horizontal="left" vertical="center"/>
    </xf>
    <xf numFmtId="0" fontId="1" fillId="0" borderId="0" xfId="0" applyFont="1" applyAlignment="1">
      <alignment horizontal="left" vertical="center" wrapText="1"/>
    </xf>
    <xf numFmtId="0" fontId="70" fillId="27" borderId="0" xfId="0" applyFont="1" applyFill="1" applyAlignment="1">
      <alignment horizontal="center" vertical="center"/>
    </xf>
    <xf numFmtId="0" fontId="69" fillId="29" borderId="78" xfId="0" applyFont="1" applyFill="1" applyBorder="1" applyAlignment="1">
      <alignment horizontal="center" vertical="center"/>
    </xf>
    <xf numFmtId="0" fontId="0" fillId="0" borderId="82" xfId="0" applyBorder="1"/>
    <xf numFmtId="0" fontId="74" fillId="29" borderId="80" xfId="0" applyFont="1" applyFill="1" applyBorder="1" applyAlignment="1">
      <alignment horizontal="center" vertical="center"/>
    </xf>
    <xf numFmtId="4" fontId="68" fillId="29" borderId="79" xfId="0" applyNumberFormat="1" applyFont="1" applyFill="1" applyBorder="1" applyAlignment="1">
      <alignment horizontal="center" vertical="center"/>
    </xf>
    <xf numFmtId="4" fontId="68" fillId="29" borderId="81" xfId="0" applyNumberFormat="1" applyFont="1" applyFill="1" applyBorder="1" applyAlignment="1">
      <alignment horizontal="center" vertical="center"/>
    </xf>
    <xf numFmtId="0" fontId="70" fillId="29" borderId="78" xfId="0" applyFont="1" applyFill="1" applyBorder="1" applyAlignment="1">
      <alignment horizontal="center" vertical="center"/>
    </xf>
    <xf numFmtId="0" fontId="70" fillId="29" borderId="79" xfId="0" applyFont="1" applyFill="1" applyBorder="1" applyAlignment="1">
      <alignment horizontal="center" vertical="center"/>
    </xf>
    <xf numFmtId="0" fontId="70" fillId="29" borderId="80" xfId="0" applyFont="1" applyFill="1" applyBorder="1" applyAlignment="1">
      <alignment horizontal="center" vertical="center"/>
    </xf>
    <xf numFmtId="0" fontId="72" fillId="29" borderId="79" xfId="0" applyFont="1" applyFill="1" applyBorder="1" applyAlignment="1">
      <alignment horizontal="center" vertical="center"/>
    </xf>
    <xf numFmtId="0" fontId="76" fillId="29" borderId="81" xfId="0" applyFont="1" applyFill="1" applyBorder="1" applyAlignment="1">
      <alignment horizontal="center" vertical="center"/>
    </xf>
    <xf numFmtId="0" fontId="71" fillId="29" borderId="79" xfId="0" applyFont="1" applyFill="1" applyBorder="1" applyAlignment="1">
      <alignment horizontal="center" vertical="center"/>
    </xf>
    <xf numFmtId="0" fontId="75" fillId="29" borderId="81" xfId="0" applyFont="1" applyFill="1" applyBorder="1" applyAlignment="1">
      <alignment horizontal="center" vertical="center"/>
    </xf>
    <xf numFmtId="0" fontId="67" fillId="29" borderId="78" xfId="0" applyFont="1" applyFill="1" applyBorder="1" applyAlignment="1">
      <alignment horizontal="center" vertical="center"/>
    </xf>
    <xf numFmtId="4" fontId="68" fillId="29" borderId="78" xfId="0" applyNumberFormat="1" applyFont="1" applyFill="1" applyBorder="1" applyAlignment="1">
      <alignment horizontal="center" vertical="center"/>
    </xf>
    <xf numFmtId="0" fontId="73" fillId="29" borderId="80" xfId="0" applyFont="1" applyFill="1" applyBorder="1" applyAlignment="1">
      <alignment horizontal="center" vertical="center"/>
    </xf>
    <xf numFmtId="0" fontId="70" fillId="29" borderId="81" xfId="0" applyFont="1" applyFill="1" applyBorder="1" applyAlignment="1">
      <alignment horizontal="center" vertical="center"/>
    </xf>
    <xf numFmtId="4" fontId="68" fillId="29" borderId="80" xfId="0" applyNumberFormat="1" applyFont="1" applyFill="1" applyBorder="1" applyAlignment="1">
      <alignment horizontal="center" vertical="center"/>
    </xf>
  </cellXfs>
  <cellStyles count="5">
    <cellStyle name="Comma" xfId="1" builtinId="3"/>
    <cellStyle name="Hyperlink" xfId="3" builtinId="8"/>
    <cellStyle name="Normal" xfId="0" builtinId="0"/>
    <cellStyle name="Normal 128" xfId="4" xr:uid="{00000000-0005-0000-0000-000004000000}"/>
    <cellStyle name="Percent" xfId="2" builtinId="5"/>
  </cellStyles>
  <dxfs count="8">
    <dxf>
      <fill>
        <patternFill>
          <bgColor rgb="FFCCFFCC"/>
        </patternFill>
      </fill>
    </dxf>
    <dxf>
      <fill>
        <patternFill>
          <bgColor rgb="FFFFCCCC"/>
        </patternFill>
      </fill>
    </dxf>
    <dxf>
      <fill>
        <patternFill>
          <bgColor rgb="FFCCFFCC"/>
        </patternFill>
      </fill>
    </dxf>
    <dxf>
      <fill>
        <patternFill>
          <bgColor rgb="FFFFCCCC"/>
        </patternFill>
      </fill>
    </dxf>
    <dxf>
      <fill>
        <patternFill>
          <bgColor rgb="FFCCFFCC"/>
        </patternFill>
      </fill>
    </dxf>
    <dxf>
      <fill>
        <patternFill>
          <bgColor rgb="FFFFCCCC"/>
        </patternFill>
      </fill>
    </dxf>
    <dxf>
      <fill>
        <patternFill>
          <bgColor rgb="FFCCFFCC"/>
        </patternFill>
      </fill>
    </dxf>
    <dxf>
      <fill>
        <patternFill>
          <bgColor rgb="FFFFCCCC"/>
        </patternFill>
      </fill>
    </dxf>
  </dxfs>
  <tableStyles count="0" defaultTableStyle="TableStyleMedium2" defaultPivotStyle="PivotStyleLight16"/>
  <colors>
    <indexedColors>
      <rgbColor rgb="FF000000"/>
      <rgbColor rgb="FFFFFFFF"/>
      <rgbColor rgb="FFFF0000"/>
      <rgbColor rgb="FF00FF00"/>
      <rgbColor rgb="FF0000FF"/>
      <rgbColor rgb="FFE8F5E9"/>
      <rgbColor rgb="FFFF00FF"/>
      <rgbColor rgb="FF00FFFF"/>
      <rgbColor rgb="FF800000"/>
      <rgbColor rgb="FF007700"/>
      <rgbColor rgb="FF000080"/>
      <rgbColor rgb="FF808000"/>
      <rgbColor rgb="FF880E4F"/>
      <rgbColor rgb="FF2E7D32"/>
      <rgbColor rgb="FFE1BEE7"/>
      <rgbColor rgb="FF4A7C59"/>
      <rgbColor rgb="FF9999FF"/>
      <rgbColor rgb="FF7B1FA2"/>
      <rgbColor rgb="FFFFFDE7"/>
      <rgbColor rgb="FFE3F2FD"/>
      <rgbColor rgb="FF4A148C"/>
      <rgbColor rgb="FFFF8080"/>
      <rgbColor rgb="FF1565C0"/>
      <rgbColor rgb="FFD0D0D0"/>
      <rgbColor rgb="FF000080"/>
      <rgbColor rgb="FFFF00FF"/>
      <rgbColor rgb="FFF5F5F5"/>
      <rgbColor rgb="FF00FFFF"/>
      <rgbColor rgb="FF6A1B9A"/>
      <rgbColor rgb="FF800000"/>
      <rgbColor rgb="FF008080"/>
      <rgbColor rgb="FF0000CC"/>
      <rgbColor rgb="FF00CCFF"/>
      <rgbColor rgb="FFDFF0E5"/>
      <rgbColor rgb="FFCCFFCC"/>
      <rgbColor rgb="FFFFF9E6"/>
      <rgbColor rgb="FFBBDEFB"/>
      <rgbColor rgb="FFE8EAF6"/>
      <rgbColor rgb="FFC8E6C9"/>
      <rgbColor rgb="FFFFCCCC"/>
      <rgbColor rgb="FF3366FF"/>
      <rgbColor rgb="FF33CCCC"/>
      <rgbColor rgb="FF99CC00"/>
      <rgbColor rgb="FFFFCC00"/>
      <rgbColor rgb="FFE8A020"/>
      <rgbColor rgb="FFF57F17"/>
      <rgbColor rgb="FF5A6B72"/>
      <rgbColor rgb="FF969696"/>
      <rgbColor rgb="FF1A237E"/>
      <rgbColor rgb="FF388E3C"/>
      <rgbColor rgb="FF0F1A14"/>
      <rgbColor rgb="FF1B5E20"/>
      <rgbColor rgb="FF993300"/>
      <rgbColor rgb="FF993366"/>
      <rgbColor rgb="FF283593"/>
      <rgbColor rgb="FF1A3D2B"/>
      <rgbColor rgb="00003366"/>
      <rgbColor rgb="00339966"/>
      <rgbColor rgb="00003300"/>
      <rgbColor rgb="00333300"/>
      <rgbColor rgb="00993300"/>
      <rgbColor rgb="00993366"/>
      <rgbColor rgb="00333399"/>
      <rgbColor rgb="00333333"/>
    </indexedColors>
    <mruColors>
      <color rgb="FF1A3D2B"/>
      <color rgb="FF0000FF"/>
      <color rgb="FFFFFFE5"/>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Emission Trajectory</a:t>
            </a:r>
          </a:p>
        </c:rich>
      </c:tx>
      <c:layout>
        <c:manualLayout>
          <c:xMode val="edge"/>
          <c:yMode val="edge"/>
          <c:x val="4.7671336073931196E-2"/>
          <c:y val="4.996101767010906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0.17034010689630538"/>
          <c:y val="0.22346476753330421"/>
          <c:w val="0.76037861814119923"/>
          <c:h val="0.70432077662278758"/>
        </c:manualLayout>
      </c:layout>
      <c:lineChart>
        <c:grouping val="standard"/>
        <c:varyColors val="0"/>
        <c:ser>
          <c:idx val="0"/>
          <c:order val="0"/>
          <c:tx>
            <c:strRef>
              <c:f>'Reduction Trajectory'!$B$8</c:f>
              <c:strCache>
                <c:ptCount val="1"/>
                <c:pt idx="0">
                  <c:v>Business as usual</c:v>
                </c:pt>
              </c:strCache>
            </c:strRef>
          </c:tx>
          <c:spPr>
            <a:ln w="38100" cap="flat" cmpd="dbl" algn="ctr">
              <a:solidFill>
                <a:schemeClr val="bg2"/>
              </a:solidFill>
              <a:prstDash val="dash"/>
              <a:miter lim="800000"/>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2-1985-439F-8C0B-8B89807A97CF}"/>
                </c:ext>
              </c:extLst>
            </c:dLbl>
            <c:dLbl>
              <c:idx val="1"/>
              <c:delete val="1"/>
              <c:extLst>
                <c:ext xmlns:c15="http://schemas.microsoft.com/office/drawing/2012/chart" uri="{CE6537A1-D6FC-4f65-9D91-7224C49458BB}"/>
                <c:ext xmlns:c16="http://schemas.microsoft.com/office/drawing/2014/chart" uri="{C3380CC4-5D6E-409C-BE32-E72D297353CC}">
                  <c16:uniqueId val="{00000003-1985-439F-8C0B-8B89807A97CF}"/>
                </c:ext>
              </c:extLst>
            </c:dLbl>
            <c:dLbl>
              <c:idx val="2"/>
              <c:delete val="1"/>
              <c:extLst>
                <c:ext xmlns:c15="http://schemas.microsoft.com/office/drawing/2012/chart" uri="{CE6537A1-D6FC-4f65-9D91-7224C49458BB}"/>
                <c:ext xmlns:c16="http://schemas.microsoft.com/office/drawing/2014/chart" uri="{C3380CC4-5D6E-409C-BE32-E72D297353CC}">
                  <c16:uniqueId val="{00000004-1985-439F-8C0B-8B89807A97CF}"/>
                </c:ext>
              </c:extLst>
            </c:dLbl>
            <c:dLbl>
              <c:idx val="3"/>
              <c:delete val="1"/>
              <c:extLst>
                <c:ext xmlns:c15="http://schemas.microsoft.com/office/drawing/2012/chart" uri="{CE6537A1-D6FC-4f65-9D91-7224C49458BB}"/>
                <c:ext xmlns:c16="http://schemas.microsoft.com/office/drawing/2014/chart" uri="{C3380CC4-5D6E-409C-BE32-E72D297353CC}">
                  <c16:uniqueId val="{00000005-1985-439F-8C0B-8B89807A97CF}"/>
                </c:ext>
              </c:extLst>
            </c:dLbl>
            <c:dLbl>
              <c:idx val="4"/>
              <c:delete val="1"/>
              <c:extLst>
                <c:ext xmlns:c15="http://schemas.microsoft.com/office/drawing/2012/chart" uri="{CE6537A1-D6FC-4f65-9D91-7224C49458BB}"/>
                <c:ext xmlns:c16="http://schemas.microsoft.com/office/drawing/2014/chart" uri="{C3380CC4-5D6E-409C-BE32-E72D297353CC}">
                  <c16:uniqueId val="{00000006-1985-439F-8C0B-8B89807A97CF}"/>
                </c:ext>
              </c:extLst>
            </c:dLbl>
            <c:dLbl>
              <c:idx val="5"/>
              <c:delete val="1"/>
              <c:extLst>
                <c:ext xmlns:c15="http://schemas.microsoft.com/office/drawing/2012/chart" uri="{CE6537A1-D6FC-4f65-9D91-7224C49458BB}"/>
                <c:ext xmlns:c16="http://schemas.microsoft.com/office/drawing/2014/chart" uri="{C3380CC4-5D6E-409C-BE32-E72D297353CC}">
                  <c16:uniqueId val="{00000007-1985-439F-8C0B-8B89807A97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'Reduction Trajectory'!$C$7:$I$7</c:f>
              <c:numCache>
                <c:formatCode>General</c:formatCode>
                <c:ptCount val="7"/>
                <c:pt idx="0">
                  <c:v>2024</c:v>
                </c:pt>
                <c:pt idx="1">
                  <c:v>2025</c:v>
                </c:pt>
                <c:pt idx="2">
                  <c:v>2026</c:v>
                </c:pt>
                <c:pt idx="3">
                  <c:v>2027</c:v>
                </c:pt>
                <c:pt idx="4">
                  <c:v>2028</c:v>
                </c:pt>
                <c:pt idx="5">
                  <c:v>2029</c:v>
                </c:pt>
                <c:pt idx="6">
                  <c:v>2030</c:v>
                </c:pt>
              </c:numCache>
            </c:numRef>
          </c:cat>
          <c:val>
            <c:numRef>
              <c:f>'Reduction Trajectory'!$C$8:$I$8</c:f>
              <c:numCache>
                <c:formatCode>_(* #,##0.00_);_(* \(#,##0.00\);_(* "-"??_);_(@_)</c:formatCode>
                <c:ptCount val="7"/>
                <c:pt idx="0">
                  <c:v>11242356</c:v>
                </c:pt>
                <c:pt idx="1">
                  <c:v>16456070</c:v>
                </c:pt>
                <c:pt idx="2">
                  <c:v>17422778</c:v>
                </c:pt>
                <c:pt idx="3">
                  <c:v>18446275</c:v>
                </c:pt>
                <c:pt idx="4">
                  <c:v>19529898</c:v>
                </c:pt>
                <c:pt idx="5">
                  <c:v>20677178</c:v>
                </c:pt>
                <c:pt idx="6">
                  <c:v>21891855</c:v>
                </c:pt>
              </c:numCache>
            </c:numRef>
          </c:val>
          <c:smooth val="0"/>
          <c:extLst>
            <c:ext xmlns:c16="http://schemas.microsoft.com/office/drawing/2014/chart" uri="{C3380CC4-5D6E-409C-BE32-E72D297353CC}">
              <c16:uniqueId val="{00000000-1985-439F-8C0B-8B89807A97CF}"/>
            </c:ext>
          </c:extLst>
        </c:ser>
        <c:ser>
          <c:idx val="1"/>
          <c:order val="1"/>
          <c:tx>
            <c:strRef>
              <c:f>'Reduction Trajectory'!$B$9</c:f>
              <c:strCache>
                <c:ptCount val="1"/>
                <c:pt idx="0">
                  <c:v>Socpe 1 and 2 - 27.5% Reduction </c:v>
                </c:pt>
              </c:strCache>
            </c:strRef>
          </c:tx>
          <c:spPr>
            <a:ln w="38100" cap="flat" cmpd="dbl" algn="ctr">
              <a:solidFill>
                <a:schemeClr val="accent2"/>
              </a:solidFill>
              <a:miter lim="800000"/>
            </a:ln>
            <a:effectLst/>
          </c:spPr>
          <c:marker>
            <c:symbol val="none"/>
          </c:marker>
          <c:dLbls>
            <c:dLbl>
              <c:idx val="0"/>
              <c:layout>
                <c:manualLayout>
                  <c:x val="-6.5931469565052789E-2"/>
                  <c:y val="3.6713217296469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985-439F-8C0B-8B89807A97CF}"/>
                </c:ext>
              </c:extLst>
            </c:dLbl>
            <c:dLbl>
              <c:idx val="1"/>
              <c:delete val="1"/>
              <c:extLst>
                <c:ext xmlns:c15="http://schemas.microsoft.com/office/drawing/2012/chart" uri="{CE6537A1-D6FC-4f65-9D91-7224C49458BB}"/>
                <c:ext xmlns:c16="http://schemas.microsoft.com/office/drawing/2014/chart" uri="{C3380CC4-5D6E-409C-BE32-E72D297353CC}">
                  <c16:uniqueId val="{0000000D-1985-439F-8C0B-8B89807A97CF}"/>
                </c:ext>
              </c:extLst>
            </c:dLbl>
            <c:dLbl>
              <c:idx val="2"/>
              <c:delete val="1"/>
              <c:extLst>
                <c:ext xmlns:c15="http://schemas.microsoft.com/office/drawing/2012/chart" uri="{CE6537A1-D6FC-4f65-9D91-7224C49458BB}"/>
                <c:ext xmlns:c16="http://schemas.microsoft.com/office/drawing/2014/chart" uri="{C3380CC4-5D6E-409C-BE32-E72D297353CC}">
                  <c16:uniqueId val="{0000000E-1985-439F-8C0B-8B89807A97CF}"/>
                </c:ext>
              </c:extLst>
            </c:dLbl>
            <c:dLbl>
              <c:idx val="3"/>
              <c:delete val="1"/>
              <c:extLst>
                <c:ext xmlns:c15="http://schemas.microsoft.com/office/drawing/2012/chart" uri="{CE6537A1-D6FC-4f65-9D91-7224C49458BB}"/>
                <c:ext xmlns:c16="http://schemas.microsoft.com/office/drawing/2014/chart" uri="{C3380CC4-5D6E-409C-BE32-E72D297353CC}">
                  <c16:uniqueId val="{0000000F-1985-439F-8C0B-8B89807A97CF}"/>
                </c:ext>
              </c:extLst>
            </c:dLbl>
            <c:dLbl>
              <c:idx val="4"/>
              <c:delete val="1"/>
              <c:extLst>
                <c:ext xmlns:c15="http://schemas.microsoft.com/office/drawing/2012/chart" uri="{CE6537A1-D6FC-4f65-9D91-7224C49458BB}"/>
                <c:ext xmlns:c16="http://schemas.microsoft.com/office/drawing/2014/chart" uri="{C3380CC4-5D6E-409C-BE32-E72D297353CC}">
                  <c16:uniqueId val="{00000010-1985-439F-8C0B-8B89807A97CF}"/>
                </c:ext>
              </c:extLst>
            </c:dLbl>
            <c:dLbl>
              <c:idx val="5"/>
              <c:delete val="1"/>
              <c:extLst>
                <c:ext xmlns:c15="http://schemas.microsoft.com/office/drawing/2012/chart" uri="{CE6537A1-D6FC-4f65-9D91-7224C49458BB}"/>
                <c:ext xmlns:c16="http://schemas.microsoft.com/office/drawing/2014/chart" uri="{C3380CC4-5D6E-409C-BE32-E72D297353CC}">
                  <c16:uniqueId val="{00000011-1985-439F-8C0B-8B89807A97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'Reduction Trajectory'!$C$7:$I$7</c:f>
              <c:numCache>
                <c:formatCode>General</c:formatCode>
                <c:ptCount val="7"/>
                <c:pt idx="0">
                  <c:v>2024</c:v>
                </c:pt>
                <c:pt idx="1">
                  <c:v>2025</c:v>
                </c:pt>
                <c:pt idx="2">
                  <c:v>2026</c:v>
                </c:pt>
                <c:pt idx="3">
                  <c:v>2027</c:v>
                </c:pt>
                <c:pt idx="4">
                  <c:v>2028</c:v>
                </c:pt>
                <c:pt idx="5">
                  <c:v>2029</c:v>
                </c:pt>
                <c:pt idx="6">
                  <c:v>2030</c:v>
                </c:pt>
              </c:numCache>
            </c:numRef>
          </c:cat>
          <c:val>
            <c:numRef>
              <c:f>'Reduction Trajectory'!$C$9:$I$9</c:f>
              <c:numCache>
                <c:formatCode>#,##0.00</c:formatCode>
                <c:ptCount val="7"/>
                <c:pt idx="0" formatCode="_(* #,##0.00_);_(* \(#,##0.00\);_(* &quot;-&quot;??_);_(@_)">
                  <c:v>11242356</c:v>
                </c:pt>
                <c:pt idx="1">
                  <c:v>10961297.1</c:v>
                </c:pt>
                <c:pt idx="2">
                  <c:v>10680238.199999999</c:v>
                </c:pt>
                <c:pt idx="3">
                  <c:v>10399179.299999999</c:v>
                </c:pt>
                <c:pt idx="4">
                  <c:v>10118120.399999999</c:v>
                </c:pt>
                <c:pt idx="5">
                  <c:v>9837061.4999999981</c:v>
                </c:pt>
                <c:pt idx="6">
                  <c:v>9556002.5999999978</c:v>
                </c:pt>
              </c:numCache>
            </c:numRef>
          </c:val>
          <c:smooth val="0"/>
          <c:extLst>
            <c:ext xmlns:c16="http://schemas.microsoft.com/office/drawing/2014/chart" uri="{C3380CC4-5D6E-409C-BE32-E72D297353CC}">
              <c16:uniqueId val="{00000001-1985-439F-8C0B-8B89807A97CF}"/>
            </c:ext>
          </c:extLst>
        </c:ser>
        <c:ser>
          <c:idx val="2"/>
          <c:order val="2"/>
          <c:tx>
            <c:strRef>
              <c:f>'Reduction Trajectory'!$B$10</c:f>
              <c:strCache>
                <c:ptCount val="1"/>
                <c:pt idx="0">
                  <c:v>#REF!</c:v>
                </c:pt>
              </c:strCache>
            </c:strRef>
          </c:tx>
          <c:spPr>
            <a:ln w="38100" cap="flat" cmpd="dbl" algn="ctr">
              <a:solidFill>
                <a:schemeClr val="accent3"/>
              </a:solidFill>
              <a:miter lim="800000"/>
            </a:ln>
            <a:effectLst/>
          </c:spPr>
          <c:marker>
            <c:symbol val="none"/>
          </c:marker>
          <c:dLbls>
            <c:dLbl>
              <c:idx val="0"/>
              <c:layout>
                <c:manualLayout>
                  <c:x val="-4.5421103196183553E-2"/>
                  <c:y val="-4.68837960748881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985-439F-8C0B-8B89807A97CF}"/>
                </c:ext>
              </c:extLst>
            </c:dLbl>
            <c:dLbl>
              <c:idx val="1"/>
              <c:delete val="1"/>
              <c:extLst>
                <c:ext xmlns:c15="http://schemas.microsoft.com/office/drawing/2012/chart" uri="{CE6537A1-D6FC-4f65-9D91-7224C49458BB}"/>
                <c:ext xmlns:c16="http://schemas.microsoft.com/office/drawing/2014/chart" uri="{C3380CC4-5D6E-409C-BE32-E72D297353CC}">
                  <c16:uniqueId val="{00000008-1985-439F-8C0B-8B89807A97CF}"/>
                </c:ext>
              </c:extLst>
            </c:dLbl>
            <c:dLbl>
              <c:idx val="2"/>
              <c:delete val="1"/>
              <c:extLst>
                <c:ext xmlns:c15="http://schemas.microsoft.com/office/drawing/2012/chart" uri="{CE6537A1-D6FC-4f65-9D91-7224C49458BB}"/>
                <c:ext xmlns:c16="http://schemas.microsoft.com/office/drawing/2014/chart" uri="{C3380CC4-5D6E-409C-BE32-E72D297353CC}">
                  <c16:uniqueId val="{00000009-1985-439F-8C0B-8B89807A97CF}"/>
                </c:ext>
              </c:extLst>
            </c:dLbl>
            <c:dLbl>
              <c:idx val="3"/>
              <c:delete val="1"/>
              <c:extLst>
                <c:ext xmlns:c15="http://schemas.microsoft.com/office/drawing/2012/chart" uri="{CE6537A1-D6FC-4f65-9D91-7224C49458BB}"/>
                <c:ext xmlns:c16="http://schemas.microsoft.com/office/drawing/2014/chart" uri="{C3380CC4-5D6E-409C-BE32-E72D297353CC}">
                  <c16:uniqueId val="{0000000A-1985-439F-8C0B-8B89807A97CF}"/>
                </c:ext>
              </c:extLst>
            </c:dLbl>
            <c:dLbl>
              <c:idx val="4"/>
              <c:delete val="1"/>
              <c:extLst>
                <c:ext xmlns:c15="http://schemas.microsoft.com/office/drawing/2012/chart" uri="{CE6537A1-D6FC-4f65-9D91-7224C49458BB}"/>
                <c:ext xmlns:c16="http://schemas.microsoft.com/office/drawing/2014/chart" uri="{C3380CC4-5D6E-409C-BE32-E72D297353CC}">
                  <c16:uniqueId val="{0000000B-1985-439F-8C0B-8B89807A97CF}"/>
                </c:ext>
              </c:extLst>
            </c:dLbl>
            <c:dLbl>
              <c:idx val="5"/>
              <c:delete val="1"/>
              <c:extLst>
                <c:ext xmlns:c15="http://schemas.microsoft.com/office/drawing/2012/chart" uri="{CE6537A1-D6FC-4f65-9D91-7224C49458BB}"/>
                <c:ext xmlns:c16="http://schemas.microsoft.com/office/drawing/2014/chart" uri="{C3380CC4-5D6E-409C-BE32-E72D297353CC}">
                  <c16:uniqueId val="{0000000C-1985-439F-8C0B-8B89807A97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'Reduction Trajectory'!$C$7:$I$7</c:f>
              <c:numCache>
                <c:formatCode>General</c:formatCode>
                <c:ptCount val="7"/>
                <c:pt idx="0">
                  <c:v>2024</c:v>
                </c:pt>
                <c:pt idx="1">
                  <c:v>2025</c:v>
                </c:pt>
                <c:pt idx="2">
                  <c:v>2026</c:v>
                </c:pt>
                <c:pt idx="3">
                  <c:v>2027</c:v>
                </c:pt>
                <c:pt idx="4">
                  <c:v>2028</c:v>
                </c:pt>
                <c:pt idx="5">
                  <c:v>2029</c:v>
                </c:pt>
                <c:pt idx="6">
                  <c:v>2030</c:v>
                </c:pt>
              </c:numCache>
            </c:numRef>
          </c:cat>
          <c:val>
            <c:numRef>
              <c:f>'Reduction Trajectory'!$C$10:$I$10</c:f>
              <c:numCache>
                <c:formatCode>#,##0.00</c:formatCode>
                <c:ptCount val="7"/>
                <c:pt idx="0" formatCode="_(* #,##0.00_);_(* \(#,##0.00\);_(* &quot;-&quot;??_);_(@_)">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2-1985-439F-8C0B-8B89807A97CF}"/>
            </c:ext>
          </c:extLst>
        </c:ser>
        <c:ser>
          <c:idx val="3"/>
          <c:order val="3"/>
          <c:tx>
            <c:strRef>
              <c:f>'Reduction Trajectory'!$B$11</c:f>
              <c:strCache>
                <c:ptCount val="1"/>
                <c:pt idx="0">
                  <c:v>Scope 3 Reduction Target</c:v>
                </c:pt>
              </c:strCache>
            </c:strRef>
          </c:tx>
          <c:spPr>
            <a:ln w="38100" cap="flat" cmpd="dbl" algn="ctr">
              <a:solidFill>
                <a:schemeClr val="accent4"/>
              </a:solidFill>
              <a:miter lim="800000"/>
            </a:ln>
            <a:effectLst/>
          </c:spPr>
          <c:marker>
            <c:symbol val="none"/>
          </c:marker>
          <c:cat>
            <c:numRef>
              <c:f>'Reduction Trajectory'!$C$7:$I$7</c:f>
              <c:numCache>
                <c:formatCode>General</c:formatCode>
                <c:ptCount val="7"/>
                <c:pt idx="0">
                  <c:v>2024</c:v>
                </c:pt>
                <c:pt idx="1">
                  <c:v>2025</c:v>
                </c:pt>
                <c:pt idx="2">
                  <c:v>2026</c:v>
                </c:pt>
                <c:pt idx="3">
                  <c:v>2027</c:v>
                </c:pt>
                <c:pt idx="4">
                  <c:v>2028</c:v>
                </c:pt>
                <c:pt idx="5">
                  <c:v>2029</c:v>
                </c:pt>
                <c:pt idx="6">
                  <c:v>2030</c:v>
                </c:pt>
              </c:numCache>
            </c:numRef>
          </c:cat>
          <c:val>
            <c:numRef>
              <c:f>'Reduction Trajectory'!$C$11:$I$11</c:f>
              <c:numCache>
                <c:formatCode>#,##0.00</c:formatCode>
                <c:ptCount val="7"/>
                <c:pt idx="0" formatCode="_(* #,##0.00_);_(* \(#,##0.00\);_(* &quot;-&quot;??_);_(@_)">
                  <c:v>11399031</c:v>
                </c:pt>
                <c:pt idx="1">
                  <c:v>11114055.225</c:v>
                </c:pt>
                <c:pt idx="2">
                  <c:v>10829079.449999999</c:v>
                </c:pt>
                <c:pt idx="3">
                  <c:v>10544103.674999999</c:v>
                </c:pt>
                <c:pt idx="4">
                  <c:v>10259127.899999999</c:v>
                </c:pt>
                <c:pt idx="5">
                  <c:v>9974152.1249999981</c:v>
                </c:pt>
                <c:pt idx="6">
                  <c:v>9689176.3499999978</c:v>
                </c:pt>
              </c:numCache>
            </c:numRef>
          </c:val>
          <c:smooth val="0"/>
          <c:extLst>
            <c:ext xmlns:c16="http://schemas.microsoft.com/office/drawing/2014/chart" uri="{C3380CC4-5D6E-409C-BE32-E72D297353CC}">
              <c16:uniqueId val="{00000015-1985-439F-8C0B-8B89807A97CF}"/>
            </c:ext>
          </c:extLst>
        </c:ser>
        <c:dLbls>
          <c:showLegendKey val="0"/>
          <c:showVal val="0"/>
          <c:showCatName val="0"/>
          <c:showSerName val="0"/>
          <c:showPercent val="0"/>
          <c:showBubbleSize val="0"/>
        </c:dLbls>
        <c:smooth val="0"/>
        <c:axId val="1905081775"/>
        <c:axId val="1905079855"/>
      </c:lineChart>
      <c:catAx>
        <c:axId val="1905081775"/>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79855"/>
        <c:crosses val="autoZero"/>
        <c:auto val="1"/>
        <c:lblAlgn val="ctr"/>
        <c:lblOffset val="100"/>
        <c:noMultiLvlLbl val="0"/>
      </c:catAx>
      <c:valAx>
        <c:axId val="1905079855"/>
        <c:scaling>
          <c:orientation val="minMax"/>
          <c:max val="20000000"/>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 (tCO₂e)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81775"/>
        <c:crosses val="autoZero"/>
        <c:crossBetween val="between"/>
      </c:valAx>
      <c:spPr>
        <a:noFill/>
        <a:ln w="25400">
          <a:noFill/>
        </a:ln>
        <a:effectLst/>
      </c:spPr>
    </c:plotArea>
    <c:legend>
      <c:legendPos val="r"/>
      <c:layout>
        <c:manualLayout>
          <c:xMode val="edge"/>
          <c:yMode val="edge"/>
          <c:x val="0.73309777872669846"/>
          <c:y val="0.21351002101793143"/>
          <c:w val="0.21269919993363876"/>
          <c:h val="0.329178571239493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924560</xdr:colOff>
      <xdr:row>33</xdr:row>
      <xdr:rowOff>121919</xdr:rowOff>
    </xdr:from>
    <xdr:to>
      <xdr:col>8</xdr:col>
      <xdr:colOff>473927</xdr:colOff>
      <xdr:row>56</xdr:row>
      <xdr:rowOff>65048</xdr:rowOff>
    </xdr:to>
    <xdr:graphicFrame macro="">
      <xdr:nvGraphicFramePr>
        <xdr:cNvPr id="7" name="Chart 6">
          <a:extLst>
            <a:ext uri="{FF2B5EF4-FFF2-40B4-BE49-F238E27FC236}">
              <a16:creationId xmlns:a16="http://schemas.microsoft.com/office/drawing/2014/main" id="{CF40BA2E-0792-4B88-BB61-42D782355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1066799</xdr:colOff>
      <xdr:row>0</xdr:row>
      <xdr:rowOff>187325</xdr:rowOff>
    </xdr:from>
    <xdr:to>
      <xdr:col>2</xdr:col>
      <xdr:colOff>1883566</xdr:colOff>
      <xdr:row>1</xdr:row>
      <xdr:rowOff>84294</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295399" y="187325"/>
          <a:ext cx="1929287" cy="910429"/>
        </a:xfrm>
        <a:prstGeom prst="rect">
          <a:avLst/>
        </a:prstGeom>
        <a:ln w="3175">
          <a:noFill/>
          <a:prstDash val="solid"/>
        </a:ln>
      </xdr:spPr>
    </xdr:pic>
    <xdr:clientData/>
  </xdr:twoCellAnchor>
  <xdr:oneCellAnchor>
    <xdr:from>
      <xdr:col>2</xdr:col>
      <xdr:colOff>1153026</xdr:colOff>
      <xdr:row>375</xdr:row>
      <xdr:rowOff>75197</xdr:rowOff>
    </xdr:from>
    <xdr:ext cx="6383001" cy="4769618"/>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2494146" y="67314077"/>
          <a:ext cx="6383001" cy="4769618"/>
        </a:xfrm>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epa.gov/system/files/documents/2023-03/ghg_emission_factors_hub.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epa.gov/system/files/documents/2024-02/ghg-emission-factors-hub-2024.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pa.gov/system/files/documents/2024-02/ghg-emission-factors-hub-2024.pdf"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epa.gov/warm" TargetMode="External"/><Relationship Id="rId3" Type="http://schemas.openxmlformats.org/officeDocument/2006/relationships/hyperlink" Target="https://www.epa.gov/ghgemissions/inventory-us-greenhouse-gas-emissions-and-sinks" TargetMode="External"/><Relationship Id="rId7" Type="http://schemas.openxmlformats.org/officeDocument/2006/relationships/hyperlink" Target="https://www.epa.gov/system/files/documents/2025-01/egrid2023_technical_guide.pdf" TargetMode="External"/><Relationship Id="rId2" Type="http://schemas.openxmlformats.org/officeDocument/2006/relationships/hyperlink" Target="https://www.ecfr.gov/current/title-40/chapter-I/subchapter-C/part-98" TargetMode="External"/><Relationship Id="rId1" Type="http://schemas.openxmlformats.org/officeDocument/2006/relationships/hyperlink" Target="https://www.ecfr.gov/current/title-40/chapter-I/subchapter-C/part-98" TargetMode="External"/><Relationship Id="rId6" Type="http://schemas.openxmlformats.org/officeDocument/2006/relationships/hyperlink" Target="https://www.epa.gov/system/files/documents/2025-01/egrid2023_summary_tables.xlsx" TargetMode="External"/><Relationship Id="rId5" Type="http://schemas.openxmlformats.org/officeDocument/2006/relationships/hyperlink" Target="https://www.epa.gov/ghgemissions/inventory-us-greenhouse-gas-emissions-and-sinks" TargetMode="External"/><Relationship Id="rId10" Type="http://schemas.openxmlformats.org/officeDocument/2006/relationships/drawing" Target="../drawings/drawing2.xml"/><Relationship Id="rId4" Type="http://schemas.openxmlformats.org/officeDocument/2006/relationships/hyperlink" Target="https://www.epa.gov/ghgemissions/inventory-us-greenhouse-gas-emissions-and-sinks" TargetMode="External"/><Relationship Id="rId9" Type="http://schemas.openxmlformats.org/officeDocument/2006/relationships/hyperlink" Target="https://www.epa.gov/climateleadership/ghg-emission-factors-hu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3D2B"/>
  </sheetPr>
  <dimension ref="A1:I42"/>
  <sheetViews>
    <sheetView showGridLines="0" zoomScale="140" zoomScaleNormal="140" workbookViewId="0">
      <selection activeCell="B17" sqref="B17"/>
    </sheetView>
  </sheetViews>
  <sheetFormatPr baseColWidth="10" defaultColWidth="8.6640625" defaultRowHeight="15" x14ac:dyDescent="0.2"/>
  <cols>
    <col min="1" max="1" width="30" customWidth="1"/>
    <col min="2" max="2" width="72" customWidth="1"/>
    <col min="3" max="9" width="8" customWidth="1"/>
  </cols>
  <sheetData>
    <row r="1" spans="1:9" ht="55.5" customHeight="1" x14ac:dyDescent="0.2">
      <c r="A1" s="651" t="s">
        <v>0</v>
      </c>
      <c r="B1" s="644"/>
      <c r="C1" s="644"/>
      <c r="D1" s="644"/>
      <c r="E1" s="644"/>
      <c r="F1" s="644"/>
      <c r="G1" s="644"/>
      <c r="H1" s="644"/>
      <c r="I1" s="644"/>
    </row>
    <row r="2" spans="1:9" ht="19.5" customHeight="1" x14ac:dyDescent="0.2">
      <c r="A2" s="654" t="s">
        <v>1</v>
      </c>
      <c r="B2" s="644"/>
      <c r="C2" s="644"/>
      <c r="D2" s="644"/>
      <c r="E2" s="644"/>
      <c r="F2" s="644"/>
      <c r="G2" s="644"/>
      <c r="H2" s="644"/>
      <c r="I2" s="644"/>
    </row>
    <row r="3" spans="1:9" ht="18" customHeight="1" x14ac:dyDescent="0.2">
      <c r="A3" s="1"/>
      <c r="B3" s="1"/>
    </row>
    <row r="4" spans="1:9" ht="18" customHeight="1" x14ac:dyDescent="0.2">
      <c r="A4" s="653" t="s">
        <v>2</v>
      </c>
      <c r="B4" s="644"/>
      <c r="C4" s="644"/>
      <c r="D4" s="644"/>
      <c r="E4" s="644"/>
      <c r="F4" s="644"/>
      <c r="G4" s="644"/>
      <c r="H4" s="644"/>
      <c r="I4" s="644"/>
    </row>
    <row r="5" spans="1:9" ht="18" customHeight="1" x14ac:dyDescent="0.2">
      <c r="A5" s="2" t="s">
        <v>3</v>
      </c>
      <c r="B5" s="2" t="s">
        <v>4</v>
      </c>
    </row>
    <row r="6" spans="1:9" ht="18" customHeight="1" x14ac:dyDescent="0.2">
      <c r="A6" s="1" t="s">
        <v>5</v>
      </c>
      <c r="B6" s="1" t="s">
        <v>6</v>
      </c>
    </row>
    <row r="7" spans="1:9" ht="18" customHeight="1" x14ac:dyDescent="0.2">
      <c r="A7" s="1" t="s">
        <v>7</v>
      </c>
      <c r="B7" s="1" t="s">
        <v>8</v>
      </c>
    </row>
    <row r="8" spans="1:9" ht="18" customHeight="1" x14ac:dyDescent="0.2">
      <c r="A8" s="1" t="s">
        <v>9</v>
      </c>
      <c r="B8" s="1" t="s">
        <v>10</v>
      </c>
    </row>
    <row r="9" spans="1:9" ht="18" customHeight="1" x14ac:dyDescent="0.2">
      <c r="A9" s="1" t="s">
        <v>11</v>
      </c>
      <c r="B9" s="1" t="s">
        <v>12</v>
      </c>
    </row>
    <row r="10" spans="1:9" ht="18" customHeight="1" x14ac:dyDescent="0.2">
      <c r="A10" s="1" t="s">
        <v>13</v>
      </c>
      <c r="B10" s="1" t="s">
        <v>14</v>
      </c>
    </row>
    <row r="11" spans="1:9" ht="18" customHeight="1" x14ac:dyDescent="0.2">
      <c r="A11" s="1" t="s">
        <v>15</v>
      </c>
      <c r="B11" s="1" t="s">
        <v>16</v>
      </c>
    </row>
    <row r="12" spans="1:9" ht="18" customHeight="1" x14ac:dyDescent="0.2">
      <c r="A12" s="1" t="s">
        <v>17</v>
      </c>
      <c r="B12" s="1" t="s">
        <v>18</v>
      </c>
    </row>
    <row r="13" spans="1:9" ht="18" customHeight="1" x14ac:dyDescent="0.2">
      <c r="A13" s="1" t="s">
        <v>19</v>
      </c>
      <c r="B13" s="1" t="s">
        <v>20</v>
      </c>
    </row>
    <row r="14" spans="1:9" ht="18" customHeight="1" x14ac:dyDescent="0.2">
      <c r="A14" s="1" t="s">
        <v>21</v>
      </c>
      <c r="B14" s="1" t="s">
        <v>22</v>
      </c>
    </row>
    <row r="15" spans="1:9" ht="18" customHeight="1" x14ac:dyDescent="0.2">
      <c r="A15" s="1"/>
      <c r="B15" s="1"/>
    </row>
    <row r="16" spans="1:9" ht="18" customHeight="1" x14ac:dyDescent="0.2">
      <c r="A16" s="653" t="s">
        <v>23</v>
      </c>
      <c r="B16" s="644"/>
      <c r="C16" s="644"/>
      <c r="D16" s="644"/>
      <c r="E16" s="644"/>
      <c r="F16" s="644"/>
      <c r="G16" s="644"/>
      <c r="H16" s="644"/>
      <c r="I16" s="644"/>
    </row>
    <row r="17" spans="1:9" ht="18" customHeight="1" x14ac:dyDescent="0.2">
      <c r="A17" s="3" t="s">
        <v>24</v>
      </c>
      <c r="B17" s="4" t="s">
        <v>25</v>
      </c>
    </row>
    <row r="18" spans="1:9" ht="18" customHeight="1" x14ac:dyDescent="0.2">
      <c r="A18" s="3" t="s">
        <v>26</v>
      </c>
      <c r="B18" s="4" t="s">
        <v>27</v>
      </c>
    </row>
    <row r="19" spans="1:9" ht="18" customHeight="1" x14ac:dyDescent="0.2">
      <c r="A19" s="3" t="s">
        <v>28</v>
      </c>
      <c r="B19" s="4" t="s">
        <v>29</v>
      </c>
    </row>
    <row r="20" spans="1:9" ht="18" customHeight="1" x14ac:dyDescent="0.2">
      <c r="A20" s="3" t="s">
        <v>30</v>
      </c>
      <c r="B20" s="4" t="s">
        <v>31</v>
      </c>
    </row>
    <row r="21" spans="1:9" ht="18" customHeight="1" x14ac:dyDescent="0.2">
      <c r="A21" s="3" t="s">
        <v>32</v>
      </c>
      <c r="B21" s="4" t="s">
        <v>33</v>
      </c>
    </row>
    <row r="22" spans="1:9" ht="18" customHeight="1" x14ac:dyDescent="0.2">
      <c r="A22" s="3" t="s">
        <v>34</v>
      </c>
      <c r="B22" s="4" t="s">
        <v>35</v>
      </c>
    </row>
    <row r="23" spans="1:9" ht="18" customHeight="1" x14ac:dyDescent="0.2">
      <c r="A23" s="3" t="s">
        <v>36</v>
      </c>
      <c r="B23" s="4" t="s">
        <v>37</v>
      </c>
    </row>
    <row r="24" spans="1:9" ht="18" customHeight="1" x14ac:dyDescent="0.2">
      <c r="A24" s="1"/>
      <c r="B24" s="1"/>
    </row>
    <row r="25" spans="1:9" ht="18" customHeight="1" x14ac:dyDescent="0.2">
      <c r="A25" s="653" t="s">
        <v>38</v>
      </c>
      <c r="B25" s="644"/>
      <c r="C25" s="644"/>
      <c r="D25" s="644"/>
      <c r="E25" s="644"/>
      <c r="F25" s="644"/>
      <c r="G25" s="644"/>
      <c r="H25" s="644"/>
      <c r="I25" s="644"/>
    </row>
    <row r="26" spans="1:9" ht="18" customHeight="1" x14ac:dyDescent="0.2">
      <c r="A26" s="5" t="s">
        <v>39</v>
      </c>
      <c r="B26" s="6" t="s">
        <v>40</v>
      </c>
    </row>
    <row r="27" spans="1:9" ht="18" customHeight="1" x14ac:dyDescent="0.2">
      <c r="A27" s="7" t="s">
        <v>41</v>
      </c>
      <c r="B27" s="8" t="s">
        <v>42</v>
      </c>
    </row>
    <row r="28" spans="1:9" ht="18" customHeight="1" x14ac:dyDescent="0.2">
      <c r="A28" s="9" t="s">
        <v>43</v>
      </c>
      <c r="B28" s="4" t="s">
        <v>44</v>
      </c>
    </row>
    <row r="29" spans="1:9" ht="18" customHeight="1" x14ac:dyDescent="0.2">
      <c r="A29" s="1"/>
      <c r="B29" s="1"/>
    </row>
    <row r="30" spans="1:9" ht="18" customHeight="1" x14ac:dyDescent="0.2">
      <c r="A30" s="653" t="s">
        <v>45</v>
      </c>
      <c r="B30" s="644"/>
      <c r="C30" s="644"/>
      <c r="D30" s="644"/>
      <c r="E30" s="644"/>
      <c r="F30" s="644"/>
      <c r="G30" s="644"/>
      <c r="H30" s="644"/>
      <c r="I30" s="644"/>
    </row>
    <row r="31" spans="1:9" ht="18" customHeight="1" x14ac:dyDescent="0.2">
      <c r="A31" s="10" t="s">
        <v>46</v>
      </c>
      <c r="B31" s="1" t="s">
        <v>47</v>
      </c>
    </row>
    <row r="32" spans="1:9" ht="18" customHeight="1" x14ac:dyDescent="0.2">
      <c r="A32" s="10" t="s">
        <v>48</v>
      </c>
      <c r="B32" s="1" t="s">
        <v>49</v>
      </c>
    </row>
    <row r="33" spans="1:9" ht="18" customHeight="1" x14ac:dyDescent="0.2">
      <c r="A33" s="10" t="s">
        <v>50</v>
      </c>
      <c r="B33" s="1" t="s">
        <v>51</v>
      </c>
    </row>
    <row r="34" spans="1:9" ht="18" customHeight="1" x14ac:dyDescent="0.2">
      <c r="A34" s="10" t="s">
        <v>52</v>
      </c>
      <c r="B34" s="1" t="s">
        <v>53</v>
      </c>
    </row>
    <row r="35" spans="1:9" ht="18" customHeight="1" x14ac:dyDescent="0.2">
      <c r="A35" s="1"/>
      <c r="B35" s="1"/>
    </row>
    <row r="36" spans="1:9" ht="18" customHeight="1" x14ac:dyDescent="0.2">
      <c r="A36" s="653" t="s">
        <v>54</v>
      </c>
      <c r="B36" s="644"/>
      <c r="C36" s="644"/>
      <c r="D36" s="644"/>
      <c r="E36" s="644"/>
      <c r="F36" s="644"/>
      <c r="G36" s="644"/>
      <c r="H36" s="644"/>
      <c r="I36" s="644"/>
    </row>
    <row r="37" spans="1:9" ht="18" customHeight="1" x14ac:dyDescent="0.2">
      <c r="A37" s="11" t="s">
        <v>55</v>
      </c>
      <c r="B37" s="12" t="s">
        <v>56</v>
      </c>
      <c r="C37" s="652" t="s">
        <v>57</v>
      </c>
      <c r="D37" s="644"/>
      <c r="E37" s="644"/>
      <c r="F37" s="644"/>
      <c r="G37" s="644"/>
      <c r="H37" s="644"/>
      <c r="I37" s="644"/>
    </row>
    <row r="38" spans="1:9" ht="18" customHeight="1" x14ac:dyDescent="0.2">
      <c r="A38" s="11" t="s">
        <v>58</v>
      </c>
      <c r="B38" s="12" t="s">
        <v>59</v>
      </c>
      <c r="C38" s="652"/>
      <c r="D38" s="644"/>
      <c r="E38" s="644"/>
      <c r="F38" s="644"/>
      <c r="G38" s="644"/>
      <c r="H38" s="644"/>
      <c r="I38" s="644"/>
    </row>
    <row r="39" spans="1:9" ht="18" customHeight="1" x14ac:dyDescent="0.2">
      <c r="A39" s="11" t="s">
        <v>60</v>
      </c>
      <c r="B39" s="12" t="s">
        <v>61</v>
      </c>
      <c r="C39" s="652"/>
      <c r="D39" s="644"/>
      <c r="E39" s="644"/>
      <c r="F39" s="644"/>
      <c r="G39" s="644"/>
      <c r="H39" s="644"/>
      <c r="I39" s="644"/>
    </row>
    <row r="40" spans="1:9" ht="18" customHeight="1" x14ac:dyDescent="0.2">
      <c r="A40" s="11" t="s">
        <v>62</v>
      </c>
      <c r="B40" s="12" t="s">
        <v>63</v>
      </c>
      <c r="C40" s="652" t="s">
        <v>64</v>
      </c>
      <c r="D40" s="644"/>
      <c r="E40" s="644"/>
      <c r="F40" s="644"/>
      <c r="G40" s="644"/>
      <c r="H40" s="644"/>
      <c r="I40" s="644"/>
    </row>
    <row r="41" spans="1:9" ht="18" customHeight="1" x14ac:dyDescent="0.2">
      <c r="A41" s="11" t="s">
        <v>65</v>
      </c>
      <c r="B41" s="12" t="s">
        <v>66</v>
      </c>
      <c r="C41" s="652" t="s">
        <v>67</v>
      </c>
      <c r="D41" s="644"/>
      <c r="E41" s="644"/>
      <c r="F41" s="644"/>
      <c r="G41" s="644"/>
      <c r="H41" s="644"/>
      <c r="I41" s="644"/>
    </row>
    <row r="42" spans="1:9" ht="18" customHeight="1" x14ac:dyDescent="0.2">
      <c r="A42" s="11" t="s">
        <v>68</v>
      </c>
      <c r="B42" s="12" t="s">
        <v>69</v>
      </c>
      <c r="C42" s="652" t="s">
        <v>70</v>
      </c>
      <c r="D42" s="644"/>
      <c r="E42" s="644"/>
      <c r="F42" s="644"/>
      <c r="G42" s="644"/>
      <c r="H42" s="644"/>
      <c r="I42" s="644"/>
    </row>
  </sheetData>
  <mergeCells count="13">
    <mergeCell ref="A1:I1"/>
    <mergeCell ref="C38:I38"/>
    <mergeCell ref="C42:I42"/>
    <mergeCell ref="A4:I4"/>
    <mergeCell ref="C41:I41"/>
    <mergeCell ref="A30:I30"/>
    <mergeCell ref="A16:I16"/>
    <mergeCell ref="A25:I25"/>
    <mergeCell ref="C37:I37"/>
    <mergeCell ref="A2:I2"/>
    <mergeCell ref="C40:I40"/>
    <mergeCell ref="C39:I39"/>
    <mergeCell ref="A36:I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A020"/>
  </sheetPr>
  <dimension ref="A1:F37"/>
  <sheetViews>
    <sheetView showGridLines="0" zoomScale="123" zoomScaleNormal="100" workbookViewId="0">
      <pane ySplit="3" topLeftCell="A19" activePane="bottomLeft" state="frozen"/>
      <selection activeCell="B6" sqref="B6"/>
      <selection pane="bottomLeft" activeCell="B25" sqref="B25"/>
    </sheetView>
  </sheetViews>
  <sheetFormatPr baseColWidth="10" defaultColWidth="8.6640625" defaultRowHeight="15" x14ac:dyDescent="0.2"/>
  <cols>
    <col min="1" max="1" width="29.1640625" bestFit="1" customWidth="1"/>
    <col min="2" max="2" width="35.83203125" bestFit="1" customWidth="1"/>
    <col min="3" max="5" width="16" customWidth="1"/>
    <col min="6" max="6" width="26" customWidth="1"/>
  </cols>
  <sheetData>
    <row r="1" spans="1:6" ht="48" customHeight="1" x14ac:dyDescent="0.2">
      <c r="A1" s="660" t="s">
        <v>71</v>
      </c>
      <c r="B1" s="644"/>
      <c r="C1" s="644"/>
      <c r="D1" s="644"/>
      <c r="E1" s="644"/>
      <c r="F1" s="644"/>
    </row>
    <row r="2" spans="1:6" ht="19.5" customHeight="1" x14ac:dyDescent="0.2">
      <c r="A2" s="657" t="s">
        <v>72</v>
      </c>
      <c r="B2" s="644"/>
      <c r="C2" s="644"/>
      <c r="D2" s="644"/>
      <c r="E2" s="644"/>
      <c r="F2" s="644"/>
    </row>
    <row r="4" spans="1:6" ht="21.75" customHeight="1" x14ac:dyDescent="0.2">
      <c r="A4" s="653" t="s">
        <v>73</v>
      </c>
      <c r="B4" s="644"/>
      <c r="C4" s="644"/>
      <c r="D4" s="644"/>
      <c r="E4" s="644"/>
      <c r="F4" s="644"/>
    </row>
    <row r="9" spans="1:6" ht="19.5" customHeight="1" x14ac:dyDescent="0.2">
      <c r="A9" s="13" t="s">
        <v>74</v>
      </c>
      <c r="B9" s="14" t="s">
        <v>75</v>
      </c>
      <c r="C9" s="15" t="s">
        <v>76</v>
      </c>
    </row>
    <row r="10" spans="1:6" ht="19.5" customHeight="1" x14ac:dyDescent="0.2">
      <c r="A10" s="16" t="s">
        <v>77</v>
      </c>
      <c r="B10" s="14" t="s">
        <v>78</v>
      </c>
      <c r="C10" s="17" t="s">
        <v>79</v>
      </c>
    </row>
    <row r="11" spans="1:6" ht="19.5" customHeight="1" x14ac:dyDescent="0.2">
      <c r="A11" s="13" t="s">
        <v>80</v>
      </c>
      <c r="B11" s="14" t="s">
        <v>81</v>
      </c>
      <c r="C11" s="15" t="s">
        <v>82</v>
      </c>
    </row>
    <row r="12" spans="1:6" ht="19.5" customHeight="1" x14ac:dyDescent="0.2">
      <c r="A12" s="16" t="s">
        <v>83</v>
      </c>
      <c r="B12" s="14">
        <v>2023</v>
      </c>
      <c r="C12" s="17" t="s">
        <v>84</v>
      </c>
    </row>
    <row r="13" spans="1:6" ht="19.5" customHeight="1" x14ac:dyDescent="0.2">
      <c r="A13" s="13" t="s">
        <v>85</v>
      </c>
      <c r="B13" s="14">
        <v>2019</v>
      </c>
      <c r="C13" s="15" t="s">
        <v>86</v>
      </c>
    </row>
    <row r="14" spans="1:6" ht="21.75" customHeight="1" x14ac:dyDescent="0.2">
      <c r="A14" s="658" t="s">
        <v>87</v>
      </c>
      <c r="B14" s="642"/>
      <c r="C14" s="642"/>
      <c r="D14" s="642"/>
      <c r="E14" s="642"/>
      <c r="F14" s="659"/>
    </row>
    <row r="15" spans="1:6" ht="19.5" customHeight="1" x14ac:dyDescent="0.2">
      <c r="A15" s="163" t="s">
        <v>88</v>
      </c>
      <c r="B15" s="80"/>
      <c r="C15" s="19" t="s">
        <v>89</v>
      </c>
      <c r="D15" s="656" t="s">
        <v>90</v>
      </c>
      <c r="E15" s="644"/>
      <c r="F15" s="644"/>
    </row>
    <row r="16" spans="1:6" ht="19.5" customHeight="1" x14ac:dyDescent="0.2">
      <c r="A16" s="20" t="s">
        <v>91</v>
      </c>
      <c r="B16" s="80"/>
      <c r="C16" s="19" t="s">
        <v>92</v>
      </c>
      <c r="D16" s="656" t="s">
        <v>93</v>
      </c>
      <c r="E16" s="644"/>
      <c r="F16" s="644"/>
    </row>
    <row r="17" spans="1:6" ht="19.5" customHeight="1" x14ac:dyDescent="0.2">
      <c r="A17" s="163" t="s">
        <v>94</v>
      </c>
      <c r="B17" s="18"/>
      <c r="C17" s="402" t="s">
        <v>95</v>
      </c>
      <c r="D17" s="656" t="s">
        <v>96</v>
      </c>
      <c r="E17" s="644"/>
      <c r="F17" s="644"/>
    </row>
    <row r="18" spans="1:6" ht="19.5" customHeight="1" x14ac:dyDescent="0.2">
      <c r="A18" s="20" t="s">
        <v>97</v>
      </c>
      <c r="B18" s="18"/>
      <c r="C18" s="402" t="s">
        <v>98</v>
      </c>
      <c r="D18" s="656" t="s">
        <v>99</v>
      </c>
      <c r="E18" s="644"/>
      <c r="F18" s="644"/>
    </row>
    <row r="19" spans="1:6" ht="19.5" customHeight="1" x14ac:dyDescent="0.2">
      <c r="A19" s="163" t="s">
        <v>100</v>
      </c>
      <c r="B19" s="18"/>
      <c r="C19" s="19" t="s">
        <v>101</v>
      </c>
      <c r="D19" s="656" t="s">
        <v>102</v>
      </c>
      <c r="E19" s="644"/>
      <c r="F19" s="644"/>
    </row>
    <row r="21" spans="1:6" ht="21.75" customHeight="1" x14ac:dyDescent="0.2">
      <c r="A21" s="648" t="s">
        <v>103</v>
      </c>
      <c r="B21" s="644"/>
      <c r="C21" s="644"/>
      <c r="D21" s="644"/>
      <c r="E21" s="644"/>
      <c r="F21" s="644"/>
    </row>
    <row r="22" spans="1:6" ht="18" customHeight="1" x14ac:dyDescent="0.2">
      <c r="A22" s="655" t="s">
        <v>104</v>
      </c>
      <c r="B22" s="644"/>
      <c r="C22" s="644"/>
      <c r="D22" s="644"/>
      <c r="E22" s="644"/>
      <c r="F22" s="644"/>
    </row>
    <row r="23" spans="1:6" ht="19.5" customHeight="1" x14ac:dyDescent="0.2">
      <c r="A23" s="21" t="s">
        <v>105</v>
      </c>
      <c r="B23" s="21" t="s">
        <v>106</v>
      </c>
      <c r="C23" s="21" t="s">
        <v>107</v>
      </c>
      <c r="D23" s="21" t="s">
        <v>108</v>
      </c>
      <c r="E23" s="21" t="s">
        <v>109</v>
      </c>
      <c r="F23" s="21" t="s">
        <v>110</v>
      </c>
    </row>
    <row r="24" spans="1:6" ht="19.5" customHeight="1" x14ac:dyDescent="0.2">
      <c r="A24" s="162" t="s">
        <v>111</v>
      </c>
      <c r="B24" s="22" t="s">
        <v>112</v>
      </c>
      <c r="C24" s="23">
        <v>1</v>
      </c>
      <c r="D24" s="22">
        <v>1</v>
      </c>
      <c r="E24" s="18">
        <v>1</v>
      </c>
      <c r="F24" s="22" t="s">
        <v>113</v>
      </c>
    </row>
    <row r="25" spans="1:6" ht="19.5" customHeight="1" x14ac:dyDescent="0.2">
      <c r="A25" s="162" t="s">
        <v>114</v>
      </c>
      <c r="B25" s="22" t="s">
        <v>115</v>
      </c>
      <c r="C25" s="23">
        <v>29.8</v>
      </c>
      <c r="D25" s="22">
        <v>25</v>
      </c>
      <c r="E25" s="18">
        <v>29.8</v>
      </c>
      <c r="F25" s="22" t="s">
        <v>116</v>
      </c>
    </row>
    <row r="26" spans="1:6" ht="19.5" customHeight="1" x14ac:dyDescent="0.2">
      <c r="A26" s="162" t="s">
        <v>117</v>
      </c>
      <c r="B26" s="22" t="s">
        <v>115</v>
      </c>
      <c r="C26" s="23">
        <v>27.9</v>
      </c>
      <c r="D26" s="22">
        <v>25</v>
      </c>
      <c r="E26" s="18">
        <v>27.9</v>
      </c>
      <c r="F26" s="22" t="s">
        <v>116</v>
      </c>
    </row>
    <row r="27" spans="1:6" ht="19.5" customHeight="1" x14ac:dyDescent="0.2">
      <c r="A27" s="162" t="s">
        <v>118</v>
      </c>
      <c r="B27" s="22" t="s">
        <v>119</v>
      </c>
      <c r="C27" s="23">
        <v>273</v>
      </c>
      <c r="D27" s="22">
        <v>298</v>
      </c>
      <c r="E27" s="18">
        <v>273</v>
      </c>
      <c r="F27" s="22" t="s">
        <v>116</v>
      </c>
    </row>
    <row r="28" spans="1:6" ht="19.5" customHeight="1" x14ac:dyDescent="0.2">
      <c r="A28" s="162" t="s">
        <v>120</v>
      </c>
      <c r="B28" s="22" t="s">
        <v>121</v>
      </c>
      <c r="C28" s="23">
        <v>1526</v>
      </c>
      <c r="D28" s="22">
        <v>1430</v>
      </c>
      <c r="E28" s="18">
        <v>1526</v>
      </c>
      <c r="F28" s="22" t="s">
        <v>122</v>
      </c>
    </row>
    <row r="29" spans="1:6" ht="19.5" customHeight="1" x14ac:dyDescent="0.2">
      <c r="A29" s="162" t="s">
        <v>123</v>
      </c>
      <c r="B29" s="22" t="s">
        <v>124</v>
      </c>
      <c r="C29" s="23">
        <v>25200</v>
      </c>
      <c r="D29" s="22">
        <v>22800</v>
      </c>
      <c r="E29" s="18">
        <v>25200</v>
      </c>
      <c r="F29" s="22" t="s">
        <v>122</v>
      </c>
    </row>
    <row r="32" spans="1:6" x14ac:dyDescent="0.2">
      <c r="A32" s="415" t="s">
        <v>125</v>
      </c>
      <c r="B32" s="416" t="s">
        <v>126</v>
      </c>
      <c r="C32" s="416" t="s">
        <v>127</v>
      </c>
    </row>
    <row r="33" spans="1:3" x14ac:dyDescent="0.2">
      <c r="A33" s="419">
        <v>2024</v>
      </c>
      <c r="B33" s="417">
        <v>245120</v>
      </c>
      <c r="C33" s="418">
        <v>228000</v>
      </c>
    </row>
    <row r="34" spans="1:3" x14ac:dyDescent="0.2">
      <c r="A34" s="419">
        <v>2023</v>
      </c>
      <c r="B34" s="417">
        <v>211980</v>
      </c>
      <c r="C34" s="418">
        <v>221000</v>
      </c>
    </row>
    <row r="35" spans="1:3" x14ac:dyDescent="0.2">
      <c r="A35" s="419">
        <v>2022</v>
      </c>
      <c r="B35" s="417">
        <v>198270</v>
      </c>
      <c r="C35" s="418">
        <v>221000</v>
      </c>
    </row>
    <row r="36" spans="1:3" x14ac:dyDescent="0.2">
      <c r="A36" s="419">
        <v>2021</v>
      </c>
      <c r="B36" s="417">
        <v>168090</v>
      </c>
      <c r="C36" s="418">
        <v>181000</v>
      </c>
    </row>
    <row r="37" spans="1:3" x14ac:dyDescent="0.2">
      <c r="A37" s="419">
        <v>2020</v>
      </c>
      <c r="B37" s="417">
        <v>143020</v>
      </c>
      <c r="C37" s="418">
        <v>163000</v>
      </c>
    </row>
  </sheetData>
  <mergeCells count="11">
    <mergeCell ref="A2:F2"/>
    <mergeCell ref="D19:F19"/>
    <mergeCell ref="A14:F14"/>
    <mergeCell ref="A1:F1"/>
    <mergeCell ref="D18:F18"/>
    <mergeCell ref="D17:F17"/>
    <mergeCell ref="A22:F22"/>
    <mergeCell ref="A4:F4"/>
    <mergeCell ref="A21:F21"/>
    <mergeCell ref="D15:F15"/>
    <mergeCell ref="D16:F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A6B72"/>
  </sheetPr>
  <dimension ref="A1:G61"/>
  <sheetViews>
    <sheetView showGridLines="0" zoomScaleNormal="100" workbookViewId="0">
      <pane ySplit="5" topLeftCell="A6" activePane="bottomLeft" state="frozen"/>
      <selection pane="bottomLeft" activeCell="J18" sqref="J18"/>
    </sheetView>
  </sheetViews>
  <sheetFormatPr baseColWidth="10" defaultColWidth="8.6640625" defaultRowHeight="15" x14ac:dyDescent="0.2"/>
  <cols>
    <col min="1" max="1" width="8" customWidth="1"/>
    <col min="2" max="2" width="19.5" customWidth="1"/>
    <col min="3" max="4" width="18" customWidth="1"/>
    <col min="5" max="5" width="14" customWidth="1"/>
    <col min="6" max="6" width="22.33203125" bestFit="1" customWidth="1"/>
    <col min="7" max="7" width="28" customWidth="1"/>
  </cols>
  <sheetData>
    <row r="1" spans="1:7" ht="48" customHeight="1" x14ac:dyDescent="0.2">
      <c r="A1" s="660" t="s">
        <v>128</v>
      </c>
      <c r="B1" s="644"/>
      <c r="C1" s="644"/>
      <c r="D1" s="644"/>
      <c r="E1" s="644"/>
      <c r="F1" s="644"/>
      <c r="G1" s="644"/>
    </row>
    <row r="2" spans="1:7" ht="19.5" customHeight="1" x14ac:dyDescent="0.2">
      <c r="A2" s="657" t="s">
        <v>129</v>
      </c>
      <c r="B2" s="644"/>
      <c r="C2" s="644"/>
      <c r="D2" s="644"/>
      <c r="E2" s="644"/>
      <c r="F2" s="644"/>
      <c r="G2" s="644"/>
    </row>
    <row r="4" spans="1:7" ht="21.75" customHeight="1" x14ac:dyDescent="0.2">
      <c r="A4" s="661" t="s">
        <v>130</v>
      </c>
      <c r="B4" s="644"/>
      <c r="C4" s="644"/>
      <c r="D4" s="644"/>
      <c r="E4" s="644"/>
      <c r="F4" s="644"/>
      <c r="G4" s="644"/>
    </row>
    <row r="5" spans="1:7" ht="27.75" customHeight="1" x14ac:dyDescent="0.2">
      <c r="A5" s="24" t="s">
        <v>131</v>
      </c>
      <c r="B5" s="24" t="s">
        <v>132</v>
      </c>
      <c r="C5" s="24" t="s">
        <v>133</v>
      </c>
      <c r="D5" s="24" t="s">
        <v>134</v>
      </c>
      <c r="E5" s="24" t="s">
        <v>135</v>
      </c>
      <c r="F5" s="24" t="s">
        <v>136</v>
      </c>
      <c r="G5" s="24" t="s">
        <v>110</v>
      </c>
    </row>
    <row r="6" spans="1:7" ht="18" customHeight="1" x14ac:dyDescent="0.2">
      <c r="A6" s="426">
        <v>1</v>
      </c>
      <c r="B6" s="430" t="s">
        <v>137</v>
      </c>
      <c r="C6" s="431" t="s">
        <v>138</v>
      </c>
      <c r="D6" s="432">
        <v>53.06</v>
      </c>
      <c r="E6" s="432">
        <v>1</v>
      </c>
      <c r="F6" s="432">
        <v>0.1</v>
      </c>
      <c r="G6" s="431" t="s">
        <v>139</v>
      </c>
    </row>
    <row r="7" spans="1:7" ht="18" customHeight="1" x14ac:dyDescent="0.2">
      <c r="A7" s="25">
        <v>2</v>
      </c>
      <c r="B7" s="149" t="s">
        <v>137</v>
      </c>
      <c r="C7" s="150" t="s">
        <v>140</v>
      </c>
      <c r="D7" s="151">
        <v>1.879</v>
      </c>
      <c r="E7" s="151">
        <v>3.5400000000000001E-2</v>
      </c>
      <c r="F7" s="151">
        <v>3.5400000000000002E-3</v>
      </c>
      <c r="G7" s="150" t="s">
        <v>141</v>
      </c>
    </row>
    <row r="8" spans="1:7" ht="18" customHeight="1" x14ac:dyDescent="0.2">
      <c r="A8" s="25">
        <v>3</v>
      </c>
      <c r="B8" s="146" t="s">
        <v>142</v>
      </c>
      <c r="C8" s="147" t="s">
        <v>143</v>
      </c>
      <c r="D8" s="148">
        <v>5.68</v>
      </c>
      <c r="E8" s="148">
        <v>0.22600000000000001</v>
      </c>
      <c r="F8" s="148">
        <v>2.3E-2</v>
      </c>
      <c r="G8" s="147" t="s">
        <v>139</v>
      </c>
    </row>
    <row r="9" spans="1:7" ht="18" customHeight="1" x14ac:dyDescent="0.2">
      <c r="A9" s="25">
        <v>4</v>
      </c>
      <c r="B9" s="149" t="s">
        <v>144</v>
      </c>
      <c r="C9" s="150" t="s">
        <v>143</v>
      </c>
      <c r="D9" s="151">
        <v>10.210000000000001</v>
      </c>
      <c r="E9" s="151">
        <v>0.41</v>
      </c>
      <c r="F9" s="151">
        <v>0.08</v>
      </c>
      <c r="G9" s="150" t="s">
        <v>139</v>
      </c>
    </row>
    <row r="10" spans="1:7" ht="18" customHeight="1" x14ac:dyDescent="0.2">
      <c r="A10" s="25">
        <v>5</v>
      </c>
      <c r="B10" s="146" t="s">
        <v>144</v>
      </c>
      <c r="C10" s="147" t="s">
        <v>145</v>
      </c>
      <c r="D10" s="148">
        <v>2.6629999999999998</v>
      </c>
      <c r="E10" s="148">
        <v>0.13900000000000001</v>
      </c>
      <c r="F10" s="148">
        <v>1.4E-2</v>
      </c>
      <c r="G10" s="147" t="s">
        <v>141</v>
      </c>
    </row>
    <row r="11" spans="1:7" ht="18" customHeight="1" x14ac:dyDescent="0.2">
      <c r="A11" s="25">
        <v>6</v>
      </c>
      <c r="B11" s="149" t="s">
        <v>146</v>
      </c>
      <c r="C11" s="150" t="s">
        <v>143</v>
      </c>
      <c r="D11" s="151">
        <v>11.27</v>
      </c>
      <c r="E11" s="151">
        <v>0.48</v>
      </c>
      <c r="F11" s="151">
        <v>0.1</v>
      </c>
      <c r="G11" s="150" t="s">
        <v>139</v>
      </c>
    </row>
    <row r="12" spans="1:7" ht="18" customHeight="1" x14ac:dyDescent="0.2">
      <c r="A12" s="25">
        <v>7</v>
      </c>
      <c r="B12" s="146" t="s">
        <v>146</v>
      </c>
      <c r="C12" s="147" t="s">
        <v>145</v>
      </c>
      <c r="D12" s="148">
        <v>3.1219999999999999</v>
      </c>
      <c r="E12" s="148">
        <v>0.13900000000000001</v>
      </c>
      <c r="F12" s="148">
        <v>1.4E-2</v>
      </c>
      <c r="G12" s="147" t="s">
        <v>141</v>
      </c>
    </row>
    <row r="13" spans="1:7" ht="18" customHeight="1" x14ac:dyDescent="0.2">
      <c r="A13" s="25"/>
      <c r="B13" s="430" t="s">
        <v>146</v>
      </c>
      <c r="C13" s="431" t="s">
        <v>138</v>
      </c>
      <c r="D13" s="432">
        <v>75.099999999999994</v>
      </c>
      <c r="E13" s="432">
        <v>3</v>
      </c>
      <c r="F13" s="432">
        <v>0.6</v>
      </c>
      <c r="G13" s="428" t="s">
        <v>139</v>
      </c>
    </row>
    <row r="14" spans="1:7" ht="18" customHeight="1" x14ac:dyDescent="0.2">
      <c r="A14" s="25">
        <v>8</v>
      </c>
      <c r="B14" s="149" t="s">
        <v>147</v>
      </c>
      <c r="C14" s="150" t="s">
        <v>143</v>
      </c>
      <c r="D14" s="151">
        <v>5.68</v>
      </c>
      <c r="E14" s="151">
        <v>0.22600000000000001</v>
      </c>
      <c r="F14" s="151">
        <v>2.3E-2</v>
      </c>
      <c r="G14" s="150" t="s">
        <v>139</v>
      </c>
    </row>
    <row r="15" spans="1:7" ht="18" customHeight="1" x14ac:dyDescent="0.2">
      <c r="A15" s="25">
        <v>9</v>
      </c>
      <c r="B15" s="146" t="s">
        <v>147</v>
      </c>
      <c r="C15" s="147" t="s">
        <v>145</v>
      </c>
      <c r="D15" s="148">
        <v>1.5549999999999999</v>
      </c>
      <c r="E15" s="148">
        <v>6.1699999999999998E-2</v>
      </c>
      <c r="F15" s="148">
        <v>6.1999999999999998E-3</v>
      </c>
      <c r="G15" s="147" t="s">
        <v>141</v>
      </c>
    </row>
    <row r="16" spans="1:7" ht="18" customHeight="1" x14ac:dyDescent="0.2">
      <c r="A16" s="25">
        <v>10</v>
      </c>
      <c r="B16" s="149" t="s">
        <v>148</v>
      </c>
      <c r="C16" s="150" t="s">
        <v>149</v>
      </c>
      <c r="D16" s="151">
        <v>2325</v>
      </c>
      <c r="E16" s="151">
        <v>274</v>
      </c>
      <c r="F16" s="151">
        <v>40</v>
      </c>
      <c r="G16" s="150" t="s">
        <v>139</v>
      </c>
    </row>
    <row r="17" spans="1:7" ht="18" customHeight="1" x14ac:dyDescent="0.2">
      <c r="A17" s="426"/>
      <c r="B17" s="427" t="s">
        <v>148</v>
      </c>
      <c r="C17" s="428" t="s">
        <v>138</v>
      </c>
      <c r="D17" s="429">
        <v>93.28</v>
      </c>
      <c r="E17" s="429">
        <v>11</v>
      </c>
      <c r="F17" s="429">
        <v>1.6</v>
      </c>
      <c r="G17" s="428" t="s">
        <v>139</v>
      </c>
    </row>
    <row r="18" spans="1:7" ht="18" customHeight="1" x14ac:dyDescent="0.2">
      <c r="A18" s="25">
        <v>11</v>
      </c>
      <c r="B18" s="146" t="s">
        <v>150</v>
      </c>
      <c r="C18" s="147" t="s">
        <v>149</v>
      </c>
      <c r="D18" s="148">
        <v>1676</v>
      </c>
      <c r="E18" s="148">
        <v>190</v>
      </c>
      <c r="F18" s="148">
        <v>28</v>
      </c>
      <c r="G18" s="147" t="s">
        <v>139</v>
      </c>
    </row>
    <row r="19" spans="1:7" ht="18" customHeight="1" x14ac:dyDescent="0.2">
      <c r="A19" s="25">
        <v>12</v>
      </c>
      <c r="B19" s="149" t="s">
        <v>151</v>
      </c>
      <c r="C19" s="150" t="s">
        <v>149</v>
      </c>
      <c r="D19" s="151">
        <v>1640</v>
      </c>
      <c r="E19" s="151">
        <v>300</v>
      </c>
      <c r="F19" s="151">
        <v>4</v>
      </c>
      <c r="G19" s="150" t="s">
        <v>139</v>
      </c>
    </row>
    <row r="20" spans="1:7" ht="18" customHeight="1" x14ac:dyDescent="0.2">
      <c r="A20" s="25">
        <v>13</v>
      </c>
      <c r="B20" s="146" t="s">
        <v>152</v>
      </c>
      <c r="C20" s="147" t="s">
        <v>149</v>
      </c>
      <c r="D20" s="148">
        <v>902</v>
      </c>
      <c r="E20" s="148">
        <v>318</v>
      </c>
      <c r="F20" s="148">
        <v>42</v>
      </c>
      <c r="G20" s="147" t="s">
        <v>139</v>
      </c>
    </row>
    <row r="21" spans="1:7" ht="18" customHeight="1" x14ac:dyDescent="0.2">
      <c r="A21" s="25">
        <v>14</v>
      </c>
      <c r="B21" t="s">
        <v>153</v>
      </c>
      <c r="C21" s="150" t="s">
        <v>138</v>
      </c>
      <c r="D21" s="151">
        <v>73.84</v>
      </c>
      <c r="E21" s="151">
        <v>1.1000000000000001</v>
      </c>
      <c r="F21" s="151">
        <v>0.11</v>
      </c>
      <c r="G21" s="147" t="s">
        <v>139</v>
      </c>
    </row>
    <row r="22" spans="1:7" ht="18" customHeight="1" x14ac:dyDescent="0.2">
      <c r="A22" s="426"/>
      <c r="B22" s="427" t="s">
        <v>154</v>
      </c>
      <c r="C22" s="428" t="s">
        <v>138</v>
      </c>
      <c r="D22" s="429">
        <v>93.8</v>
      </c>
      <c r="E22" s="429">
        <v>7.2</v>
      </c>
      <c r="F22" s="429">
        <v>3.6</v>
      </c>
      <c r="G22" s="428"/>
    </row>
    <row r="23" spans="1:7" ht="18" customHeight="1" x14ac:dyDescent="0.2">
      <c r="A23" s="25"/>
      <c r="B23" s="146"/>
      <c r="C23" s="147"/>
      <c r="D23" s="148"/>
      <c r="E23" s="148"/>
      <c r="F23" s="148"/>
      <c r="G23" s="147"/>
    </row>
    <row r="24" spans="1:7" ht="18" customHeight="1" x14ac:dyDescent="0.2">
      <c r="A24" s="25"/>
      <c r="B24" s="149"/>
      <c r="C24" s="150"/>
      <c r="D24" s="151"/>
      <c r="E24" s="151"/>
      <c r="F24" s="151"/>
      <c r="G24" s="150"/>
    </row>
    <row r="25" spans="1:7" ht="18" customHeight="1" x14ac:dyDescent="0.2">
      <c r="A25" s="25"/>
      <c r="B25" s="146"/>
      <c r="C25" s="147"/>
      <c r="D25" s="148"/>
      <c r="E25" s="148"/>
      <c r="F25" s="148"/>
      <c r="G25" s="147"/>
    </row>
    <row r="26" spans="1:7" x14ac:dyDescent="0.2">
      <c r="G26" s="168" t="s">
        <v>155</v>
      </c>
    </row>
    <row r="28" spans="1:7" ht="21.75" customHeight="1" x14ac:dyDescent="0.2">
      <c r="A28" s="662" t="s">
        <v>156</v>
      </c>
      <c r="B28" s="644"/>
      <c r="C28" s="644"/>
      <c r="D28" s="644"/>
      <c r="E28" s="644"/>
      <c r="F28" s="644"/>
      <c r="G28" s="644"/>
    </row>
    <row r="29" spans="1:7" ht="27.75" customHeight="1" x14ac:dyDescent="0.2">
      <c r="A29" s="32" t="s">
        <v>131</v>
      </c>
      <c r="B29" s="32" t="s">
        <v>132</v>
      </c>
      <c r="C29" s="32" t="s">
        <v>133</v>
      </c>
      <c r="D29" s="32" t="s">
        <v>134</v>
      </c>
      <c r="E29" s="32" t="s">
        <v>135</v>
      </c>
      <c r="F29" s="32" t="s">
        <v>136</v>
      </c>
      <c r="G29" s="32" t="s">
        <v>110</v>
      </c>
    </row>
    <row r="30" spans="1:7" x14ac:dyDescent="0.2">
      <c r="A30" s="33">
        <v>1</v>
      </c>
      <c r="B30" s="149" t="s">
        <v>157</v>
      </c>
      <c r="C30" s="150" t="s">
        <v>145</v>
      </c>
      <c r="D30" s="151">
        <v>2.3119999999999998</v>
      </c>
      <c r="E30" s="151">
        <v>0.33900000000000002</v>
      </c>
      <c r="F30" s="151">
        <v>3.3000000000000002E-2</v>
      </c>
      <c r="G30" s="150" t="s">
        <v>158</v>
      </c>
    </row>
    <row r="31" spans="1:7" x14ac:dyDescent="0.2">
      <c r="A31" s="33">
        <v>2</v>
      </c>
      <c r="B31" s="146" t="s">
        <v>159</v>
      </c>
      <c r="C31" s="147" t="s">
        <v>145</v>
      </c>
      <c r="D31" s="148">
        <v>2.3119999999999998</v>
      </c>
      <c r="E31" s="148">
        <v>0.57199999999999995</v>
      </c>
      <c r="F31" s="148">
        <v>5.7000000000000002E-2</v>
      </c>
      <c r="G31" s="147" t="s">
        <v>160</v>
      </c>
    </row>
    <row r="32" spans="1:7" x14ac:dyDescent="0.2">
      <c r="A32" s="33">
        <v>3</v>
      </c>
      <c r="B32" s="149" t="s">
        <v>161</v>
      </c>
      <c r="C32" s="150" t="s">
        <v>145</v>
      </c>
      <c r="D32" s="151">
        <v>2.68</v>
      </c>
      <c r="E32" s="151">
        <v>4.5999999999999999E-2</v>
      </c>
      <c r="F32" s="151">
        <v>0.184</v>
      </c>
      <c r="G32" s="150" t="s">
        <v>162</v>
      </c>
    </row>
    <row r="33" spans="1:7" x14ac:dyDescent="0.2">
      <c r="A33" s="33">
        <v>4</v>
      </c>
      <c r="B33" s="146" t="s">
        <v>163</v>
      </c>
      <c r="C33" s="147" t="s">
        <v>145</v>
      </c>
      <c r="D33" s="148">
        <v>2.68</v>
      </c>
      <c r="E33" s="148">
        <v>0.06</v>
      </c>
      <c r="F33" s="148">
        <v>0.252</v>
      </c>
      <c r="G33" s="147" t="s">
        <v>164</v>
      </c>
    </row>
    <row r="34" spans="1:7" x14ac:dyDescent="0.2">
      <c r="A34" s="33">
        <v>5</v>
      </c>
      <c r="B34" s="149" t="s">
        <v>165</v>
      </c>
      <c r="C34" s="150" t="s">
        <v>145</v>
      </c>
      <c r="D34" s="151">
        <v>2.5529999999999999</v>
      </c>
      <c r="E34" s="151">
        <v>0</v>
      </c>
      <c r="F34" s="151">
        <v>0</v>
      </c>
      <c r="G34" s="150" t="s">
        <v>166</v>
      </c>
    </row>
    <row r="35" spans="1:7" x14ac:dyDescent="0.2">
      <c r="A35" s="33">
        <v>6</v>
      </c>
      <c r="B35" s="146" t="s">
        <v>167</v>
      </c>
      <c r="C35" s="147" t="s">
        <v>168</v>
      </c>
      <c r="D35" s="148">
        <v>50.3</v>
      </c>
      <c r="E35" s="148">
        <v>0</v>
      </c>
      <c r="F35" s="148">
        <v>0</v>
      </c>
      <c r="G35" s="147" t="s">
        <v>169</v>
      </c>
    </row>
    <row r="36" spans="1:7" x14ac:dyDescent="0.2">
      <c r="A36" s="33">
        <v>7</v>
      </c>
      <c r="B36" s="149" t="s">
        <v>170</v>
      </c>
      <c r="C36" s="150" t="s">
        <v>145</v>
      </c>
      <c r="D36" s="151">
        <v>2.75</v>
      </c>
      <c r="E36" s="151">
        <v>0</v>
      </c>
      <c r="F36" s="151">
        <v>0</v>
      </c>
      <c r="G36" s="150" t="s">
        <v>164</v>
      </c>
    </row>
    <row r="38" spans="1:7" ht="21.75" customHeight="1" x14ac:dyDescent="0.2">
      <c r="A38" s="648" t="s">
        <v>171</v>
      </c>
      <c r="B38" s="644"/>
      <c r="C38" s="644"/>
      <c r="D38" s="644"/>
      <c r="E38" s="644"/>
      <c r="F38" s="644"/>
      <c r="G38" s="644"/>
    </row>
    <row r="39" spans="1:7" ht="27.75" customHeight="1" x14ac:dyDescent="0.2">
      <c r="A39" s="152" t="s">
        <v>131</v>
      </c>
      <c r="B39" s="152" t="s">
        <v>172</v>
      </c>
      <c r="C39" s="152" t="s">
        <v>173</v>
      </c>
      <c r="D39" s="152" t="s">
        <v>110</v>
      </c>
      <c r="E39" s="152" t="s">
        <v>174</v>
      </c>
      <c r="F39" s="152" t="s">
        <v>175</v>
      </c>
      <c r="G39" s="152"/>
    </row>
    <row r="40" spans="1:7" ht="18" customHeight="1" x14ac:dyDescent="0.2">
      <c r="A40" s="50">
        <v>1</v>
      </c>
      <c r="B40" s="153" t="s">
        <v>176</v>
      </c>
      <c r="C40" s="154" t="s">
        <v>177</v>
      </c>
      <c r="D40" s="153" t="s">
        <v>178</v>
      </c>
      <c r="E40" s="23">
        <v>2023</v>
      </c>
      <c r="F40" s="153" t="s">
        <v>179</v>
      </c>
      <c r="G40" s="153"/>
    </row>
    <row r="41" spans="1:7" ht="18" customHeight="1" x14ac:dyDescent="0.2">
      <c r="A41" s="50">
        <v>2</v>
      </c>
      <c r="B41" s="146" t="s">
        <v>180</v>
      </c>
      <c r="C41" s="155">
        <v>194</v>
      </c>
      <c r="D41" s="146" t="s">
        <v>178</v>
      </c>
      <c r="E41" s="147">
        <v>2023</v>
      </c>
      <c r="F41" s="146" t="s">
        <v>181</v>
      </c>
      <c r="G41" s="146"/>
    </row>
    <row r="42" spans="1:7" ht="18" customHeight="1" x14ac:dyDescent="0.2">
      <c r="A42" s="50">
        <v>3</v>
      </c>
      <c r="B42" s="153" t="s">
        <v>182</v>
      </c>
      <c r="C42" s="154">
        <v>333</v>
      </c>
      <c r="D42" s="153" t="s">
        <v>178</v>
      </c>
      <c r="E42" s="23">
        <v>2023</v>
      </c>
      <c r="F42" s="153" t="s">
        <v>183</v>
      </c>
      <c r="G42" s="153"/>
    </row>
    <row r="43" spans="1:7" ht="18" customHeight="1" x14ac:dyDescent="0.2">
      <c r="A43" s="50">
        <v>4</v>
      </c>
      <c r="B43" s="146" t="s">
        <v>184</v>
      </c>
      <c r="C43" s="155">
        <v>271</v>
      </c>
      <c r="D43" s="146" t="s">
        <v>178</v>
      </c>
      <c r="E43" s="147">
        <v>2023</v>
      </c>
      <c r="F43" s="146" t="s">
        <v>185</v>
      </c>
      <c r="G43" s="146"/>
    </row>
    <row r="44" spans="1:7" ht="18" customHeight="1" x14ac:dyDescent="0.2">
      <c r="A44" s="50">
        <v>5</v>
      </c>
      <c r="B44" s="153" t="s">
        <v>186</v>
      </c>
      <c r="C44" s="154">
        <v>319</v>
      </c>
      <c r="D44" s="153" t="s">
        <v>178</v>
      </c>
      <c r="E44" s="23">
        <v>2023</v>
      </c>
      <c r="F44" s="153" t="s">
        <v>187</v>
      </c>
      <c r="G44" s="153"/>
    </row>
    <row r="45" spans="1:7" ht="18" customHeight="1" x14ac:dyDescent="0.2">
      <c r="A45" s="50">
        <v>6</v>
      </c>
      <c r="B45" s="146" t="s">
        <v>188</v>
      </c>
      <c r="C45" s="155" t="s">
        <v>189</v>
      </c>
      <c r="D45" s="146" t="s">
        <v>190</v>
      </c>
      <c r="E45" s="147">
        <v>2022</v>
      </c>
      <c r="F45" s="146" t="s">
        <v>191</v>
      </c>
      <c r="G45" s="146"/>
    </row>
    <row r="46" spans="1:7" ht="18" customHeight="1" x14ac:dyDescent="0.2">
      <c r="A46" s="50">
        <v>7</v>
      </c>
      <c r="B46" s="153" t="s">
        <v>192</v>
      </c>
      <c r="C46" s="154" t="s">
        <v>193</v>
      </c>
      <c r="D46" s="153" t="s">
        <v>194</v>
      </c>
      <c r="E46" s="23">
        <v>2022</v>
      </c>
      <c r="F46" s="153" t="s">
        <v>195</v>
      </c>
      <c r="G46" s="153"/>
    </row>
    <row r="47" spans="1:7" ht="18" customHeight="1" x14ac:dyDescent="0.2">
      <c r="A47" s="50">
        <v>8</v>
      </c>
      <c r="B47" s="146" t="s">
        <v>196</v>
      </c>
      <c r="C47" s="155" t="s">
        <v>197</v>
      </c>
      <c r="D47" s="146" t="s">
        <v>198</v>
      </c>
      <c r="E47" s="147">
        <v>2022</v>
      </c>
      <c r="F47" s="146" t="s">
        <v>199</v>
      </c>
      <c r="G47" s="146"/>
    </row>
    <row r="48" spans="1:7" ht="18" customHeight="1" x14ac:dyDescent="0.2">
      <c r="A48" s="50">
        <v>9</v>
      </c>
      <c r="B48" s="153" t="s">
        <v>200</v>
      </c>
      <c r="C48" s="154" t="s">
        <v>201</v>
      </c>
      <c r="D48" s="153" t="s">
        <v>198</v>
      </c>
      <c r="E48" s="23">
        <v>2022</v>
      </c>
      <c r="F48" s="153" t="s">
        <v>202</v>
      </c>
      <c r="G48" s="153"/>
    </row>
    <row r="49" spans="1:7" ht="18" customHeight="1" x14ac:dyDescent="0.2">
      <c r="A49" s="50">
        <v>10</v>
      </c>
      <c r="B49" s="146" t="s">
        <v>203</v>
      </c>
      <c r="C49" s="155">
        <v>207</v>
      </c>
      <c r="D49" s="146" t="s">
        <v>164</v>
      </c>
      <c r="E49" s="147">
        <v>2023</v>
      </c>
      <c r="F49" s="146" t="s">
        <v>204</v>
      </c>
      <c r="G49" s="146"/>
    </row>
    <row r="50" spans="1:7" ht="18" customHeight="1" x14ac:dyDescent="0.2">
      <c r="A50" s="50">
        <v>11</v>
      </c>
      <c r="B50" s="153" t="s">
        <v>205</v>
      </c>
      <c r="C50" s="295" t="s">
        <v>206</v>
      </c>
      <c r="D50" s="153" t="s">
        <v>198</v>
      </c>
      <c r="E50" s="23">
        <v>2022</v>
      </c>
      <c r="F50" s="153" t="s">
        <v>207</v>
      </c>
      <c r="G50" s="153"/>
    </row>
    <row r="51" spans="1:7" ht="18" customHeight="1" x14ac:dyDescent="0.2">
      <c r="A51" s="50">
        <v>12</v>
      </c>
      <c r="B51" s="146" t="s">
        <v>208</v>
      </c>
      <c r="C51" s="155" t="s">
        <v>209</v>
      </c>
      <c r="D51" s="146" t="s">
        <v>198</v>
      </c>
      <c r="E51" s="147">
        <v>2022</v>
      </c>
      <c r="F51" s="146" t="s">
        <v>210</v>
      </c>
      <c r="G51" s="146"/>
    </row>
    <row r="52" spans="1:7" ht="18" customHeight="1" x14ac:dyDescent="0.2">
      <c r="A52" s="50">
        <v>13</v>
      </c>
      <c r="B52" s="153" t="s">
        <v>211</v>
      </c>
      <c r="C52" s="154" t="s">
        <v>212</v>
      </c>
      <c r="D52" s="153" t="s">
        <v>198</v>
      </c>
      <c r="E52" s="23">
        <v>2022</v>
      </c>
      <c r="F52" s="153" t="s">
        <v>213</v>
      </c>
      <c r="G52" s="153"/>
    </row>
    <row r="53" spans="1:7" ht="18" customHeight="1" x14ac:dyDescent="0.2">
      <c r="A53" s="50">
        <v>14</v>
      </c>
      <c r="B53" s="146" t="s">
        <v>214</v>
      </c>
      <c r="C53" s="155" t="s">
        <v>209</v>
      </c>
      <c r="D53" s="146" t="s">
        <v>198</v>
      </c>
      <c r="E53" s="147">
        <v>2022</v>
      </c>
      <c r="F53" s="146" t="s">
        <v>213</v>
      </c>
      <c r="G53" s="146"/>
    </row>
    <row r="54" spans="1:7" ht="18" customHeight="1" x14ac:dyDescent="0.2">
      <c r="A54" s="50">
        <v>15</v>
      </c>
      <c r="B54" s="153" t="s">
        <v>215</v>
      </c>
      <c r="C54" s="154" t="s">
        <v>216</v>
      </c>
      <c r="D54" s="153" t="s">
        <v>198</v>
      </c>
      <c r="E54" s="23">
        <v>2022</v>
      </c>
      <c r="F54" s="153" t="s">
        <v>217</v>
      </c>
      <c r="G54" s="153"/>
    </row>
    <row r="55" spans="1:7" ht="18" customHeight="1" x14ac:dyDescent="0.2">
      <c r="A55" s="50">
        <v>16</v>
      </c>
      <c r="B55" s="146" t="s">
        <v>218</v>
      </c>
      <c r="C55" s="155" t="s">
        <v>219</v>
      </c>
      <c r="D55" s="146" t="s">
        <v>198</v>
      </c>
      <c r="E55" s="147">
        <v>2022</v>
      </c>
      <c r="F55" s="146" t="s">
        <v>220</v>
      </c>
      <c r="G55" s="146"/>
    </row>
    <row r="56" spans="1:7" ht="18" customHeight="1" x14ac:dyDescent="0.2">
      <c r="A56" s="50">
        <v>17</v>
      </c>
      <c r="B56" s="153" t="s">
        <v>221</v>
      </c>
      <c r="C56" s="154" t="s">
        <v>222</v>
      </c>
      <c r="D56" s="153" t="s">
        <v>223</v>
      </c>
      <c r="E56" s="23">
        <v>2022</v>
      </c>
      <c r="F56" s="153" t="s">
        <v>224</v>
      </c>
      <c r="G56" s="153"/>
    </row>
    <row r="57" spans="1:7" ht="18" customHeight="1" x14ac:dyDescent="0.2">
      <c r="A57" s="50">
        <v>18</v>
      </c>
      <c r="B57" s="146" t="s">
        <v>225</v>
      </c>
      <c r="C57" s="155" t="s">
        <v>226</v>
      </c>
      <c r="D57" s="146" t="s">
        <v>227</v>
      </c>
      <c r="E57" s="147">
        <v>2022</v>
      </c>
      <c r="F57" s="146" t="s">
        <v>191</v>
      </c>
      <c r="G57" s="146"/>
    </row>
    <row r="58" spans="1:7" ht="18" customHeight="1" x14ac:dyDescent="0.2">
      <c r="A58" s="50">
        <v>19</v>
      </c>
      <c r="B58" s="153" t="s">
        <v>228</v>
      </c>
      <c r="C58" s="154" t="s">
        <v>219</v>
      </c>
      <c r="D58" s="153" t="s">
        <v>198</v>
      </c>
      <c r="E58" s="23">
        <v>2022</v>
      </c>
      <c r="F58" s="153" t="s">
        <v>229</v>
      </c>
      <c r="G58" s="153"/>
    </row>
    <row r="59" spans="1:7" ht="18" customHeight="1" x14ac:dyDescent="0.2">
      <c r="A59" s="50">
        <v>20</v>
      </c>
      <c r="B59" s="146" t="s">
        <v>230</v>
      </c>
      <c r="C59" s="155" t="s">
        <v>231</v>
      </c>
      <c r="D59" s="146" t="s">
        <v>198</v>
      </c>
      <c r="E59" s="147">
        <v>2022</v>
      </c>
      <c r="F59" s="146" t="s">
        <v>210</v>
      </c>
      <c r="G59" s="146"/>
    </row>
    <row r="60" spans="1:7" ht="18" customHeight="1" x14ac:dyDescent="0.2">
      <c r="A60" s="421"/>
      <c r="B60" s="422" t="s">
        <v>232</v>
      </c>
      <c r="C60" s="423" t="s">
        <v>138</v>
      </c>
      <c r="D60" s="424">
        <v>66.33</v>
      </c>
      <c r="E60" s="425">
        <v>1.25</v>
      </c>
      <c r="F60" s="424">
        <v>0.125</v>
      </c>
      <c r="G60" s="420"/>
    </row>
    <row r="61" spans="1:7" x14ac:dyDescent="0.2">
      <c r="B61" s="296" t="s">
        <v>233</v>
      </c>
      <c r="C61" s="297" t="s">
        <v>234</v>
      </c>
    </row>
  </sheetData>
  <mergeCells count="5">
    <mergeCell ref="A1:G1"/>
    <mergeCell ref="A2:G2"/>
    <mergeCell ref="A4:G4"/>
    <mergeCell ref="A28:G28"/>
    <mergeCell ref="A38:G38"/>
  </mergeCells>
  <hyperlinks>
    <hyperlink ref="G26" r:id="rId1" display="https://www.epa.gov/system/files/documents/2023-03/ghg_emission_factors_hub.pdf" xr:uid="{61DD43B3-2532-4688-8C84-7BDEFB833A39}"/>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619E-62A6-41F2-8055-80217E9AACF7}">
  <sheetPr>
    <tabColor rgb="FF1B5E20"/>
  </sheetPr>
  <dimension ref="A1:L62"/>
  <sheetViews>
    <sheetView showGridLines="0" tabSelected="1" zoomScale="133" zoomScaleNormal="100" workbookViewId="0">
      <pane xSplit="2" ySplit="5" topLeftCell="C6" activePane="bottomRight" state="frozen"/>
      <selection pane="topRight" activeCell="C1" sqref="C1"/>
      <selection pane="bottomLeft" activeCell="A6" sqref="A6"/>
      <selection pane="bottomRight" activeCell="E9" sqref="E9"/>
    </sheetView>
  </sheetViews>
  <sheetFormatPr baseColWidth="10" defaultColWidth="8.6640625" defaultRowHeight="15" x14ac:dyDescent="0.2"/>
  <cols>
    <col min="1" max="1" width="5" customWidth="1"/>
    <col min="2" max="2" width="34.33203125" customWidth="1"/>
    <col min="3" max="4" width="16" customWidth="1"/>
    <col min="5" max="6" width="22" customWidth="1"/>
    <col min="7" max="10" width="16" customWidth="1"/>
    <col min="11" max="11" width="28" customWidth="1"/>
  </cols>
  <sheetData>
    <row r="1" spans="1:12" ht="48" customHeight="1" x14ac:dyDescent="0.2">
      <c r="A1" s="664" t="s">
        <v>235</v>
      </c>
      <c r="B1" s="644"/>
      <c r="C1" s="644"/>
      <c r="D1" s="644"/>
      <c r="E1" s="644"/>
      <c r="F1" s="644"/>
      <c r="G1" s="644"/>
      <c r="H1" s="644"/>
      <c r="I1" s="644"/>
      <c r="J1" s="644"/>
      <c r="K1" s="644"/>
    </row>
    <row r="2" spans="1:12" ht="19.5" customHeight="1" x14ac:dyDescent="0.2">
      <c r="A2" s="665" t="s">
        <v>236</v>
      </c>
      <c r="B2" s="644"/>
      <c r="C2" s="644"/>
      <c r="D2" s="644"/>
      <c r="E2" s="644"/>
      <c r="F2" s="644"/>
      <c r="G2" s="644"/>
      <c r="H2" s="644"/>
      <c r="I2" s="644"/>
      <c r="J2" s="644"/>
      <c r="K2" s="644"/>
    </row>
    <row r="4" spans="1:12" ht="21.75" customHeight="1" x14ac:dyDescent="0.2">
      <c r="A4" s="667" t="s">
        <v>237</v>
      </c>
      <c r="B4" s="667"/>
      <c r="C4" s="667"/>
      <c r="D4" s="667"/>
      <c r="E4" s="667"/>
      <c r="F4" s="667"/>
      <c r="G4" s="667"/>
      <c r="H4" s="667"/>
      <c r="I4" s="667"/>
      <c r="J4" s="667"/>
      <c r="K4" s="667"/>
      <c r="L4" s="667"/>
    </row>
    <row r="5" spans="1:12" ht="30" customHeight="1" x14ac:dyDescent="0.2">
      <c r="A5" s="24" t="s">
        <v>131</v>
      </c>
      <c r="B5" s="24" t="s">
        <v>238</v>
      </c>
      <c r="C5" s="24" t="s">
        <v>239</v>
      </c>
      <c r="D5" s="24" t="s">
        <v>240</v>
      </c>
      <c r="E5" s="24" t="s">
        <v>134</v>
      </c>
      <c r="F5" s="24" t="s">
        <v>135</v>
      </c>
      <c r="G5" s="24" t="s">
        <v>136</v>
      </c>
      <c r="H5" s="24" t="s">
        <v>241</v>
      </c>
      <c r="I5" s="24" t="s">
        <v>242</v>
      </c>
      <c r="J5" s="24" t="s">
        <v>243</v>
      </c>
      <c r="K5" s="24" t="s">
        <v>244</v>
      </c>
      <c r="L5" s="639" t="s">
        <v>581</v>
      </c>
    </row>
    <row r="6" spans="1:12" ht="19.5" customHeight="1" x14ac:dyDescent="0.2">
      <c r="A6" s="25">
        <v>1</v>
      </c>
      <c r="B6" s="149" t="s">
        <v>137</v>
      </c>
      <c r="C6" s="26"/>
      <c r="D6" s="19" t="s">
        <v>138</v>
      </c>
      <c r="E6" s="27">
        <f>'Emission Factors'!$D$6</f>
        <v>53.06</v>
      </c>
      <c r="F6" s="27">
        <f>'Emission Factors'!$E$6</f>
        <v>1</v>
      </c>
      <c r="G6" s="27">
        <f>'Emission Factors'!$F$6</f>
        <v>0.1</v>
      </c>
      <c r="H6" s="28">
        <f>C6*E6/1000</f>
        <v>0</v>
      </c>
      <c r="I6" s="28">
        <f>$C6*$F6*Assumptions!$E$25/1000000</f>
        <v>0</v>
      </c>
      <c r="J6" s="28">
        <f>$C6*G6*Assumptions!$E$27/1000000</f>
        <v>0</v>
      </c>
      <c r="K6" s="29">
        <f t="shared" ref="K6:K21" si="0">SUM(H6:J6)</f>
        <v>0</v>
      </c>
      <c r="L6" s="640">
        <v>2019</v>
      </c>
    </row>
    <row r="7" spans="1:12" ht="19.5" customHeight="1" x14ac:dyDescent="0.2">
      <c r="A7" s="25">
        <v>2</v>
      </c>
      <c r="B7" s="149" t="s">
        <v>146</v>
      </c>
      <c r="C7" s="26"/>
      <c r="D7" s="19" t="s">
        <v>138</v>
      </c>
      <c r="E7" s="27">
        <v>75.099999999999994</v>
      </c>
      <c r="F7" s="27">
        <v>3</v>
      </c>
      <c r="G7" s="27">
        <v>0.6</v>
      </c>
      <c r="H7" s="28">
        <f t="shared" ref="H7:H13" si="1">C7*E7/1000</f>
        <v>0</v>
      </c>
      <c r="I7" s="28">
        <f>$C7*$F7*Assumptions!$E$25/1000000</f>
        <v>0</v>
      </c>
      <c r="J7" s="28">
        <f>$C7*G7*Assumptions!$E$27/1000000</f>
        <v>0</v>
      </c>
      <c r="K7" s="29">
        <f t="shared" si="0"/>
        <v>0</v>
      </c>
      <c r="L7" s="640">
        <v>2019</v>
      </c>
    </row>
    <row r="8" spans="1:12" ht="19.5" customHeight="1" x14ac:dyDescent="0.2">
      <c r="A8" s="25">
        <v>3</v>
      </c>
      <c r="B8" s="149" t="s">
        <v>148</v>
      </c>
      <c r="C8" s="26"/>
      <c r="D8" s="19" t="s">
        <v>138</v>
      </c>
      <c r="E8" s="27">
        <v>93.28</v>
      </c>
      <c r="F8" s="27">
        <v>11</v>
      </c>
      <c r="G8" s="27">
        <v>1.6</v>
      </c>
      <c r="H8" s="28">
        <f t="shared" si="1"/>
        <v>0</v>
      </c>
      <c r="I8" s="28">
        <f>$C8*$F8*Assumptions!$E$25/1000000</f>
        <v>0</v>
      </c>
      <c r="J8" s="28">
        <f>$C8*G8*Assumptions!$E$27/1000000</f>
        <v>0</v>
      </c>
      <c r="K8" s="29">
        <f t="shared" si="0"/>
        <v>0</v>
      </c>
      <c r="L8" s="640">
        <v>2019</v>
      </c>
    </row>
    <row r="9" spans="1:12" ht="19.5" customHeight="1" x14ac:dyDescent="0.2">
      <c r="A9" s="25">
        <v>4</v>
      </c>
      <c r="B9" s="149" t="s">
        <v>245</v>
      </c>
      <c r="C9" s="26"/>
      <c r="D9" s="19" t="s">
        <v>138</v>
      </c>
      <c r="E9" s="27">
        <v>93.8</v>
      </c>
      <c r="F9" s="27">
        <v>7.2</v>
      </c>
      <c r="G9" s="27">
        <v>3.6</v>
      </c>
      <c r="H9" s="28">
        <f t="shared" si="1"/>
        <v>0</v>
      </c>
      <c r="I9" s="28">
        <f>$C9*$F9*Assumptions!$E$25/1000000</f>
        <v>0</v>
      </c>
      <c r="J9" s="28">
        <f>$C9*G9*Assumptions!$E$27/1000000</f>
        <v>0</v>
      </c>
      <c r="K9" s="29">
        <f t="shared" si="0"/>
        <v>0</v>
      </c>
      <c r="L9" s="640">
        <v>2019</v>
      </c>
    </row>
    <row r="10" spans="1:12" ht="19.5" customHeight="1" x14ac:dyDescent="0.2">
      <c r="A10" s="25">
        <v>5</v>
      </c>
      <c r="B10" s="149" t="s">
        <v>137</v>
      </c>
      <c r="C10" s="26"/>
      <c r="D10" s="19" t="s">
        <v>138</v>
      </c>
      <c r="E10" s="27">
        <f>'Emission Factors'!$D$6</f>
        <v>53.06</v>
      </c>
      <c r="F10" s="27">
        <f>'Emission Factors'!$E$6</f>
        <v>1</v>
      </c>
      <c r="G10" s="27">
        <f>'Emission Factors'!$F$6</f>
        <v>0.1</v>
      </c>
      <c r="H10" s="28">
        <f t="shared" si="1"/>
        <v>0</v>
      </c>
      <c r="I10" s="28">
        <f>$C10*$F10*Assumptions!$E$25/1000000</f>
        <v>0</v>
      </c>
      <c r="J10" s="28">
        <f>$C10*G10*Assumptions!$E$27/1000000</f>
        <v>0</v>
      </c>
      <c r="K10" s="29">
        <f t="shared" si="0"/>
        <v>0</v>
      </c>
      <c r="L10" s="640">
        <v>2020</v>
      </c>
    </row>
    <row r="11" spans="1:12" ht="19.5" customHeight="1" x14ac:dyDescent="0.2">
      <c r="A11" s="25">
        <v>6</v>
      </c>
      <c r="B11" s="149" t="s">
        <v>146</v>
      </c>
      <c r="C11" s="26"/>
      <c r="D11" s="19" t="s">
        <v>138</v>
      </c>
      <c r="E11" s="27">
        <v>75.099999999999994</v>
      </c>
      <c r="F11" s="27">
        <v>3</v>
      </c>
      <c r="G11" s="27">
        <v>0.6</v>
      </c>
      <c r="H11" s="28">
        <f t="shared" si="1"/>
        <v>0</v>
      </c>
      <c r="I11" s="28">
        <f>$C11*$F11*Assumptions!$E$25/1000000</f>
        <v>0</v>
      </c>
      <c r="J11" s="28">
        <f>$C11*G11*Assumptions!$E$27/1000000</f>
        <v>0</v>
      </c>
      <c r="K11" s="29">
        <f t="shared" si="0"/>
        <v>0</v>
      </c>
      <c r="L11" s="640">
        <v>2020</v>
      </c>
    </row>
    <row r="12" spans="1:12" ht="19.5" customHeight="1" x14ac:dyDescent="0.2">
      <c r="A12" s="25">
        <v>7</v>
      </c>
      <c r="B12" s="149" t="s">
        <v>148</v>
      </c>
      <c r="C12" s="26"/>
      <c r="D12" s="19" t="s">
        <v>138</v>
      </c>
      <c r="E12" s="27">
        <v>93.28</v>
      </c>
      <c r="F12" s="27">
        <v>11</v>
      </c>
      <c r="G12" s="27">
        <v>1.6</v>
      </c>
      <c r="H12" s="28">
        <f t="shared" si="1"/>
        <v>0</v>
      </c>
      <c r="I12" s="28">
        <f>$C12*$F12*Assumptions!$E$25/1000000</f>
        <v>0</v>
      </c>
      <c r="J12" s="28">
        <f>$C12*G12*Assumptions!$E$27/1000000</f>
        <v>0</v>
      </c>
      <c r="K12" s="29">
        <f t="shared" si="0"/>
        <v>0</v>
      </c>
      <c r="L12" s="640">
        <v>2020</v>
      </c>
    </row>
    <row r="13" spans="1:12" ht="19.5" customHeight="1" x14ac:dyDescent="0.2">
      <c r="A13" s="25">
        <v>8</v>
      </c>
      <c r="B13" s="149" t="s">
        <v>245</v>
      </c>
      <c r="C13" s="26"/>
      <c r="D13" s="19" t="s">
        <v>138</v>
      </c>
      <c r="E13" s="27">
        <v>93.8</v>
      </c>
      <c r="F13" s="27">
        <v>7.2</v>
      </c>
      <c r="G13" s="27">
        <v>3.6</v>
      </c>
      <c r="H13" s="28">
        <f t="shared" si="1"/>
        <v>0</v>
      </c>
      <c r="I13" s="28">
        <f>$C13*$F13*Assumptions!$E$25/1000000</f>
        <v>0</v>
      </c>
      <c r="J13" s="28">
        <f>$C13*G13*Assumptions!$E$27/1000000</f>
        <v>0</v>
      </c>
      <c r="K13" s="29">
        <f t="shared" si="0"/>
        <v>0</v>
      </c>
      <c r="L13" s="640">
        <v>2020</v>
      </c>
    </row>
    <row r="14" spans="1:12" ht="19.5" customHeight="1" x14ac:dyDescent="0.2">
      <c r="A14" s="25">
        <v>1</v>
      </c>
      <c r="B14" s="149" t="s">
        <v>137</v>
      </c>
      <c r="C14" s="26"/>
      <c r="D14" s="19" t="s">
        <v>138</v>
      </c>
      <c r="E14" s="27">
        <f>'Emission Factors'!$D$6</f>
        <v>53.06</v>
      </c>
      <c r="F14" s="27">
        <f>'Emission Factors'!$E$6</f>
        <v>1</v>
      </c>
      <c r="G14" s="27">
        <f>'Emission Factors'!$F$6</f>
        <v>0.1</v>
      </c>
      <c r="H14" s="28">
        <f>C14*E14/1000</f>
        <v>0</v>
      </c>
      <c r="I14" s="28">
        <f>$C14*$F14*Assumptions!$E$25/1000000</f>
        <v>0</v>
      </c>
      <c r="J14" s="28">
        <f>$C14*G14*Assumptions!$E$27/1000000</f>
        <v>0</v>
      </c>
      <c r="K14" s="29">
        <f t="shared" si="0"/>
        <v>0</v>
      </c>
      <c r="L14" s="640">
        <v>2021</v>
      </c>
    </row>
    <row r="15" spans="1:12" ht="19.5" customHeight="1" x14ac:dyDescent="0.2">
      <c r="A15" s="25">
        <v>2</v>
      </c>
      <c r="B15" s="149" t="s">
        <v>146</v>
      </c>
      <c r="C15" s="26"/>
      <c r="D15" s="19" t="s">
        <v>138</v>
      </c>
      <c r="E15" s="27">
        <v>75.099999999999994</v>
      </c>
      <c r="F15" s="27">
        <v>3</v>
      </c>
      <c r="G15" s="27">
        <v>0.6</v>
      </c>
      <c r="H15" s="28">
        <f t="shared" ref="H15:H21" si="2">C15*E15/1000</f>
        <v>0</v>
      </c>
      <c r="I15" s="28">
        <f>$C15*$F15*Assumptions!$E$25/1000000</f>
        <v>0</v>
      </c>
      <c r="J15" s="28">
        <f>$C15*G15*Assumptions!$E$27/1000000</f>
        <v>0</v>
      </c>
      <c r="K15" s="29">
        <f t="shared" si="0"/>
        <v>0</v>
      </c>
      <c r="L15" s="640">
        <v>2021</v>
      </c>
    </row>
    <row r="16" spans="1:12" ht="19.5" customHeight="1" x14ac:dyDescent="0.2">
      <c r="A16" s="25">
        <v>3</v>
      </c>
      <c r="B16" s="149" t="s">
        <v>148</v>
      </c>
      <c r="C16" s="26"/>
      <c r="D16" s="19" t="s">
        <v>138</v>
      </c>
      <c r="E16" s="27">
        <v>93.28</v>
      </c>
      <c r="F16" s="27">
        <v>11</v>
      </c>
      <c r="G16" s="27">
        <v>1.6</v>
      </c>
      <c r="H16" s="28">
        <f t="shared" si="2"/>
        <v>0</v>
      </c>
      <c r="I16" s="28">
        <f>$C16*$F16*Assumptions!$E$25/1000000</f>
        <v>0</v>
      </c>
      <c r="J16" s="28">
        <f>$C16*G16*Assumptions!$E$27/1000000</f>
        <v>0</v>
      </c>
      <c r="K16" s="29">
        <f t="shared" si="0"/>
        <v>0</v>
      </c>
      <c r="L16" s="640">
        <v>2021</v>
      </c>
    </row>
    <row r="17" spans="1:12" ht="19.5" customHeight="1" x14ac:dyDescent="0.2">
      <c r="A17" s="25">
        <v>4</v>
      </c>
      <c r="B17" s="149" t="s">
        <v>245</v>
      </c>
      <c r="C17" s="26"/>
      <c r="D17" s="19" t="s">
        <v>138</v>
      </c>
      <c r="E17" s="27">
        <v>93.8</v>
      </c>
      <c r="F17" s="27">
        <v>7.2</v>
      </c>
      <c r="G17" s="27">
        <v>3.6</v>
      </c>
      <c r="H17" s="28">
        <f t="shared" si="2"/>
        <v>0</v>
      </c>
      <c r="I17" s="28">
        <f>$C17*$F17*Assumptions!$E$25/1000000</f>
        <v>0</v>
      </c>
      <c r="J17" s="28">
        <f>$C17*G17*Assumptions!$E$27/1000000</f>
        <v>0</v>
      </c>
      <c r="K17" s="29">
        <f t="shared" si="0"/>
        <v>0</v>
      </c>
      <c r="L17" s="640">
        <v>2021</v>
      </c>
    </row>
    <row r="18" spans="1:12" ht="19.5" customHeight="1" x14ac:dyDescent="0.2">
      <c r="A18" s="25">
        <v>5</v>
      </c>
      <c r="B18" s="149" t="s">
        <v>137</v>
      </c>
      <c r="C18" s="26"/>
      <c r="D18" s="19" t="s">
        <v>138</v>
      </c>
      <c r="E18" s="27">
        <f>'Emission Factors'!D2</f>
        <v>0</v>
      </c>
      <c r="F18" s="27">
        <f>'Emission Factors'!E2</f>
        <v>0</v>
      </c>
      <c r="G18" s="27">
        <f>'Emission Factors'!F2</f>
        <v>0</v>
      </c>
      <c r="H18" s="28">
        <f t="shared" si="2"/>
        <v>0</v>
      </c>
      <c r="I18" s="28">
        <f>$C18*$F18*Assumptions!$E$25/1000000</f>
        <v>0</v>
      </c>
      <c r="J18" s="28">
        <f>$C18*G18*Assumptions!$E$27/1000000</f>
        <v>0</v>
      </c>
      <c r="K18" s="29">
        <f t="shared" si="0"/>
        <v>0</v>
      </c>
      <c r="L18" s="640">
        <v>2022</v>
      </c>
    </row>
    <row r="19" spans="1:12" ht="19.5" customHeight="1" x14ac:dyDescent="0.2">
      <c r="A19" s="25">
        <v>6</v>
      </c>
      <c r="B19" s="149" t="s">
        <v>146</v>
      </c>
      <c r="C19" s="26"/>
      <c r="D19" s="19" t="s">
        <v>138</v>
      </c>
      <c r="E19" s="27">
        <v>75.099999999999994</v>
      </c>
      <c r="F19" s="27">
        <v>3</v>
      </c>
      <c r="G19" s="27">
        <v>0.6</v>
      </c>
      <c r="H19" s="28">
        <f t="shared" si="2"/>
        <v>0</v>
      </c>
      <c r="I19" s="28">
        <f>$C19*$F19*Assumptions!$E$25/1000000</f>
        <v>0</v>
      </c>
      <c r="J19" s="28">
        <f>$C19*G19*Assumptions!$E$27/1000000</f>
        <v>0</v>
      </c>
      <c r="K19" s="29">
        <f t="shared" si="0"/>
        <v>0</v>
      </c>
      <c r="L19" s="640">
        <v>2022</v>
      </c>
    </row>
    <row r="20" spans="1:12" ht="19.5" customHeight="1" x14ac:dyDescent="0.2">
      <c r="A20" s="25">
        <v>7</v>
      </c>
      <c r="B20" s="149" t="s">
        <v>148</v>
      </c>
      <c r="C20" s="26"/>
      <c r="D20" s="19" t="s">
        <v>138</v>
      </c>
      <c r="E20" s="27">
        <v>93.28</v>
      </c>
      <c r="F20" s="27">
        <v>11</v>
      </c>
      <c r="G20" s="27">
        <v>1.6</v>
      </c>
      <c r="H20" s="28">
        <f t="shared" si="2"/>
        <v>0</v>
      </c>
      <c r="I20" s="28">
        <f>$C20*$F20*Assumptions!$E$25/1000000</f>
        <v>0</v>
      </c>
      <c r="J20" s="28">
        <f>$C20*G20*Assumptions!$E$27/1000000</f>
        <v>0</v>
      </c>
      <c r="K20" s="29">
        <f t="shared" si="0"/>
        <v>0</v>
      </c>
      <c r="L20" s="640">
        <v>2022</v>
      </c>
    </row>
    <row r="21" spans="1:12" ht="19.5" customHeight="1" x14ac:dyDescent="0.2">
      <c r="A21" s="25">
        <v>8</v>
      </c>
      <c r="B21" s="149" t="s">
        <v>245</v>
      </c>
      <c r="C21" s="26"/>
      <c r="D21" s="19" t="s">
        <v>138</v>
      </c>
      <c r="E21" s="27">
        <v>93.8</v>
      </c>
      <c r="F21" s="27">
        <v>7.2</v>
      </c>
      <c r="G21" s="27">
        <v>3.6</v>
      </c>
      <c r="H21" s="28">
        <f t="shared" si="2"/>
        <v>0</v>
      </c>
      <c r="I21" s="28">
        <f>$C21*$F21*Assumptions!$E$25/1000000</f>
        <v>0</v>
      </c>
      <c r="J21" s="28">
        <f>$C21*G21*Assumptions!$E$27/1000000</f>
        <v>0</v>
      </c>
      <c r="K21" s="29">
        <f t="shared" si="0"/>
        <v>0</v>
      </c>
      <c r="L21" s="640">
        <v>2022</v>
      </c>
    </row>
    <row r="22" spans="1:12" ht="19.5" customHeight="1" x14ac:dyDescent="0.2">
      <c r="A22" s="25">
        <v>1</v>
      </c>
      <c r="B22" s="149" t="s">
        <v>137</v>
      </c>
      <c r="C22" s="26">
        <v>11165284.26</v>
      </c>
      <c r="D22" s="19" t="s">
        <v>138</v>
      </c>
      <c r="E22" s="27">
        <f>'Emission Factors'!D6</f>
        <v>53.06</v>
      </c>
      <c r="F22" s="27">
        <f>'Emission Factors'!E6</f>
        <v>1</v>
      </c>
      <c r="G22" s="27">
        <f>'Emission Factors'!F6</f>
        <v>0.1</v>
      </c>
      <c r="H22" s="28">
        <f>C22*E22/1000</f>
        <v>592429.98283560004</v>
      </c>
      <c r="I22" s="28">
        <f>$C22*$F22*Assumptions!$E$25/1000000</f>
        <v>332.72547094800001</v>
      </c>
      <c r="J22" s="28">
        <f>$C22*G22*Assumptions!$E$27/1000000</f>
        <v>304.81226029799996</v>
      </c>
      <c r="K22" s="29">
        <f t="shared" ref="K22:K29" si="3">SUM(H22:J22)</f>
        <v>593067.52056684601</v>
      </c>
      <c r="L22" s="640">
        <v>2023</v>
      </c>
    </row>
    <row r="23" spans="1:12" ht="19.5" customHeight="1" x14ac:dyDescent="0.2">
      <c r="A23" s="25">
        <v>2</v>
      </c>
      <c r="B23" s="149" t="s">
        <v>146</v>
      </c>
      <c r="C23" s="26"/>
      <c r="D23" s="19" t="s">
        <v>138</v>
      </c>
      <c r="E23" s="27">
        <v>75.099999999999994</v>
      </c>
      <c r="F23" s="27">
        <v>3</v>
      </c>
      <c r="G23" s="27">
        <v>0.6</v>
      </c>
      <c r="H23" s="28">
        <f t="shared" ref="H23:H29" si="4">C23*E23/1000</f>
        <v>0</v>
      </c>
      <c r="I23" s="28">
        <f>$C23*$F23*Assumptions!$E$25/1000000</f>
        <v>0</v>
      </c>
      <c r="J23" s="28">
        <f>$C23*G23*Assumptions!$E$27/1000000</f>
        <v>0</v>
      </c>
      <c r="K23" s="29">
        <f t="shared" si="3"/>
        <v>0</v>
      </c>
      <c r="L23" s="640">
        <v>2023</v>
      </c>
    </row>
    <row r="24" spans="1:12" ht="19.5" customHeight="1" x14ac:dyDescent="0.2">
      <c r="A24" s="25">
        <v>3</v>
      </c>
      <c r="B24" s="149" t="s">
        <v>148</v>
      </c>
      <c r="C24" s="26">
        <v>635037.39</v>
      </c>
      <c r="D24" s="19" t="s">
        <v>138</v>
      </c>
      <c r="E24" s="27">
        <v>93.28</v>
      </c>
      <c r="F24" s="27">
        <v>11</v>
      </c>
      <c r="G24" s="27">
        <v>1.6</v>
      </c>
      <c r="H24" s="28">
        <f t="shared" si="4"/>
        <v>59236.287739200001</v>
      </c>
      <c r="I24" s="28">
        <f>$C24*$F24*Assumptions!$E$25/1000000</f>
        <v>208.16525644200001</v>
      </c>
      <c r="J24" s="28">
        <f>$C24*G24*Assumptions!$E$27/1000000</f>
        <v>277.38433195200003</v>
      </c>
      <c r="K24" s="29">
        <f t="shared" si="3"/>
        <v>59721.837327594003</v>
      </c>
      <c r="L24" s="640">
        <v>2023</v>
      </c>
    </row>
    <row r="25" spans="1:12" ht="19.5" customHeight="1" x14ac:dyDescent="0.2">
      <c r="A25" s="25">
        <v>4</v>
      </c>
      <c r="B25" s="149" t="s">
        <v>245</v>
      </c>
      <c r="C25" s="26">
        <v>12928223.880000001</v>
      </c>
      <c r="D25" s="19" t="s">
        <v>138</v>
      </c>
      <c r="E25" s="27">
        <v>93.8</v>
      </c>
      <c r="F25" s="27">
        <v>7.2</v>
      </c>
      <c r="G25" s="27">
        <v>3.6</v>
      </c>
      <c r="H25" s="28">
        <f>C25*E25/1000</f>
        <v>1212667.3999439999</v>
      </c>
      <c r="I25" s="28">
        <f>$C25*$F25*Assumptions!$E$25/1000000</f>
        <v>2773.8797156927999</v>
      </c>
      <c r="J25" s="28">
        <f>$C25*G25*Assumptions!$E$27/1000000</f>
        <v>12705.858429264001</v>
      </c>
      <c r="K25" s="29">
        <f>SUM(H25:J25)</f>
        <v>1228147.1380889567</v>
      </c>
      <c r="L25" s="640">
        <v>2023</v>
      </c>
    </row>
    <row r="26" spans="1:12" ht="19.5" customHeight="1" x14ac:dyDescent="0.2">
      <c r="A26" s="25">
        <v>5</v>
      </c>
      <c r="B26" s="149" t="s">
        <v>137</v>
      </c>
      <c r="C26" s="26">
        <v>10814591.970000001</v>
      </c>
      <c r="D26" s="19" t="s">
        <v>138</v>
      </c>
      <c r="E26" s="27">
        <f>'Emission Factors'!D10</f>
        <v>2.6629999999999998</v>
      </c>
      <c r="F26" s="27">
        <f>'Emission Factors'!E10</f>
        <v>0.13900000000000001</v>
      </c>
      <c r="G26" s="27">
        <f>'Emission Factors'!F10</f>
        <v>1.4E-2</v>
      </c>
      <c r="H26" s="28">
        <f t="shared" si="4"/>
        <v>28799.258416110002</v>
      </c>
      <c r="I26" s="28">
        <f>$C26*$F26*Assumptions!$E$25/1000000</f>
        <v>44.796202858134009</v>
      </c>
      <c r="J26" s="28">
        <f>$C26*G26*Assumptions!$E$27/1000000</f>
        <v>41.33337050934</v>
      </c>
      <c r="K26" s="29">
        <f t="shared" si="3"/>
        <v>28885.387989477476</v>
      </c>
      <c r="L26" s="640">
        <v>2024</v>
      </c>
    </row>
    <row r="27" spans="1:12" ht="19.5" customHeight="1" x14ac:dyDescent="0.2">
      <c r="A27" s="25">
        <v>6</v>
      </c>
      <c r="B27" s="149" t="s">
        <v>146</v>
      </c>
      <c r="C27" s="26"/>
      <c r="D27" s="19" t="s">
        <v>138</v>
      </c>
      <c r="E27" s="27">
        <v>75.099999999999994</v>
      </c>
      <c r="F27" s="27">
        <v>3</v>
      </c>
      <c r="G27" s="27">
        <v>0.6</v>
      </c>
      <c r="H27" s="28">
        <f t="shared" si="4"/>
        <v>0</v>
      </c>
      <c r="I27" s="28">
        <f>$C27*$F27*Assumptions!$E$25/1000000</f>
        <v>0</v>
      </c>
      <c r="J27" s="28">
        <f>$C27*G27*Assumptions!$E$27/1000000</f>
        <v>0</v>
      </c>
      <c r="K27" s="29">
        <f t="shared" si="3"/>
        <v>0</v>
      </c>
      <c r="L27" s="640">
        <v>2024</v>
      </c>
    </row>
    <row r="28" spans="1:12" ht="19.5" customHeight="1" x14ac:dyDescent="0.2">
      <c r="A28" s="25">
        <v>7</v>
      </c>
      <c r="B28" s="149" t="s">
        <v>148</v>
      </c>
      <c r="C28" s="26">
        <v>388604.97</v>
      </c>
      <c r="D28" s="19" t="s">
        <v>138</v>
      </c>
      <c r="E28" s="27">
        <v>93.28</v>
      </c>
      <c r="F28" s="27">
        <v>11</v>
      </c>
      <c r="G28" s="27">
        <v>1.6</v>
      </c>
      <c r="H28" s="28">
        <f t="shared" si="4"/>
        <v>36249.071601600001</v>
      </c>
      <c r="I28" s="28">
        <f>$C28*$F28*Assumptions!$E$25/1000000</f>
        <v>127.38470916599999</v>
      </c>
      <c r="J28" s="28">
        <f>$C28*G28*Assumptions!$E$27/1000000</f>
        <v>169.74265089599996</v>
      </c>
      <c r="K28" s="29">
        <f t="shared" si="3"/>
        <v>36546.198961661998</v>
      </c>
      <c r="L28" s="640">
        <v>2024</v>
      </c>
    </row>
    <row r="29" spans="1:12" ht="19.5" customHeight="1" x14ac:dyDescent="0.2">
      <c r="A29" s="25">
        <v>8</v>
      </c>
      <c r="B29" s="149" t="s">
        <v>245</v>
      </c>
      <c r="C29" s="26">
        <v>13127265.449999999</v>
      </c>
      <c r="D29" s="19" t="s">
        <v>138</v>
      </c>
      <c r="E29" s="27">
        <v>93.8</v>
      </c>
      <c r="F29" s="27">
        <v>7.2</v>
      </c>
      <c r="G29" s="27">
        <v>3.6</v>
      </c>
      <c r="H29" s="28">
        <f t="shared" si="4"/>
        <v>1231337.4992099998</v>
      </c>
      <c r="I29" s="28">
        <f>$C29*$F29*Assumptions!$E$25/1000000</f>
        <v>2816.5860749520002</v>
      </c>
      <c r="J29" s="28">
        <f>$C29*G29*Assumptions!$E$27/1000000</f>
        <v>12901.476484259998</v>
      </c>
      <c r="K29" s="29">
        <f t="shared" si="3"/>
        <v>1247055.5617692119</v>
      </c>
      <c r="L29" s="640">
        <v>2024</v>
      </c>
    </row>
    <row r="30" spans="1:12" ht="21.75" customHeight="1" x14ac:dyDescent="0.2">
      <c r="A30" s="30"/>
      <c r="B30" s="163" t="s">
        <v>246</v>
      </c>
      <c r="C30" s="30"/>
      <c r="D30" s="30"/>
      <c r="E30" s="30"/>
      <c r="F30" s="30"/>
      <c r="G30" s="30"/>
      <c r="H30" s="31">
        <f>SUM(H22:H29)</f>
        <v>3160719.4997465098</v>
      </c>
      <c r="I30" s="31">
        <f>SUM(I22:I29)</f>
        <v>6303.5374300589338</v>
      </c>
      <c r="J30" s="31">
        <f>SUM(J22:J29)</f>
        <v>26400.607527179338</v>
      </c>
      <c r="K30" s="31">
        <f>SUM(K22:K29)</f>
        <v>3193423.6447037477</v>
      </c>
    </row>
    <row r="32" spans="1:12" ht="21.75" customHeight="1" x14ac:dyDescent="0.2">
      <c r="A32" s="662" t="s">
        <v>247</v>
      </c>
      <c r="B32" s="644"/>
      <c r="C32" s="644"/>
      <c r="D32" s="644"/>
      <c r="E32" s="644"/>
      <c r="F32" s="644"/>
      <c r="G32" s="644"/>
      <c r="H32" s="644"/>
      <c r="I32" s="644"/>
      <c r="J32" s="644"/>
      <c r="K32" s="644"/>
    </row>
    <row r="33" spans="1:11" ht="30" customHeight="1" x14ac:dyDescent="0.2">
      <c r="A33" s="32" t="s">
        <v>131</v>
      </c>
      <c r="B33" s="32" t="s">
        <v>248</v>
      </c>
      <c r="C33" s="32" t="s">
        <v>239</v>
      </c>
      <c r="D33" s="32" t="s">
        <v>240</v>
      </c>
      <c r="E33" s="32" t="s">
        <v>134</v>
      </c>
      <c r="F33" s="32" t="s">
        <v>249</v>
      </c>
      <c r="G33" s="32" t="s">
        <v>136</v>
      </c>
      <c r="H33" s="32" t="s">
        <v>241</v>
      </c>
      <c r="I33" s="32" t="s">
        <v>242</v>
      </c>
      <c r="J33" s="32" t="s">
        <v>243</v>
      </c>
      <c r="K33" s="32" t="s">
        <v>244</v>
      </c>
    </row>
    <row r="34" spans="1:11" ht="19.5" customHeight="1" x14ac:dyDescent="0.2">
      <c r="A34" s="33">
        <v>1</v>
      </c>
      <c r="B34" s="34" t="s">
        <v>250</v>
      </c>
      <c r="C34" s="26"/>
      <c r="D34" s="19" t="s">
        <v>251</v>
      </c>
      <c r="E34" s="27">
        <v>2.35</v>
      </c>
      <c r="F34" s="27">
        <v>0.1</v>
      </c>
      <c r="G34" s="27">
        <v>0.02</v>
      </c>
      <c r="H34" s="28">
        <f t="shared" ref="H34:H40" si="5">C34*E34/1000</f>
        <v>0</v>
      </c>
      <c r="I34" s="28">
        <f>C34*F34/1000000*Assumptions!E25*1000</f>
        <v>0</v>
      </c>
      <c r="J34" s="28">
        <f>C34*G34/1000000*Assumptions!E27*1000</f>
        <v>0</v>
      </c>
      <c r="K34" s="29">
        <f t="shared" ref="K34:K40" si="6">H34+I34+J34</f>
        <v>0</v>
      </c>
    </row>
    <row r="35" spans="1:11" ht="19.5" customHeight="1" x14ac:dyDescent="0.2">
      <c r="A35" s="33">
        <v>2</v>
      </c>
      <c r="B35" s="35" t="s">
        <v>252</v>
      </c>
      <c r="C35" s="26"/>
      <c r="D35" s="19" t="s">
        <v>251</v>
      </c>
      <c r="E35" s="27">
        <v>2.35</v>
      </c>
      <c r="F35" s="27">
        <v>0.1</v>
      </c>
      <c r="G35" s="27">
        <v>0.02</v>
      </c>
      <c r="H35" s="28">
        <f t="shared" si="5"/>
        <v>0</v>
      </c>
      <c r="I35" s="28">
        <f>C35*F35/1000000*Assumptions!E25*1000</f>
        <v>0</v>
      </c>
      <c r="J35" s="28">
        <f>C35*G35/1000000*Assumptions!E27*1000</f>
        <v>0</v>
      </c>
      <c r="K35" s="29">
        <f t="shared" si="6"/>
        <v>0</v>
      </c>
    </row>
    <row r="36" spans="1:11" ht="19.5" customHeight="1" x14ac:dyDescent="0.2">
      <c r="A36" s="33">
        <v>3</v>
      </c>
      <c r="B36" s="34" t="s">
        <v>253</v>
      </c>
      <c r="C36" s="26"/>
      <c r="D36" s="19" t="s">
        <v>251</v>
      </c>
      <c r="E36" s="27">
        <v>2.69</v>
      </c>
      <c r="F36" s="27">
        <v>0.11</v>
      </c>
      <c r="G36" s="27">
        <v>0.02</v>
      </c>
      <c r="H36" s="28">
        <f t="shared" si="5"/>
        <v>0</v>
      </c>
      <c r="I36" s="28">
        <f>C36*F36/1000000*Assumptions!E25*1000</f>
        <v>0</v>
      </c>
      <c r="J36" s="28">
        <f>C36*G36/1000000*Assumptions!E27*1000</f>
        <v>0</v>
      </c>
      <c r="K36" s="29">
        <f t="shared" si="6"/>
        <v>0</v>
      </c>
    </row>
    <row r="37" spans="1:11" ht="19.5" customHeight="1" x14ac:dyDescent="0.2">
      <c r="A37" s="33">
        <v>4</v>
      </c>
      <c r="B37" s="35" t="s">
        <v>254</v>
      </c>
      <c r="C37" s="26"/>
      <c r="D37" s="19" t="s">
        <v>251</v>
      </c>
      <c r="E37" s="27">
        <v>2.69</v>
      </c>
      <c r="F37" s="27">
        <v>0.11</v>
      </c>
      <c r="G37" s="27">
        <v>0.02</v>
      </c>
      <c r="H37" s="28">
        <f t="shared" si="5"/>
        <v>0</v>
      </c>
      <c r="I37" s="28">
        <f>C37*F37/1000000*Assumptions!E25*1000</f>
        <v>0</v>
      </c>
      <c r="J37" s="28">
        <f>C37*G37/1000000*Assumptions!E27*1000</f>
        <v>0</v>
      </c>
      <c r="K37" s="29">
        <f t="shared" si="6"/>
        <v>0</v>
      </c>
    </row>
    <row r="38" spans="1:11" ht="19.5" customHeight="1" x14ac:dyDescent="0.2">
      <c r="A38" s="33">
        <v>5</v>
      </c>
      <c r="B38" s="34" t="s">
        <v>167</v>
      </c>
      <c r="C38" s="26"/>
      <c r="D38" s="19" t="s">
        <v>168</v>
      </c>
      <c r="E38" s="27">
        <v>56.1</v>
      </c>
      <c r="F38" s="27">
        <v>0.95</v>
      </c>
      <c r="G38" s="27">
        <v>0.1</v>
      </c>
      <c r="H38" s="28">
        <f t="shared" si="5"/>
        <v>0</v>
      </c>
      <c r="I38" s="28">
        <f>C38*F38/1000000*Assumptions!E25*1000</f>
        <v>0</v>
      </c>
      <c r="J38" s="28">
        <f>C38*G38/1000000*Assumptions!E27*1000</f>
        <v>0</v>
      </c>
      <c r="K38" s="29">
        <f t="shared" si="6"/>
        <v>0</v>
      </c>
    </row>
    <row r="39" spans="1:11" ht="19.5" customHeight="1" x14ac:dyDescent="0.2">
      <c r="A39" s="33">
        <v>6</v>
      </c>
      <c r="B39" s="35" t="s">
        <v>255</v>
      </c>
      <c r="C39" s="26"/>
      <c r="D39" s="19" t="s">
        <v>251</v>
      </c>
      <c r="E39" s="27">
        <v>2.54</v>
      </c>
      <c r="F39" s="27">
        <v>0.11</v>
      </c>
      <c r="G39" s="27">
        <v>0.02</v>
      </c>
      <c r="H39" s="28">
        <f t="shared" si="5"/>
        <v>0</v>
      </c>
      <c r="I39" s="28">
        <f>C39*F39/1000000*Assumptions!E25*1000</f>
        <v>0</v>
      </c>
      <c r="J39" s="28">
        <f>C39*G39/1000000*Assumptions!E27*1000</f>
        <v>0</v>
      </c>
      <c r="K39" s="29">
        <f t="shared" si="6"/>
        <v>0</v>
      </c>
    </row>
    <row r="40" spans="1:11" ht="19.5" customHeight="1" x14ac:dyDescent="0.2">
      <c r="A40" s="33">
        <v>7</v>
      </c>
      <c r="B40" s="34" t="s">
        <v>256</v>
      </c>
      <c r="C40" s="26"/>
      <c r="D40" s="19" t="s">
        <v>257</v>
      </c>
      <c r="E40" s="27">
        <v>0</v>
      </c>
      <c r="F40" s="27">
        <v>0</v>
      </c>
      <c r="G40" s="27">
        <v>0</v>
      </c>
      <c r="H40" s="28">
        <f t="shared" si="5"/>
        <v>0</v>
      </c>
      <c r="I40" s="28">
        <f>C40*F40/1000000*Assumptions!E25*1000</f>
        <v>0</v>
      </c>
      <c r="J40" s="28">
        <f>C40*G40/1000000*Assumptions!E27*1000</f>
        <v>0</v>
      </c>
      <c r="K40" s="29">
        <f t="shared" si="6"/>
        <v>0</v>
      </c>
    </row>
    <row r="41" spans="1:11" ht="21.75" customHeight="1" x14ac:dyDescent="0.2">
      <c r="A41" s="36"/>
      <c r="B41" s="20" t="s">
        <v>258</v>
      </c>
      <c r="C41" s="36"/>
      <c r="D41" s="36"/>
      <c r="E41" s="36"/>
      <c r="F41" s="36"/>
      <c r="G41" s="36"/>
      <c r="H41" s="37">
        <f>SUM(H34:H40)</f>
        <v>0</v>
      </c>
      <c r="I41" s="37">
        <f>SUM(I34:I40)</f>
        <v>0</v>
      </c>
      <c r="J41" s="37">
        <f>SUM(J34:J40)</f>
        <v>0</v>
      </c>
      <c r="K41" s="37">
        <f>SUM(K34:K40)</f>
        <v>0</v>
      </c>
    </row>
    <row r="43" spans="1:11" ht="21.75" customHeight="1" x14ac:dyDescent="0.2">
      <c r="A43" s="666" t="s">
        <v>259</v>
      </c>
      <c r="B43" s="644"/>
      <c r="C43" s="644"/>
      <c r="D43" s="644"/>
      <c r="E43" s="644"/>
      <c r="F43" s="644"/>
      <c r="G43" s="644"/>
      <c r="H43" s="644"/>
      <c r="I43" s="644"/>
      <c r="J43" s="644"/>
      <c r="K43" s="644"/>
    </row>
    <row r="44" spans="1:11" ht="30" customHeight="1" x14ac:dyDescent="0.2">
      <c r="A44" s="38" t="s">
        <v>131</v>
      </c>
      <c r="B44" s="38" t="s">
        <v>260</v>
      </c>
      <c r="C44" s="38" t="s">
        <v>261</v>
      </c>
      <c r="D44" s="38" t="s">
        <v>133</v>
      </c>
      <c r="E44" s="38" t="s">
        <v>262</v>
      </c>
      <c r="F44" s="38"/>
      <c r="G44" s="38"/>
      <c r="H44" s="38"/>
      <c r="I44" s="38"/>
      <c r="J44" s="38"/>
      <c r="K44" s="38" t="s">
        <v>244</v>
      </c>
    </row>
    <row r="45" spans="1:11" ht="19.5" customHeight="1" x14ac:dyDescent="0.2">
      <c r="A45" s="39">
        <v>1</v>
      </c>
      <c r="B45" s="40" t="s">
        <v>263</v>
      </c>
      <c r="C45" s="26"/>
      <c r="D45" s="19" t="s">
        <v>264</v>
      </c>
      <c r="E45" s="19">
        <v>1430</v>
      </c>
      <c r="F45" s="41"/>
      <c r="G45" s="41"/>
      <c r="H45" s="41"/>
      <c r="I45" s="41"/>
      <c r="K45" s="29">
        <f t="shared" ref="K45:K50" si="7">C45*E45/1000</f>
        <v>0</v>
      </c>
    </row>
    <row r="46" spans="1:11" ht="19.5" customHeight="1" x14ac:dyDescent="0.2">
      <c r="A46" s="39">
        <v>2</v>
      </c>
      <c r="B46" s="42" t="s">
        <v>265</v>
      </c>
      <c r="C46" s="26"/>
      <c r="D46" s="19" t="s">
        <v>264</v>
      </c>
      <c r="E46" s="19">
        <v>2088</v>
      </c>
      <c r="F46" s="41"/>
      <c r="G46" s="41"/>
      <c r="H46" s="41"/>
      <c r="I46" s="41"/>
      <c r="K46" s="29">
        <f t="shared" si="7"/>
        <v>0</v>
      </c>
    </row>
    <row r="47" spans="1:11" ht="19.5" customHeight="1" x14ac:dyDescent="0.2">
      <c r="A47" s="39">
        <v>3</v>
      </c>
      <c r="B47" s="40" t="s">
        <v>266</v>
      </c>
      <c r="C47" s="26"/>
      <c r="D47" s="19" t="s">
        <v>264</v>
      </c>
      <c r="E47" s="19">
        <v>22800</v>
      </c>
      <c r="F47" s="41"/>
      <c r="G47" s="41"/>
      <c r="H47" s="41"/>
      <c r="I47" s="41"/>
      <c r="K47" s="29">
        <f t="shared" si="7"/>
        <v>0</v>
      </c>
    </row>
    <row r="48" spans="1:11" ht="19.5" customHeight="1" x14ac:dyDescent="0.2">
      <c r="A48" s="39">
        <v>4</v>
      </c>
      <c r="B48" s="42" t="s">
        <v>267</v>
      </c>
      <c r="C48" s="26"/>
      <c r="D48" s="19" t="s">
        <v>264</v>
      </c>
      <c r="E48" s="19">
        <v>25</v>
      </c>
      <c r="F48" s="41"/>
      <c r="G48" s="41"/>
      <c r="H48" s="41"/>
      <c r="I48" s="41"/>
      <c r="K48" s="29">
        <f t="shared" si="7"/>
        <v>0</v>
      </c>
    </row>
    <row r="49" spans="1:11" ht="19.5" customHeight="1" x14ac:dyDescent="0.2">
      <c r="A49" s="39">
        <v>5</v>
      </c>
      <c r="B49" s="40" t="s">
        <v>268</v>
      </c>
      <c r="C49" s="26"/>
      <c r="D49" s="19" t="s">
        <v>264</v>
      </c>
      <c r="E49" s="19">
        <v>1</v>
      </c>
      <c r="F49" s="41"/>
      <c r="G49" s="41"/>
      <c r="H49" s="41"/>
      <c r="I49" s="41"/>
      <c r="K49" s="29">
        <f t="shared" si="7"/>
        <v>0</v>
      </c>
    </row>
    <row r="50" spans="1:11" ht="19.5" customHeight="1" x14ac:dyDescent="0.2">
      <c r="A50" s="39">
        <v>6</v>
      </c>
      <c r="B50" s="42" t="s">
        <v>269</v>
      </c>
      <c r="C50" s="26"/>
      <c r="D50" s="19" t="s">
        <v>264</v>
      </c>
      <c r="E50" s="19">
        <v>0</v>
      </c>
      <c r="F50" s="41"/>
      <c r="G50" s="41"/>
      <c r="H50" s="41"/>
      <c r="I50" s="41"/>
      <c r="K50" s="29">
        <f t="shared" si="7"/>
        <v>0</v>
      </c>
    </row>
    <row r="51" spans="1:11" ht="21.75" customHeight="1" x14ac:dyDescent="0.2">
      <c r="A51" s="43"/>
      <c r="B51" s="44" t="s">
        <v>270</v>
      </c>
      <c r="C51" s="43"/>
      <c r="D51" s="43"/>
      <c r="E51" s="43"/>
      <c r="F51" s="43"/>
      <c r="G51" s="43"/>
      <c r="H51" s="43"/>
      <c r="I51" s="43"/>
      <c r="J51" s="43"/>
      <c r="K51" s="45">
        <f>SUM(K45:K50)</f>
        <v>0</v>
      </c>
    </row>
    <row r="53" spans="1:11" ht="27.75" customHeight="1" x14ac:dyDescent="0.2">
      <c r="A53" s="663" t="s">
        <v>271</v>
      </c>
      <c r="B53" s="642"/>
      <c r="C53" s="642"/>
      <c r="D53" s="642"/>
      <c r="E53" s="642"/>
      <c r="F53" s="642"/>
      <c r="G53" s="642"/>
      <c r="H53" s="642"/>
      <c r="I53" s="642"/>
      <c r="J53" s="642"/>
      <c r="K53" s="46">
        <f>K51+K41+K30</f>
        <v>3193423.6447037477</v>
      </c>
    </row>
    <row r="54" spans="1:11" x14ac:dyDescent="0.2">
      <c r="B54" s="168" t="s">
        <v>272</v>
      </c>
      <c r="J54" s="407"/>
      <c r="K54" s="407" t="s">
        <v>273</v>
      </c>
    </row>
    <row r="55" spans="1:11" x14ac:dyDescent="0.2">
      <c r="B55" t="s">
        <v>274</v>
      </c>
    </row>
    <row r="56" spans="1:11" x14ac:dyDescent="0.2">
      <c r="B56" s="167" t="s">
        <v>275</v>
      </c>
    </row>
    <row r="57" spans="1:11" x14ac:dyDescent="0.2">
      <c r="B57" t="s">
        <v>276</v>
      </c>
    </row>
    <row r="58" spans="1:11" x14ac:dyDescent="0.2">
      <c r="B58" t="s">
        <v>277</v>
      </c>
    </row>
    <row r="59" spans="1:11" x14ac:dyDescent="0.2">
      <c r="B59" t="s">
        <v>278</v>
      </c>
    </row>
    <row r="60" spans="1:11" x14ac:dyDescent="0.2">
      <c r="B60" t="s">
        <v>279</v>
      </c>
    </row>
    <row r="61" spans="1:11" x14ac:dyDescent="0.2">
      <c r="B61" t="s">
        <v>280</v>
      </c>
    </row>
    <row r="62" spans="1:11" x14ac:dyDescent="0.2">
      <c r="B62" t="s">
        <v>281</v>
      </c>
    </row>
  </sheetData>
  <mergeCells count="6">
    <mergeCell ref="A53:J53"/>
    <mergeCell ref="A1:K1"/>
    <mergeCell ref="A2:K2"/>
    <mergeCell ref="A32:K32"/>
    <mergeCell ref="A43:K43"/>
    <mergeCell ref="A4:L4"/>
  </mergeCells>
  <hyperlinks>
    <hyperlink ref="B54" r:id="rId1" display="https://www.epa.gov/system/files/documents/2024-02/ghg-emission-factors-hub-2024.pdf" xr:uid="{B0662A01-4C61-4CC7-88E8-6335D8EBB4DC}"/>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67763-B1DB-6147-811B-1360A1EA225C}">
  <sheetPr>
    <tabColor rgb="FF1B5E20"/>
  </sheetPr>
  <dimension ref="A1:L62"/>
  <sheetViews>
    <sheetView showGridLines="0" zoomScale="133" zoomScaleNormal="100" workbookViewId="0">
      <pane xSplit="2" ySplit="5" topLeftCell="E9" activePane="bottomRight" state="frozen"/>
      <selection pane="topRight" activeCell="C1" sqref="C1"/>
      <selection pane="bottomLeft" activeCell="A6" sqref="A6"/>
      <selection pane="bottomRight" activeCell="L6" sqref="L6:L29"/>
    </sheetView>
  </sheetViews>
  <sheetFormatPr baseColWidth="10" defaultColWidth="8.6640625" defaultRowHeight="15" x14ac:dyDescent="0.2"/>
  <cols>
    <col min="1" max="1" width="5" customWidth="1"/>
    <col min="2" max="3" width="31.6640625" customWidth="1"/>
    <col min="4" max="4" width="16" customWidth="1"/>
    <col min="5" max="6" width="22" customWidth="1"/>
    <col min="7" max="10" width="16" customWidth="1"/>
    <col min="11" max="11" width="28" customWidth="1"/>
  </cols>
  <sheetData>
    <row r="1" spans="1:12" ht="48" customHeight="1" x14ac:dyDescent="0.2">
      <c r="A1" s="664" t="s">
        <v>235</v>
      </c>
      <c r="B1" s="644"/>
      <c r="C1" s="644"/>
      <c r="D1" s="644"/>
      <c r="E1" s="644"/>
      <c r="F1" s="644"/>
      <c r="G1" s="644"/>
      <c r="H1" s="644"/>
      <c r="I1" s="644"/>
      <c r="J1" s="644"/>
      <c r="K1" s="644"/>
    </row>
    <row r="2" spans="1:12" ht="19.5" customHeight="1" x14ac:dyDescent="0.2">
      <c r="A2" s="665" t="s">
        <v>236</v>
      </c>
      <c r="B2" s="644"/>
      <c r="C2" s="644"/>
      <c r="D2" s="644"/>
      <c r="E2" s="644"/>
      <c r="F2" s="644"/>
      <c r="G2" s="644"/>
      <c r="H2" s="644"/>
      <c r="I2" s="644"/>
      <c r="J2" s="644"/>
      <c r="K2" s="644"/>
    </row>
    <row r="4" spans="1:12" ht="21.75" customHeight="1" x14ac:dyDescent="0.2">
      <c r="A4" s="667" t="s">
        <v>237</v>
      </c>
      <c r="B4" s="667"/>
      <c r="C4" s="667"/>
      <c r="D4" s="667"/>
      <c r="E4" s="667"/>
      <c r="F4" s="667"/>
      <c r="G4" s="667"/>
      <c r="H4" s="667"/>
      <c r="I4" s="667"/>
      <c r="J4" s="667"/>
      <c r="K4" s="667"/>
      <c r="L4" s="667"/>
    </row>
    <row r="5" spans="1:12" ht="30" customHeight="1" x14ac:dyDescent="0.2">
      <c r="A5" s="24" t="s">
        <v>131</v>
      </c>
      <c r="B5" s="24" t="s">
        <v>238</v>
      </c>
      <c r="C5" s="24" t="s">
        <v>239</v>
      </c>
      <c r="D5" s="24" t="s">
        <v>240</v>
      </c>
      <c r="E5" s="24" t="s">
        <v>134</v>
      </c>
      <c r="F5" s="24" t="s">
        <v>135</v>
      </c>
      <c r="G5" s="24" t="s">
        <v>136</v>
      </c>
      <c r="H5" s="24" t="s">
        <v>241</v>
      </c>
      <c r="I5" s="24" t="s">
        <v>242</v>
      </c>
      <c r="J5" s="24" t="s">
        <v>243</v>
      </c>
      <c r="K5" s="24" t="s">
        <v>244</v>
      </c>
      <c r="L5" s="639" t="s">
        <v>581</v>
      </c>
    </row>
    <row r="6" spans="1:12" ht="19.5" customHeight="1" x14ac:dyDescent="0.2">
      <c r="A6" s="25">
        <v>1</v>
      </c>
      <c r="B6" s="149" t="s">
        <v>137</v>
      </c>
      <c r="C6" s="26"/>
      <c r="D6" s="19" t="s">
        <v>138</v>
      </c>
      <c r="E6" s="27">
        <f>'Emission Factors'!$D$6</f>
        <v>53.06</v>
      </c>
      <c r="F6" s="27">
        <f>'Emission Factors'!$E$6</f>
        <v>1</v>
      </c>
      <c r="G6" s="27">
        <f>'Emission Factors'!$F$6</f>
        <v>0.1</v>
      </c>
      <c r="H6" s="28">
        <f>C6*E6/1000</f>
        <v>0</v>
      </c>
      <c r="I6" s="28">
        <f>$C6*$F6*Assumptions!$E$25/1000000</f>
        <v>0</v>
      </c>
      <c r="J6" s="28">
        <f>$C6*G6*Assumptions!$E$27/1000000</f>
        <v>0</v>
      </c>
      <c r="K6" s="29">
        <f t="shared" ref="K6:K13" si="0">SUM(H6:J6)</f>
        <v>0</v>
      </c>
      <c r="L6" s="640">
        <v>2019</v>
      </c>
    </row>
    <row r="7" spans="1:12" ht="19.5" customHeight="1" x14ac:dyDescent="0.2">
      <c r="A7" s="25">
        <v>2</v>
      </c>
      <c r="B7" s="149" t="s">
        <v>146</v>
      </c>
      <c r="C7" s="26"/>
      <c r="D7" s="19" t="s">
        <v>138</v>
      </c>
      <c r="E7" s="27">
        <v>75.099999999999994</v>
      </c>
      <c r="F7" s="27">
        <v>3</v>
      </c>
      <c r="G7" s="27">
        <v>0.6</v>
      </c>
      <c r="H7" s="28">
        <f t="shared" ref="H7:H13" si="1">C7*E7/1000</f>
        <v>0</v>
      </c>
      <c r="I7" s="28">
        <f>$C7*$F7*Assumptions!$E$25/1000000</f>
        <v>0</v>
      </c>
      <c r="J7" s="28">
        <f>$C7*G7*Assumptions!$E$27/1000000</f>
        <v>0</v>
      </c>
      <c r="K7" s="29">
        <f t="shared" si="0"/>
        <v>0</v>
      </c>
      <c r="L7" s="640">
        <v>2019</v>
      </c>
    </row>
    <row r="8" spans="1:12" ht="19.5" customHeight="1" x14ac:dyDescent="0.2">
      <c r="A8" s="25">
        <v>3</v>
      </c>
      <c r="B8" s="149" t="s">
        <v>148</v>
      </c>
      <c r="C8" s="26"/>
      <c r="D8" s="19" t="s">
        <v>138</v>
      </c>
      <c r="E8" s="27">
        <v>93.28</v>
      </c>
      <c r="F8" s="27">
        <v>11</v>
      </c>
      <c r="G8" s="27">
        <v>1.6</v>
      </c>
      <c r="H8" s="28">
        <f t="shared" si="1"/>
        <v>0</v>
      </c>
      <c r="I8" s="28">
        <f>$C8*$F8*Assumptions!$E$25/1000000</f>
        <v>0</v>
      </c>
      <c r="J8" s="28">
        <f>$C8*G8*Assumptions!$E$27/1000000</f>
        <v>0</v>
      </c>
      <c r="K8" s="29">
        <f t="shared" si="0"/>
        <v>0</v>
      </c>
      <c r="L8" s="640">
        <v>2019</v>
      </c>
    </row>
    <row r="9" spans="1:12" ht="19.5" customHeight="1" x14ac:dyDescent="0.2">
      <c r="A9" s="25">
        <v>4</v>
      </c>
      <c r="B9" s="149" t="s">
        <v>245</v>
      </c>
      <c r="C9" s="26"/>
      <c r="D9" s="19" t="s">
        <v>138</v>
      </c>
      <c r="E9" s="27">
        <v>93.8</v>
      </c>
      <c r="F9" s="27">
        <v>7.2</v>
      </c>
      <c r="G9" s="27">
        <v>3.6</v>
      </c>
      <c r="H9" s="28">
        <f t="shared" si="1"/>
        <v>0</v>
      </c>
      <c r="I9" s="28">
        <f>$C9*$F9*Assumptions!$E$25/1000000</f>
        <v>0</v>
      </c>
      <c r="J9" s="28">
        <f>$C9*G9*Assumptions!$E$27/1000000</f>
        <v>0</v>
      </c>
      <c r="K9" s="29">
        <f t="shared" si="0"/>
        <v>0</v>
      </c>
      <c r="L9" s="640">
        <v>2019</v>
      </c>
    </row>
    <row r="10" spans="1:12" ht="19.5" customHeight="1" x14ac:dyDescent="0.2">
      <c r="A10" s="25">
        <v>5</v>
      </c>
      <c r="B10" s="149" t="s">
        <v>137</v>
      </c>
      <c r="C10" s="26"/>
      <c r="D10" s="19" t="s">
        <v>138</v>
      </c>
      <c r="E10" s="27">
        <f>'Emission Factors'!$D$6</f>
        <v>53.06</v>
      </c>
      <c r="F10" s="27">
        <f>'Emission Factors'!$E$6</f>
        <v>1</v>
      </c>
      <c r="G10" s="27">
        <f>'Emission Factors'!$F$6</f>
        <v>0.1</v>
      </c>
      <c r="H10" s="28">
        <f t="shared" si="1"/>
        <v>0</v>
      </c>
      <c r="I10" s="28">
        <f>$C10*$F10*Assumptions!$E$25/1000000</f>
        <v>0</v>
      </c>
      <c r="J10" s="28">
        <f>$C10*G10*Assumptions!$E$27/1000000</f>
        <v>0</v>
      </c>
      <c r="K10" s="29">
        <f t="shared" si="0"/>
        <v>0</v>
      </c>
      <c r="L10" s="640">
        <v>2020</v>
      </c>
    </row>
    <row r="11" spans="1:12" ht="19.5" customHeight="1" x14ac:dyDescent="0.2">
      <c r="A11" s="25">
        <v>6</v>
      </c>
      <c r="B11" s="149" t="s">
        <v>146</v>
      </c>
      <c r="C11" s="26"/>
      <c r="D11" s="19" t="s">
        <v>138</v>
      </c>
      <c r="E11" s="27">
        <v>75.099999999999994</v>
      </c>
      <c r="F11" s="27">
        <v>3</v>
      </c>
      <c r="G11" s="27">
        <v>0.6</v>
      </c>
      <c r="H11" s="28">
        <f t="shared" si="1"/>
        <v>0</v>
      </c>
      <c r="I11" s="28">
        <f>$C11*$F11*Assumptions!$E$25/1000000</f>
        <v>0</v>
      </c>
      <c r="J11" s="28">
        <f>$C11*G11*Assumptions!$E$27/1000000</f>
        <v>0</v>
      </c>
      <c r="K11" s="29">
        <f t="shared" si="0"/>
        <v>0</v>
      </c>
      <c r="L11" s="640">
        <v>2020</v>
      </c>
    </row>
    <row r="12" spans="1:12" ht="19.5" customHeight="1" x14ac:dyDescent="0.2">
      <c r="A12" s="25">
        <v>7</v>
      </c>
      <c r="B12" s="149" t="s">
        <v>148</v>
      </c>
      <c r="C12" s="26"/>
      <c r="D12" s="19" t="s">
        <v>138</v>
      </c>
      <c r="E12" s="27">
        <v>93.28</v>
      </c>
      <c r="F12" s="27">
        <v>11</v>
      </c>
      <c r="G12" s="27">
        <v>1.6</v>
      </c>
      <c r="H12" s="28">
        <f t="shared" si="1"/>
        <v>0</v>
      </c>
      <c r="I12" s="28">
        <f>$C12*$F12*Assumptions!$E$25/1000000</f>
        <v>0</v>
      </c>
      <c r="J12" s="28">
        <f>$C12*G12*Assumptions!$E$27/1000000</f>
        <v>0</v>
      </c>
      <c r="K12" s="29">
        <f t="shared" si="0"/>
        <v>0</v>
      </c>
      <c r="L12" s="640">
        <v>2020</v>
      </c>
    </row>
    <row r="13" spans="1:12" ht="19.5" customHeight="1" x14ac:dyDescent="0.2">
      <c r="A13" s="25">
        <v>8</v>
      </c>
      <c r="B13" s="149" t="s">
        <v>245</v>
      </c>
      <c r="C13" s="26"/>
      <c r="D13" s="19" t="s">
        <v>138</v>
      </c>
      <c r="E13" s="27">
        <v>93.8</v>
      </c>
      <c r="F13" s="27">
        <v>7.2</v>
      </c>
      <c r="G13" s="27">
        <v>3.6</v>
      </c>
      <c r="H13" s="28">
        <f t="shared" si="1"/>
        <v>0</v>
      </c>
      <c r="I13" s="28">
        <f>$C13*$F13*Assumptions!$E$25/1000000</f>
        <v>0</v>
      </c>
      <c r="J13" s="28">
        <f>$C13*G13*Assumptions!$E$27/1000000</f>
        <v>0</v>
      </c>
      <c r="K13" s="29">
        <f t="shared" si="0"/>
        <v>0</v>
      </c>
      <c r="L13" s="640">
        <v>2020</v>
      </c>
    </row>
    <row r="14" spans="1:12" ht="19.5" customHeight="1" x14ac:dyDescent="0.2">
      <c r="A14" s="25">
        <v>1</v>
      </c>
      <c r="B14" s="149" t="s">
        <v>137</v>
      </c>
      <c r="C14" s="26"/>
      <c r="D14" s="19" t="s">
        <v>138</v>
      </c>
      <c r="E14" s="27">
        <f>'Emission Factors'!$D$6</f>
        <v>53.06</v>
      </c>
      <c r="F14" s="27">
        <f>'Emission Factors'!$E$6</f>
        <v>1</v>
      </c>
      <c r="G14" s="27">
        <f>'Emission Factors'!$F$6</f>
        <v>0.1</v>
      </c>
      <c r="H14" s="28">
        <f>C14*E14/1000</f>
        <v>0</v>
      </c>
      <c r="I14" s="28">
        <f>$C14*$F14*Assumptions!$E$25/1000000</f>
        <v>0</v>
      </c>
      <c r="J14" s="28">
        <f>$C14*G14*Assumptions!$E$27/1000000</f>
        <v>0</v>
      </c>
      <c r="K14" s="29">
        <f t="shared" ref="K14:K21" si="2">SUM(H14:J14)</f>
        <v>0</v>
      </c>
      <c r="L14" s="640">
        <v>2021</v>
      </c>
    </row>
    <row r="15" spans="1:12" ht="19.5" customHeight="1" x14ac:dyDescent="0.2">
      <c r="A15" s="25">
        <v>2</v>
      </c>
      <c r="B15" s="149" t="s">
        <v>146</v>
      </c>
      <c r="C15" s="26"/>
      <c r="D15" s="19" t="s">
        <v>138</v>
      </c>
      <c r="E15" s="27">
        <v>75.099999999999994</v>
      </c>
      <c r="F15" s="27">
        <v>3</v>
      </c>
      <c r="G15" s="27">
        <v>0.6</v>
      </c>
      <c r="H15" s="28">
        <f t="shared" ref="H15:H21" si="3">C15*E15/1000</f>
        <v>0</v>
      </c>
      <c r="I15" s="28">
        <f>$C15*$F15*Assumptions!$E$25/1000000</f>
        <v>0</v>
      </c>
      <c r="J15" s="28">
        <f>$C15*G15*Assumptions!$E$27/1000000</f>
        <v>0</v>
      </c>
      <c r="K15" s="29">
        <f t="shared" si="2"/>
        <v>0</v>
      </c>
      <c r="L15" s="640">
        <v>2021</v>
      </c>
    </row>
    <row r="16" spans="1:12" ht="19.5" customHeight="1" x14ac:dyDescent="0.2">
      <c r="A16" s="25">
        <v>3</v>
      </c>
      <c r="B16" s="149" t="s">
        <v>148</v>
      </c>
      <c r="C16" s="26"/>
      <c r="D16" s="19" t="s">
        <v>138</v>
      </c>
      <c r="E16" s="27">
        <v>93.28</v>
      </c>
      <c r="F16" s="27">
        <v>11</v>
      </c>
      <c r="G16" s="27">
        <v>1.6</v>
      </c>
      <c r="H16" s="28">
        <f t="shared" si="3"/>
        <v>0</v>
      </c>
      <c r="I16" s="28">
        <f>$C16*$F16*Assumptions!$E$25/1000000</f>
        <v>0</v>
      </c>
      <c r="J16" s="28">
        <f>$C16*G16*Assumptions!$E$27/1000000</f>
        <v>0</v>
      </c>
      <c r="K16" s="29">
        <f t="shared" si="2"/>
        <v>0</v>
      </c>
      <c r="L16" s="640">
        <v>2021</v>
      </c>
    </row>
    <row r="17" spans="1:12" ht="19.5" customHeight="1" x14ac:dyDescent="0.2">
      <c r="A17" s="25">
        <v>4</v>
      </c>
      <c r="B17" s="149" t="s">
        <v>245</v>
      </c>
      <c r="C17" s="26"/>
      <c r="D17" s="19" t="s">
        <v>138</v>
      </c>
      <c r="E17" s="27">
        <v>93.8</v>
      </c>
      <c r="F17" s="27">
        <v>7.2</v>
      </c>
      <c r="G17" s="27">
        <v>3.6</v>
      </c>
      <c r="H17" s="28">
        <f t="shared" si="3"/>
        <v>0</v>
      </c>
      <c r="I17" s="28">
        <f>$C17*$F17*Assumptions!$E$25/1000000</f>
        <v>0</v>
      </c>
      <c r="J17" s="28">
        <f>$C17*G17*Assumptions!$E$27/1000000</f>
        <v>0</v>
      </c>
      <c r="K17" s="29">
        <f t="shared" si="2"/>
        <v>0</v>
      </c>
      <c r="L17" s="640">
        <v>2021</v>
      </c>
    </row>
    <row r="18" spans="1:12" ht="19.5" customHeight="1" x14ac:dyDescent="0.2">
      <c r="A18" s="25">
        <v>5</v>
      </c>
      <c r="B18" s="149" t="s">
        <v>137</v>
      </c>
      <c r="C18" s="26"/>
      <c r="D18" s="19" t="s">
        <v>138</v>
      </c>
      <c r="E18" s="27">
        <f>'Emission Factors'!D2</f>
        <v>0</v>
      </c>
      <c r="F18" s="27">
        <f>'Emission Factors'!E2</f>
        <v>0</v>
      </c>
      <c r="G18" s="27">
        <f>'Emission Factors'!F2</f>
        <v>0</v>
      </c>
      <c r="H18" s="28">
        <f t="shared" si="3"/>
        <v>0</v>
      </c>
      <c r="I18" s="28">
        <f>$C18*$F18*Assumptions!$E$25/1000000</f>
        <v>0</v>
      </c>
      <c r="J18" s="28">
        <f>$C18*G18*Assumptions!$E$27/1000000</f>
        <v>0</v>
      </c>
      <c r="K18" s="29">
        <f t="shared" si="2"/>
        <v>0</v>
      </c>
      <c r="L18" s="640">
        <v>2022</v>
      </c>
    </row>
    <row r="19" spans="1:12" ht="19.5" customHeight="1" x14ac:dyDescent="0.2">
      <c r="A19" s="25">
        <v>6</v>
      </c>
      <c r="B19" s="149" t="s">
        <v>146</v>
      </c>
      <c r="C19" s="26"/>
      <c r="D19" s="19" t="s">
        <v>138</v>
      </c>
      <c r="E19" s="27">
        <v>75.099999999999994</v>
      </c>
      <c r="F19" s="27">
        <v>3</v>
      </c>
      <c r="G19" s="27">
        <v>0.6</v>
      </c>
      <c r="H19" s="28">
        <f t="shared" si="3"/>
        <v>0</v>
      </c>
      <c r="I19" s="28">
        <f>$C19*$F19*Assumptions!$E$25/1000000</f>
        <v>0</v>
      </c>
      <c r="J19" s="28">
        <f>$C19*G19*Assumptions!$E$27/1000000</f>
        <v>0</v>
      </c>
      <c r="K19" s="29">
        <f t="shared" si="2"/>
        <v>0</v>
      </c>
      <c r="L19" s="640">
        <v>2022</v>
      </c>
    </row>
    <row r="20" spans="1:12" ht="19.5" customHeight="1" x14ac:dyDescent="0.2">
      <c r="A20" s="25">
        <v>7</v>
      </c>
      <c r="B20" s="149" t="s">
        <v>148</v>
      </c>
      <c r="C20" s="26"/>
      <c r="D20" s="19" t="s">
        <v>138</v>
      </c>
      <c r="E20" s="27">
        <v>93.28</v>
      </c>
      <c r="F20" s="27">
        <v>11</v>
      </c>
      <c r="G20" s="27">
        <v>1.6</v>
      </c>
      <c r="H20" s="28">
        <f t="shared" si="3"/>
        <v>0</v>
      </c>
      <c r="I20" s="28">
        <f>$C20*$F20*Assumptions!$E$25/1000000</f>
        <v>0</v>
      </c>
      <c r="J20" s="28">
        <f>$C20*G20*Assumptions!$E$27/1000000</f>
        <v>0</v>
      </c>
      <c r="K20" s="29">
        <f t="shared" si="2"/>
        <v>0</v>
      </c>
      <c r="L20" s="640">
        <v>2022</v>
      </c>
    </row>
    <row r="21" spans="1:12" ht="19.5" customHeight="1" x14ac:dyDescent="0.2">
      <c r="A21" s="25">
        <v>8</v>
      </c>
      <c r="B21" s="149" t="s">
        <v>245</v>
      </c>
      <c r="C21" s="26"/>
      <c r="D21" s="19" t="s">
        <v>138</v>
      </c>
      <c r="E21" s="27">
        <v>93.8</v>
      </c>
      <c r="F21" s="27">
        <v>7.2</v>
      </c>
      <c r="G21" s="27">
        <v>3.6</v>
      </c>
      <c r="H21" s="28">
        <f t="shared" si="3"/>
        <v>0</v>
      </c>
      <c r="I21" s="28">
        <f>$C21*$F21*Assumptions!$E$25/1000000</f>
        <v>0</v>
      </c>
      <c r="J21" s="28">
        <f>$C21*G21*Assumptions!$E$27/1000000</f>
        <v>0</v>
      </c>
      <c r="K21" s="29">
        <f t="shared" si="2"/>
        <v>0</v>
      </c>
      <c r="L21" s="640">
        <v>2022</v>
      </c>
    </row>
    <row r="22" spans="1:12" ht="19.5" customHeight="1" x14ac:dyDescent="0.2">
      <c r="A22" s="25">
        <v>1</v>
      </c>
      <c r="B22" s="149" t="s">
        <v>137</v>
      </c>
      <c r="C22" s="26">
        <v>86064639</v>
      </c>
      <c r="D22" s="19" t="s">
        <v>138</v>
      </c>
      <c r="E22" s="27">
        <f>'Emission Factors'!$D$6</f>
        <v>53.06</v>
      </c>
      <c r="F22" s="27">
        <f>'Emission Factors'!$E$6</f>
        <v>1</v>
      </c>
      <c r="G22" s="27">
        <f>'Emission Factors'!$F$6</f>
        <v>0.1</v>
      </c>
      <c r="H22" s="28">
        <f>C22*E22/1000</f>
        <v>4566589.7453399999</v>
      </c>
      <c r="I22" s="28">
        <f>$C22*$F22*Assumptions!$E$25/1000000</f>
        <v>2564.7262422000003</v>
      </c>
      <c r="J22" s="28">
        <f>$C22*G22*Assumptions!$E$27/1000000</f>
        <v>2349.5646447000004</v>
      </c>
      <c r="K22" s="29">
        <f t="shared" ref="K22:K29" si="4">SUM(H22:J22)</f>
        <v>4571504.0362268994</v>
      </c>
      <c r="L22" s="640">
        <v>2023</v>
      </c>
    </row>
    <row r="23" spans="1:12" ht="19.5" customHeight="1" x14ac:dyDescent="0.2">
      <c r="A23" s="25">
        <v>2</v>
      </c>
      <c r="B23" s="149" t="s">
        <v>146</v>
      </c>
      <c r="C23" s="26">
        <v>1890395</v>
      </c>
      <c r="D23" s="19" t="s">
        <v>138</v>
      </c>
      <c r="E23" s="27">
        <v>75.099999999999994</v>
      </c>
      <c r="F23" s="27">
        <v>3</v>
      </c>
      <c r="G23" s="27">
        <v>0.6</v>
      </c>
      <c r="H23" s="28">
        <f t="shared" ref="H23:H29" si="5">C23*E23/1000</f>
        <v>141968.66450000001</v>
      </c>
      <c r="I23" s="28">
        <f>$C23*$F23*Assumptions!$E$25/1000000</f>
        <v>169.00131300000001</v>
      </c>
      <c r="J23" s="28">
        <f>$C23*G23*Assumptions!$E$27/1000000</f>
        <v>309.64670100000001</v>
      </c>
      <c r="K23" s="29">
        <f t="shared" si="4"/>
        <v>142447.31251399999</v>
      </c>
      <c r="L23" s="640">
        <v>2023</v>
      </c>
    </row>
    <row r="24" spans="1:12" ht="19.5" customHeight="1" x14ac:dyDescent="0.2">
      <c r="A24" s="25">
        <v>3</v>
      </c>
      <c r="B24" s="149" t="s">
        <v>148</v>
      </c>
      <c r="C24" s="26">
        <v>14017876</v>
      </c>
      <c r="D24" s="19" t="s">
        <v>138</v>
      </c>
      <c r="E24" s="27">
        <v>93.28</v>
      </c>
      <c r="F24" s="27">
        <v>11</v>
      </c>
      <c r="G24" s="27">
        <v>1.6</v>
      </c>
      <c r="H24" s="28">
        <f t="shared" si="5"/>
        <v>1307587.47328</v>
      </c>
      <c r="I24" s="28">
        <f>$C24*$F24*Assumptions!$E$25/1000000</f>
        <v>4595.0597527999998</v>
      </c>
      <c r="J24" s="28">
        <f>$C24*G24*Assumptions!$E$27/1000000</f>
        <v>6123.0082368000003</v>
      </c>
      <c r="K24" s="29">
        <f t="shared" si="4"/>
        <v>1318305.5412696002</v>
      </c>
      <c r="L24" s="640">
        <v>2023</v>
      </c>
    </row>
    <row r="25" spans="1:12" ht="19.5" customHeight="1" x14ac:dyDescent="0.2">
      <c r="A25" s="25">
        <v>4</v>
      </c>
      <c r="B25" s="149" t="s">
        <v>245</v>
      </c>
      <c r="C25" s="26">
        <v>166526977</v>
      </c>
      <c r="D25" s="19" t="s">
        <v>138</v>
      </c>
      <c r="E25" s="27">
        <v>93.8</v>
      </c>
      <c r="F25" s="27">
        <v>7.2</v>
      </c>
      <c r="G25" s="27">
        <v>3.6</v>
      </c>
      <c r="H25" s="28">
        <f t="shared" si="5"/>
        <v>15620230.442600001</v>
      </c>
      <c r="I25" s="28">
        <f>$C25*$F25*Assumptions!$E$25/1000000</f>
        <v>35730.028185120005</v>
      </c>
      <c r="J25" s="28">
        <f>$C25*G25*Assumptions!$E$27/1000000</f>
        <v>163662.71299560001</v>
      </c>
      <c r="K25" s="29">
        <f t="shared" si="4"/>
        <v>15819623.18378072</v>
      </c>
      <c r="L25" s="640">
        <v>2023</v>
      </c>
    </row>
    <row r="26" spans="1:12" ht="19.5" customHeight="1" x14ac:dyDescent="0.2">
      <c r="A26" s="25">
        <v>5</v>
      </c>
      <c r="B26" s="149" t="s">
        <v>137</v>
      </c>
      <c r="C26" s="26">
        <v>86013345</v>
      </c>
      <c r="D26" s="19" t="s">
        <v>138</v>
      </c>
      <c r="E26" s="27">
        <f>'Emission Factors'!D10</f>
        <v>2.6629999999999998</v>
      </c>
      <c r="F26" s="27">
        <f>'Emission Factors'!E10</f>
        <v>0.13900000000000001</v>
      </c>
      <c r="G26" s="27">
        <f>'Emission Factors'!F10</f>
        <v>1.4E-2</v>
      </c>
      <c r="H26" s="28">
        <f t="shared" si="5"/>
        <v>229053.53773499999</v>
      </c>
      <c r="I26" s="28">
        <f>$C26*$F26*Assumptions!$E$25/1000000</f>
        <v>356.28447765900006</v>
      </c>
      <c r="J26" s="28">
        <f>$C26*G26*Assumptions!$E$27/1000000</f>
        <v>328.74300459000006</v>
      </c>
      <c r="K26" s="29">
        <f t="shared" si="4"/>
        <v>229738.56521724901</v>
      </c>
      <c r="L26" s="640">
        <v>2024</v>
      </c>
    </row>
    <row r="27" spans="1:12" ht="19.5" customHeight="1" x14ac:dyDescent="0.2">
      <c r="A27" s="25">
        <v>6</v>
      </c>
      <c r="B27" s="149" t="s">
        <v>146</v>
      </c>
      <c r="C27" s="26">
        <v>1316148</v>
      </c>
      <c r="D27" s="19" t="s">
        <v>138</v>
      </c>
      <c r="E27" s="27">
        <v>75.099999999999994</v>
      </c>
      <c r="F27" s="27">
        <v>3</v>
      </c>
      <c r="G27" s="27">
        <v>0.6</v>
      </c>
      <c r="H27" s="28">
        <f t="shared" si="5"/>
        <v>98842.714800000002</v>
      </c>
      <c r="I27" s="28">
        <f>$C27*$F27*Assumptions!$E$25/1000000</f>
        <v>117.6636312</v>
      </c>
      <c r="J27" s="28">
        <f>$C27*G27*Assumptions!$E$27/1000000</f>
        <v>215.58504239999996</v>
      </c>
      <c r="K27" s="29">
        <f t="shared" si="4"/>
        <v>99175.963473600001</v>
      </c>
      <c r="L27" s="640">
        <v>2024</v>
      </c>
    </row>
    <row r="28" spans="1:12" ht="19.5" customHeight="1" x14ac:dyDescent="0.2">
      <c r="A28" s="25">
        <v>7</v>
      </c>
      <c r="B28" s="149" t="s">
        <v>148</v>
      </c>
      <c r="C28" s="26">
        <v>9748199</v>
      </c>
      <c r="D28" s="19" t="s">
        <v>138</v>
      </c>
      <c r="E28" s="27">
        <v>93.28</v>
      </c>
      <c r="F28" s="27">
        <v>11</v>
      </c>
      <c r="G28" s="27">
        <v>1.6</v>
      </c>
      <c r="H28" s="28">
        <f t="shared" si="5"/>
        <v>909312.00271999999</v>
      </c>
      <c r="I28" s="28">
        <f>$C28*$F28*Assumptions!$E$25/1000000</f>
        <v>3195.4596322000002</v>
      </c>
      <c r="J28" s="28">
        <f>$C28*G28*Assumptions!$E$27/1000000</f>
        <v>4258.0133231999998</v>
      </c>
      <c r="K28" s="29">
        <f t="shared" si="4"/>
        <v>916765.4756754</v>
      </c>
      <c r="L28" s="640">
        <v>2024</v>
      </c>
    </row>
    <row r="29" spans="1:12" ht="19.5" customHeight="1" x14ac:dyDescent="0.2">
      <c r="A29" s="25">
        <v>8</v>
      </c>
      <c r="B29" s="149" t="s">
        <v>245</v>
      </c>
      <c r="C29" s="26">
        <v>160000000</v>
      </c>
      <c r="D29" s="19" t="s">
        <v>138</v>
      </c>
      <c r="E29" s="27">
        <v>93.8</v>
      </c>
      <c r="F29" s="27">
        <v>7.2</v>
      </c>
      <c r="G29" s="27">
        <v>3.6</v>
      </c>
      <c r="H29" s="28">
        <f t="shared" si="5"/>
        <v>15008000</v>
      </c>
      <c r="I29" s="28">
        <f>$C29*$F29*Assumptions!$E$25/1000000</f>
        <v>34329.599999999999</v>
      </c>
      <c r="J29" s="28">
        <f>$C29*G29*Assumptions!$E$27/1000000</f>
        <v>157248</v>
      </c>
      <c r="K29" s="29">
        <f t="shared" si="4"/>
        <v>15199577.6</v>
      </c>
      <c r="L29" s="640">
        <v>2024</v>
      </c>
    </row>
    <row r="30" spans="1:12" ht="21.75" customHeight="1" x14ac:dyDescent="0.2">
      <c r="A30" s="30"/>
      <c r="B30" s="163" t="s">
        <v>246</v>
      </c>
      <c r="C30" s="30"/>
      <c r="D30" s="30"/>
      <c r="E30" s="30"/>
      <c r="F30" s="30"/>
      <c r="G30" s="30"/>
      <c r="H30" s="31">
        <f>SUM(H22:H29)</f>
        <v>37881584.580974996</v>
      </c>
      <c r="I30" s="31">
        <f>SUM(I22:I29)</f>
        <v>81057.823234178999</v>
      </c>
      <c r="J30" s="31">
        <f>SUM(J22:J29)</f>
        <v>334495.27394829004</v>
      </c>
      <c r="K30" s="31">
        <f>SUM(K22:K29)</f>
        <v>38297137.678157471</v>
      </c>
    </row>
    <row r="32" spans="1:12" ht="21.75" customHeight="1" x14ac:dyDescent="0.2">
      <c r="A32" s="662" t="s">
        <v>247</v>
      </c>
      <c r="B32" s="644"/>
      <c r="C32" s="644"/>
      <c r="D32" s="644"/>
      <c r="E32" s="644"/>
      <c r="F32" s="644"/>
      <c r="G32" s="644"/>
      <c r="H32" s="644"/>
      <c r="I32" s="644"/>
      <c r="J32" s="644"/>
      <c r="K32" s="644"/>
    </row>
    <row r="33" spans="1:11" ht="30" customHeight="1" x14ac:dyDescent="0.2">
      <c r="A33" s="32" t="s">
        <v>131</v>
      </c>
      <c r="B33" s="32" t="s">
        <v>248</v>
      </c>
      <c r="C33" s="32" t="s">
        <v>239</v>
      </c>
      <c r="D33" s="32" t="s">
        <v>240</v>
      </c>
      <c r="E33" s="32" t="s">
        <v>134</v>
      </c>
      <c r="F33" s="32" t="s">
        <v>249</v>
      </c>
      <c r="G33" s="32" t="s">
        <v>136</v>
      </c>
      <c r="H33" s="32" t="s">
        <v>241</v>
      </c>
      <c r="I33" s="32" t="s">
        <v>242</v>
      </c>
      <c r="J33" s="32" t="s">
        <v>243</v>
      </c>
      <c r="K33" s="32" t="s">
        <v>244</v>
      </c>
    </row>
    <row r="34" spans="1:11" ht="19.5" customHeight="1" x14ac:dyDescent="0.2">
      <c r="A34" s="33">
        <v>1</v>
      </c>
      <c r="B34" s="34" t="s">
        <v>250</v>
      </c>
      <c r="C34" s="26"/>
      <c r="D34" s="19" t="s">
        <v>251</v>
      </c>
      <c r="E34" s="27">
        <v>2.35</v>
      </c>
      <c r="F34" s="27">
        <v>0.1</v>
      </c>
      <c r="G34" s="27">
        <v>0.02</v>
      </c>
      <c r="H34" s="28">
        <f t="shared" ref="H34:H40" si="6">C34*E34/1000</f>
        <v>0</v>
      </c>
      <c r="I34" s="28">
        <f>C34*F34/1000000*Assumptions!E25*1000</f>
        <v>0</v>
      </c>
      <c r="J34" s="28">
        <f>C34*G34/1000000*Assumptions!E27*1000</f>
        <v>0</v>
      </c>
      <c r="K34" s="29">
        <f t="shared" ref="K34:K40" si="7">H34+I34+J34</f>
        <v>0</v>
      </c>
    </row>
    <row r="35" spans="1:11" ht="19.5" customHeight="1" x14ac:dyDescent="0.2">
      <c r="A35" s="33">
        <v>2</v>
      </c>
      <c r="B35" s="35" t="s">
        <v>252</v>
      </c>
      <c r="C35" s="26"/>
      <c r="D35" s="19" t="s">
        <v>251</v>
      </c>
      <c r="E35" s="27">
        <v>2.35</v>
      </c>
      <c r="F35" s="27">
        <v>0.1</v>
      </c>
      <c r="G35" s="27">
        <v>0.02</v>
      </c>
      <c r="H35" s="28">
        <f t="shared" si="6"/>
        <v>0</v>
      </c>
      <c r="I35" s="28">
        <f>C35*F35/1000000*Assumptions!E25*1000</f>
        <v>0</v>
      </c>
      <c r="J35" s="28">
        <f>C35*G35/1000000*Assumptions!E27*1000</f>
        <v>0</v>
      </c>
      <c r="K35" s="29">
        <f t="shared" si="7"/>
        <v>0</v>
      </c>
    </row>
    <row r="36" spans="1:11" ht="19.5" customHeight="1" x14ac:dyDescent="0.2">
      <c r="A36" s="33">
        <v>3</v>
      </c>
      <c r="B36" s="34" t="s">
        <v>253</v>
      </c>
      <c r="C36" s="26"/>
      <c r="D36" s="19" t="s">
        <v>251</v>
      </c>
      <c r="E36" s="27">
        <v>2.69</v>
      </c>
      <c r="F36" s="27">
        <v>0.11</v>
      </c>
      <c r="G36" s="27">
        <v>0.02</v>
      </c>
      <c r="H36" s="28">
        <f t="shared" si="6"/>
        <v>0</v>
      </c>
      <c r="I36" s="28">
        <f>C36*F36/1000000*Assumptions!E25*1000</f>
        <v>0</v>
      </c>
      <c r="J36" s="28">
        <f>C36*G36/1000000*Assumptions!E27*1000</f>
        <v>0</v>
      </c>
      <c r="K36" s="29">
        <f t="shared" si="7"/>
        <v>0</v>
      </c>
    </row>
    <row r="37" spans="1:11" ht="19.5" customHeight="1" x14ac:dyDescent="0.2">
      <c r="A37" s="33">
        <v>4</v>
      </c>
      <c r="B37" s="35" t="s">
        <v>254</v>
      </c>
      <c r="C37" s="26"/>
      <c r="D37" s="19" t="s">
        <v>251</v>
      </c>
      <c r="E37" s="27">
        <v>2.69</v>
      </c>
      <c r="F37" s="27">
        <v>0.11</v>
      </c>
      <c r="G37" s="27">
        <v>0.02</v>
      </c>
      <c r="H37" s="28">
        <f t="shared" si="6"/>
        <v>0</v>
      </c>
      <c r="I37" s="28">
        <f>C37*F37/1000000*Assumptions!E25*1000</f>
        <v>0</v>
      </c>
      <c r="J37" s="28">
        <f>C37*G37/1000000*Assumptions!E27*1000</f>
        <v>0</v>
      </c>
      <c r="K37" s="29">
        <f t="shared" si="7"/>
        <v>0</v>
      </c>
    </row>
    <row r="38" spans="1:11" ht="19.5" customHeight="1" x14ac:dyDescent="0.2">
      <c r="A38" s="33">
        <v>5</v>
      </c>
      <c r="B38" s="34" t="s">
        <v>167</v>
      </c>
      <c r="C38" s="26"/>
      <c r="D38" s="19" t="s">
        <v>168</v>
      </c>
      <c r="E38" s="27">
        <v>56.1</v>
      </c>
      <c r="F38" s="27">
        <v>0.95</v>
      </c>
      <c r="G38" s="27">
        <v>0.1</v>
      </c>
      <c r="H38" s="28">
        <f t="shared" si="6"/>
        <v>0</v>
      </c>
      <c r="I38" s="28">
        <f>C38*F38/1000000*Assumptions!E25*1000</f>
        <v>0</v>
      </c>
      <c r="J38" s="28">
        <f>C38*G38/1000000*Assumptions!E27*1000</f>
        <v>0</v>
      </c>
      <c r="K38" s="29">
        <f t="shared" si="7"/>
        <v>0</v>
      </c>
    </row>
    <row r="39" spans="1:11" ht="19.5" customHeight="1" x14ac:dyDescent="0.2">
      <c r="A39" s="33">
        <v>6</v>
      </c>
      <c r="B39" s="35" t="s">
        <v>255</v>
      </c>
      <c r="C39" s="26"/>
      <c r="D39" s="19" t="s">
        <v>251</v>
      </c>
      <c r="E39" s="27">
        <v>2.54</v>
      </c>
      <c r="F39" s="27">
        <v>0.11</v>
      </c>
      <c r="G39" s="27">
        <v>0.02</v>
      </c>
      <c r="H39" s="28">
        <f t="shared" si="6"/>
        <v>0</v>
      </c>
      <c r="I39" s="28">
        <f>C39*F39/1000000*Assumptions!E25*1000</f>
        <v>0</v>
      </c>
      <c r="J39" s="28">
        <f>C39*G39/1000000*Assumptions!E27*1000</f>
        <v>0</v>
      </c>
      <c r="K39" s="29">
        <f t="shared" si="7"/>
        <v>0</v>
      </c>
    </row>
    <row r="40" spans="1:11" ht="19.5" customHeight="1" x14ac:dyDescent="0.2">
      <c r="A40" s="33">
        <v>7</v>
      </c>
      <c r="B40" s="34" t="s">
        <v>256</v>
      </c>
      <c r="C40" s="26"/>
      <c r="D40" s="19" t="s">
        <v>257</v>
      </c>
      <c r="E40" s="27">
        <v>0</v>
      </c>
      <c r="F40" s="27">
        <v>0</v>
      </c>
      <c r="G40" s="27">
        <v>0</v>
      </c>
      <c r="H40" s="28">
        <f t="shared" si="6"/>
        <v>0</v>
      </c>
      <c r="I40" s="28">
        <f>C40*F40/1000000*Assumptions!E25*1000</f>
        <v>0</v>
      </c>
      <c r="J40" s="28">
        <f>C40*G40/1000000*Assumptions!E27*1000</f>
        <v>0</v>
      </c>
      <c r="K40" s="29">
        <f t="shared" si="7"/>
        <v>0</v>
      </c>
    </row>
    <row r="41" spans="1:11" ht="21.75" customHeight="1" x14ac:dyDescent="0.2">
      <c r="A41" s="36"/>
      <c r="B41" s="20" t="s">
        <v>258</v>
      </c>
      <c r="C41" s="36"/>
      <c r="D41" s="36"/>
      <c r="E41" s="36"/>
      <c r="F41" s="36"/>
      <c r="G41" s="36"/>
      <c r="H41" s="37">
        <f>SUM(H34:H40)</f>
        <v>0</v>
      </c>
      <c r="I41" s="37">
        <f>SUM(I34:I40)</f>
        <v>0</v>
      </c>
      <c r="J41" s="37">
        <f>SUM(J34:J40)</f>
        <v>0</v>
      </c>
      <c r="K41" s="37">
        <f>SUM(K34:K40)</f>
        <v>0</v>
      </c>
    </row>
    <row r="43" spans="1:11" ht="21.75" customHeight="1" x14ac:dyDescent="0.2">
      <c r="A43" s="666" t="s">
        <v>259</v>
      </c>
      <c r="B43" s="644"/>
      <c r="C43" s="644"/>
      <c r="D43" s="644"/>
      <c r="E43" s="644"/>
      <c r="F43" s="644"/>
      <c r="G43" s="644"/>
      <c r="H43" s="644"/>
      <c r="I43" s="644"/>
      <c r="J43" s="644"/>
      <c r="K43" s="644"/>
    </row>
    <row r="44" spans="1:11" ht="30" customHeight="1" x14ac:dyDescent="0.2">
      <c r="A44" s="38" t="s">
        <v>131</v>
      </c>
      <c r="B44" s="38" t="s">
        <v>260</v>
      </c>
      <c r="C44" s="38" t="s">
        <v>261</v>
      </c>
      <c r="D44" s="38" t="s">
        <v>133</v>
      </c>
      <c r="E44" s="38" t="s">
        <v>262</v>
      </c>
      <c r="F44" s="38"/>
      <c r="G44" s="38"/>
      <c r="H44" s="38"/>
      <c r="I44" s="38"/>
      <c r="J44" s="38"/>
      <c r="K44" s="38" t="s">
        <v>244</v>
      </c>
    </row>
    <row r="45" spans="1:11" ht="19.5" customHeight="1" x14ac:dyDescent="0.2">
      <c r="A45" s="39">
        <v>1</v>
      </c>
      <c r="B45" s="40" t="s">
        <v>263</v>
      </c>
      <c r="C45" s="26"/>
      <c r="D45" s="19" t="s">
        <v>264</v>
      </c>
      <c r="E45" s="19">
        <v>1430</v>
      </c>
      <c r="F45" s="41"/>
      <c r="G45" s="41"/>
      <c r="H45" s="41"/>
      <c r="I45" s="41"/>
      <c r="K45" s="29">
        <f t="shared" ref="K45:K50" si="8">C45*E45/1000</f>
        <v>0</v>
      </c>
    </row>
    <row r="46" spans="1:11" ht="19.5" customHeight="1" x14ac:dyDescent="0.2">
      <c r="A46" s="39">
        <v>2</v>
      </c>
      <c r="B46" s="42" t="s">
        <v>265</v>
      </c>
      <c r="C46" s="26"/>
      <c r="D46" s="19" t="s">
        <v>264</v>
      </c>
      <c r="E46" s="19">
        <v>2088</v>
      </c>
      <c r="F46" s="41"/>
      <c r="G46" s="41"/>
      <c r="H46" s="41"/>
      <c r="I46" s="41"/>
      <c r="K46" s="29">
        <f t="shared" si="8"/>
        <v>0</v>
      </c>
    </row>
    <row r="47" spans="1:11" ht="19.5" customHeight="1" x14ac:dyDescent="0.2">
      <c r="A47" s="39">
        <v>3</v>
      </c>
      <c r="B47" s="40" t="s">
        <v>266</v>
      </c>
      <c r="C47" s="26"/>
      <c r="D47" s="19" t="s">
        <v>264</v>
      </c>
      <c r="E47" s="19">
        <v>22800</v>
      </c>
      <c r="F47" s="41"/>
      <c r="G47" s="41"/>
      <c r="H47" s="41"/>
      <c r="I47" s="41"/>
      <c r="K47" s="29">
        <f t="shared" si="8"/>
        <v>0</v>
      </c>
    </row>
    <row r="48" spans="1:11" ht="19.5" customHeight="1" x14ac:dyDescent="0.2">
      <c r="A48" s="39">
        <v>4</v>
      </c>
      <c r="B48" s="42" t="s">
        <v>267</v>
      </c>
      <c r="C48" s="26"/>
      <c r="D48" s="19" t="s">
        <v>264</v>
      </c>
      <c r="E48" s="19">
        <v>25</v>
      </c>
      <c r="F48" s="41"/>
      <c r="G48" s="41"/>
      <c r="H48" s="41"/>
      <c r="I48" s="41"/>
      <c r="K48" s="29">
        <f t="shared" si="8"/>
        <v>0</v>
      </c>
    </row>
    <row r="49" spans="1:11" ht="19.5" customHeight="1" x14ac:dyDescent="0.2">
      <c r="A49" s="39">
        <v>5</v>
      </c>
      <c r="B49" s="40" t="s">
        <v>268</v>
      </c>
      <c r="C49" s="26"/>
      <c r="D49" s="19" t="s">
        <v>264</v>
      </c>
      <c r="E49" s="19">
        <v>1</v>
      </c>
      <c r="F49" s="41"/>
      <c r="G49" s="41"/>
      <c r="H49" s="41"/>
      <c r="I49" s="41"/>
      <c r="K49" s="29">
        <f t="shared" si="8"/>
        <v>0</v>
      </c>
    </row>
    <row r="50" spans="1:11" ht="19.5" customHeight="1" x14ac:dyDescent="0.2">
      <c r="A50" s="39">
        <v>6</v>
      </c>
      <c r="B50" s="42" t="s">
        <v>269</v>
      </c>
      <c r="C50" s="26"/>
      <c r="D50" s="19" t="s">
        <v>264</v>
      </c>
      <c r="E50" s="19">
        <v>0</v>
      </c>
      <c r="F50" s="41"/>
      <c r="G50" s="41"/>
      <c r="H50" s="41"/>
      <c r="I50" s="41"/>
      <c r="K50" s="29">
        <f t="shared" si="8"/>
        <v>0</v>
      </c>
    </row>
    <row r="51" spans="1:11" ht="21.75" customHeight="1" x14ac:dyDescent="0.2">
      <c r="A51" s="43"/>
      <c r="B51" s="44" t="s">
        <v>270</v>
      </c>
      <c r="C51" s="43"/>
      <c r="D51" s="43"/>
      <c r="E51" s="43"/>
      <c r="F51" s="43"/>
      <c r="G51" s="43"/>
      <c r="H51" s="43"/>
      <c r="I51" s="43"/>
      <c r="J51" s="43"/>
      <c r="K51" s="45">
        <f>SUM(K45:K50)</f>
        <v>0</v>
      </c>
    </row>
    <row r="53" spans="1:11" ht="27.75" customHeight="1" x14ac:dyDescent="0.2">
      <c r="A53" s="663" t="s">
        <v>271</v>
      </c>
      <c r="B53" s="642"/>
      <c r="C53" s="642"/>
      <c r="D53" s="642"/>
      <c r="E53" s="642"/>
      <c r="F53" s="642"/>
      <c r="G53" s="642"/>
      <c r="H53" s="642"/>
      <c r="I53" s="642"/>
      <c r="J53" s="642"/>
      <c r="K53" s="46">
        <f>K51+K41+K30</f>
        <v>38297137.678157471</v>
      </c>
    </row>
    <row r="54" spans="1:11" x14ac:dyDescent="0.2">
      <c r="B54" s="168" t="s">
        <v>272</v>
      </c>
      <c r="J54" s="407"/>
      <c r="K54" s="407" t="s">
        <v>273</v>
      </c>
    </row>
    <row r="55" spans="1:11" x14ac:dyDescent="0.2">
      <c r="B55" t="s">
        <v>274</v>
      </c>
    </row>
    <row r="56" spans="1:11" x14ac:dyDescent="0.2">
      <c r="B56" s="167" t="s">
        <v>275</v>
      </c>
    </row>
    <row r="57" spans="1:11" x14ac:dyDescent="0.2">
      <c r="B57" t="s">
        <v>276</v>
      </c>
    </row>
    <row r="58" spans="1:11" x14ac:dyDescent="0.2">
      <c r="B58" t="s">
        <v>277</v>
      </c>
    </row>
    <row r="59" spans="1:11" x14ac:dyDescent="0.2">
      <c r="B59" t="s">
        <v>278</v>
      </c>
    </row>
    <row r="60" spans="1:11" x14ac:dyDescent="0.2">
      <c r="B60" t="s">
        <v>279</v>
      </c>
    </row>
    <row r="61" spans="1:11" x14ac:dyDescent="0.2">
      <c r="B61" t="s">
        <v>280</v>
      </c>
    </row>
    <row r="62" spans="1:11" x14ac:dyDescent="0.2">
      <c r="B62" t="s">
        <v>281</v>
      </c>
    </row>
  </sheetData>
  <mergeCells count="6">
    <mergeCell ref="A53:J53"/>
    <mergeCell ref="A1:K1"/>
    <mergeCell ref="A2:K2"/>
    <mergeCell ref="A32:K32"/>
    <mergeCell ref="A43:K43"/>
    <mergeCell ref="A4:L4"/>
  </mergeCells>
  <hyperlinks>
    <hyperlink ref="B54" r:id="rId1" display="https://www.epa.gov/system/files/documents/2024-02/ghg-emission-factors-hub-2024.pdf" xr:uid="{F5636229-0064-0543-95DD-F82801274081}"/>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3F9E5-4B65-4C5D-BEFD-617A3D77E621}">
  <sheetPr>
    <tabColor rgb="FF1565C0"/>
  </sheetPr>
  <dimension ref="A1:K46"/>
  <sheetViews>
    <sheetView showGridLines="0" zoomScale="115" zoomScaleNormal="100" workbookViewId="0">
      <pane xSplit="2" ySplit="4" topLeftCell="D10" activePane="bottomRight" state="frozen"/>
      <selection pane="topRight" activeCell="C1" sqref="C1"/>
      <selection pane="bottomLeft" activeCell="A5" sqref="A5"/>
      <selection pane="bottomRight" activeCell="K16" sqref="K16:K30"/>
    </sheetView>
  </sheetViews>
  <sheetFormatPr baseColWidth="10" defaultColWidth="8.6640625" defaultRowHeight="15" x14ac:dyDescent="0.2"/>
  <cols>
    <col min="1" max="1" width="15.33203125" bestFit="1" customWidth="1"/>
    <col min="2" max="2" width="30" customWidth="1"/>
    <col min="3" max="4" width="16" customWidth="1"/>
    <col min="5" max="6" width="22" customWidth="1"/>
    <col min="7" max="7" width="18" customWidth="1"/>
    <col min="8" max="8" width="24.6640625" bestFit="1" customWidth="1"/>
    <col min="9" max="9" width="22.6640625" bestFit="1" customWidth="1"/>
    <col min="10" max="10" width="30" customWidth="1"/>
  </cols>
  <sheetData>
    <row r="1" spans="1:11" ht="48" customHeight="1" x14ac:dyDescent="0.2">
      <c r="A1" s="646" t="s">
        <v>282</v>
      </c>
      <c r="B1" s="644"/>
      <c r="C1" s="644"/>
      <c r="D1" s="644"/>
      <c r="E1" s="644"/>
      <c r="F1" s="644"/>
      <c r="G1" s="644"/>
      <c r="H1" s="644"/>
      <c r="I1" s="644"/>
      <c r="J1" s="644"/>
    </row>
    <row r="2" spans="1:11" ht="19.5" customHeight="1" x14ac:dyDescent="0.2">
      <c r="A2" s="649" t="s">
        <v>283</v>
      </c>
      <c r="B2" s="644"/>
      <c r="C2" s="644"/>
      <c r="D2" s="644"/>
      <c r="E2" s="644"/>
      <c r="F2" s="644"/>
      <c r="G2" s="644"/>
      <c r="H2" s="644"/>
      <c r="I2" s="644"/>
      <c r="J2" s="644"/>
    </row>
    <row r="4" spans="1:11" ht="21.75" customHeight="1" x14ac:dyDescent="0.2">
      <c r="A4" s="648" t="s">
        <v>284</v>
      </c>
      <c r="B4" s="644"/>
      <c r="C4" s="644"/>
      <c r="D4" s="644"/>
      <c r="E4" s="644"/>
      <c r="F4" s="644"/>
      <c r="G4" s="644"/>
      <c r="H4" s="644"/>
      <c r="I4" s="644"/>
      <c r="J4" s="644"/>
    </row>
    <row r="5" spans="1:11" ht="19.5" customHeight="1" x14ac:dyDescent="0.2">
      <c r="A5" s="647" t="s">
        <v>285</v>
      </c>
      <c r="B5" s="644"/>
      <c r="C5" s="644"/>
      <c r="D5" s="644"/>
      <c r="E5" s="644"/>
      <c r="F5" s="644"/>
      <c r="G5" s="644"/>
      <c r="H5" s="644"/>
      <c r="I5" s="644"/>
      <c r="J5" s="644"/>
    </row>
    <row r="6" spans="1:11" ht="18" customHeight="1" x14ac:dyDescent="0.2">
      <c r="A6" s="433" t="s">
        <v>286</v>
      </c>
      <c r="B6" s="433" t="s">
        <v>287</v>
      </c>
    </row>
    <row r="7" spans="1:11" ht="15.75" customHeight="1" x14ac:dyDescent="0.2">
      <c r="A7" s="47" t="s">
        <v>288</v>
      </c>
      <c r="B7" s="47">
        <v>386</v>
      </c>
      <c r="C7" s="47" t="s">
        <v>211</v>
      </c>
      <c r="D7" s="47">
        <v>581</v>
      </c>
    </row>
    <row r="8" spans="1:11" ht="15.75" customHeight="1" x14ac:dyDescent="0.2">
      <c r="A8" s="48" t="s">
        <v>289</v>
      </c>
      <c r="B8" s="48">
        <v>230</v>
      </c>
      <c r="C8" s="48" t="s">
        <v>214</v>
      </c>
      <c r="D8" s="48">
        <v>713</v>
      </c>
    </row>
    <row r="9" spans="1:11" ht="15.75" customHeight="1" x14ac:dyDescent="0.2">
      <c r="A9" s="47" t="s">
        <v>290</v>
      </c>
      <c r="B9" s="47">
        <v>430</v>
      </c>
      <c r="C9" s="47" t="s">
        <v>215</v>
      </c>
      <c r="D9" s="47">
        <v>471</v>
      </c>
    </row>
    <row r="10" spans="1:11" ht="15.75" customHeight="1" x14ac:dyDescent="0.2">
      <c r="A10" s="48" t="s">
        <v>291</v>
      </c>
      <c r="B10" s="48">
        <v>231</v>
      </c>
      <c r="C10" s="48" t="s">
        <v>221</v>
      </c>
      <c r="D10" s="48">
        <v>680</v>
      </c>
    </row>
    <row r="11" spans="1:11" ht="15.75" customHeight="1" x14ac:dyDescent="0.2">
      <c r="A11" s="47" t="s">
        <v>203</v>
      </c>
      <c r="B11" s="47">
        <v>207</v>
      </c>
      <c r="C11" s="47" t="s">
        <v>225</v>
      </c>
      <c r="D11" s="47">
        <v>119</v>
      </c>
    </row>
    <row r="12" spans="1:11" ht="15.75" customHeight="1" x14ac:dyDescent="0.2">
      <c r="A12" s="48" t="s">
        <v>196</v>
      </c>
      <c r="B12" s="48">
        <v>380</v>
      </c>
      <c r="C12" s="48" t="s">
        <v>292</v>
      </c>
      <c r="D12" s="48">
        <v>130</v>
      </c>
    </row>
    <row r="14" spans="1:11" ht="21.75" customHeight="1" x14ac:dyDescent="0.2">
      <c r="A14" s="650" t="s">
        <v>293</v>
      </c>
      <c r="B14" s="650"/>
      <c r="C14" s="650"/>
      <c r="D14" s="650"/>
      <c r="E14" s="650"/>
      <c r="F14" s="650"/>
      <c r="G14" s="650"/>
      <c r="H14" s="650"/>
      <c r="I14" s="650"/>
      <c r="J14" s="650"/>
      <c r="K14" s="650"/>
    </row>
    <row r="15" spans="1:11" ht="30" customHeight="1" x14ac:dyDescent="0.2">
      <c r="A15" s="49" t="s">
        <v>131</v>
      </c>
      <c r="B15" s="49" t="s">
        <v>294</v>
      </c>
      <c r="C15" s="49" t="s">
        <v>295</v>
      </c>
      <c r="D15" s="49" t="s">
        <v>296</v>
      </c>
      <c r="E15" s="49" t="s">
        <v>297</v>
      </c>
      <c r="F15" s="49" t="s">
        <v>298</v>
      </c>
      <c r="G15" s="49" t="s">
        <v>299</v>
      </c>
      <c r="H15" s="49" t="s">
        <v>300</v>
      </c>
      <c r="I15" s="49" t="s">
        <v>301</v>
      </c>
      <c r="J15" s="49" t="s">
        <v>175</v>
      </c>
      <c r="K15" s="638" t="s">
        <v>581</v>
      </c>
    </row>
    <row r="16" spans="1:11" ht="19.5" customHeight="1" x14ac:dyDescent="0.2">
      <c r="A16" s="50">
        <v>1</v>
      </c>
      <c r="B16" s="51" t="s">
        <v>302</v>
      </c>
      <c r="C16" s="26">
        <v>0</v>
      </c>
      <c r="D16" s="52">
        <v>386</v>
      </c>
      <c r="E16" s="52">
        <v>0</v>
      </c>
      <c r="F16" s="26">
        <v>0</v>
      </c>
      <c r="G16" s="53">
        <f t="shared" ref="G16:G19" si="0">MAX(C16-F16,0)</f>
        <v>0</v>
      </c>
      <c r="H16" s="28">
        <f t="shared" ref="H16:H19" si="1">C16*D16/1000</f>
        <v>0</v>
      </c>
      <c r="I16" s="54">
        <f t="shared" ref="I16:I19" si="2">G16*E16/1000</f>
        <v>0</v>
      </c>
      <c r="J16" s="14" t="s">
        <v>303</v>
      </c>
      <c r="K16" s="640">
        <v>2019</v>
      </c>
    </row>
    <row r="17" spans="1:11" ht="19.5" customHeight="1" x14ac:dyDescent="0.2">
      <c r="A17" s="50">
        <v>2</v>
      </c>
      <c r="B17" s="55" t="s">
        <v>304</v>
      </c>
      <c r="C17" s="26">
        <v>0</v>
      </c>
      <c r="D17" s="52">
        <v>386</v>
      </c>
      <c r="E17" s="52">
        <v>0</v>
      </c>
      <c r="F17" s="26">
        <v>0</v>
      </c>
      <c r="G17" s="53">
        <f t="shared" si="0"/>
        <v>0</v>
      </c>
      <c r="H17" s="28">
        <f t="shared" si="1"/>
        <v>0</v>
      </c>
      <c r="I17" s="54">
        <f t="shared" si="2"/>
        <v>0</v>
      </c>
      <c r="J17" s="14" t="s">
        <v>303</v>
      </c>
      <c r="K17" s="640">
        <v>2019</v>
      </c>
    </row>
    <row r="18" spans="1:11" ht="19.5" customHeight="1" x14ac:dyDescent="0.2">
      <c r="A18" s="50">
        <v>3</v>
      </c>
      <c r="B18" s="51" t="s">
        <v>302</v>
      </c>
      <c r="C18" s="26">
        <v>0</v>
      </c>
      <c r="D18" s="52">
        <v>386</v>
      </c>
      <c r="E18" s="52">
        <v>0</v>
      </c>
      <c r="F18" s="26">
        <v>0</v>
      </c>
      <c r="G18" s="53">
        <f t="shared" si="0"/>
        <v>0</v>
      </c>
      <c r="H18" s="28">
        <f t="shared" si="1"/>
        <v>0</v>
      </c>
      <c r="I18" s="54">
        <f t="shared" si="2"/>
        <v>0</v>
      </c>
      <c r="J18" s="14" t="s">
        <v>303</v>
      </c>
      <c r="K18" s="640">
        <v>2020</v>
      </c>
    </row>
    <row r="19" spans="1:11" ht="19.5" customHeight="1" x14ac:dyDescent="0.2">
      <c r="A19" s="50">
        <v>4</v>
      </c>
      <c r="B19" s="55" t="s">
        <v>304</v>
      </c>
      <c r="C19" s="26">
        <v>0</v>
      </c>
      <c r="D19" s="52">
        <v>386</v>
      </c>
      <c r="E19" s="52">
        <v>0</v>
      </c>
      <c r="F19" s="26">
        <v>0</v>
      </c>
      <c r="G19" s="53">
        <f t="shared" si="0"/>
        <v>0</v>
      </c>
      <c r="H19" s="28">
        <f t="shared" si="1"/>
        <v>0</v>
      </c>
      <c r="I19" s="54">
        <f t="shared" si="2"/>
        <v>0</v>
      </c>
      <c r="J19" s="14" t="s">
        <v>303</v>
      </c>
      <c r="K19" s="640">
        <v>2020</v>
      </c>
    </row>
    <row r="20" spans="1:11" ht="19.5" customHeight="1" x14ac:dyDescent="0.2">
      <c r="A20" s="50">
        <v>1</v>
      </c>
      <c r="B20" s="51" t="s">
        <v>302</v>
      </c>
      <c r="C20" s="26">
        <v>0</v>
      </c>
      <c r="D20" s="52">
        <v>386</v>
      </c>
      <c r="E20" s="52">
        <v>0</v>
      </c>
      <c r="F20" s="26">
        <v>0</v>
      </c>
      <c r="G20" s="53">
        <f t="shared" ref="G20:G23" si="3">MAX(C20-F20,0)</f>
        <v>0</v>
      </c>
      <c r="H20" s="28">
        <f t="shared" ref="H20:H23" si="4">C20*D20/1000</f>
        <v>0</v>
      </c>
      <c r="I20" s="54">
        <f t="shared" ref="I20:I23" si="5">G20*E20/1000</f>
        <v>0</v>
      </c>
      <c r="J20" s="14" t="s">
        <v>303</v>
      </c>
      <c r="K20" s="640">
        <v>2021</v>
      </c>
    </row>
    <row r="21" spans="1:11" ht="19.5" customHeight="1" x14ac:dyDescent="0.2">
      <c r="A21" s="50">
        <v>2</v>
      </c>
      <c r="B21" s="55" t="s">
        <v>304</v>
      </c>
      <c r="C21" s="26">
        <v>0</v>
      </c>
      <c r="D21" s="52">
        <v>386</v>
      </c>
      <c r="E21" s="52">
        <v>0</v>
      </c>
      <c r="F21" s="26">
        <v>0</v>
      </c>
      <c r="G21" s="53">
        <f t="shared" si="3"/>
        <v>0</v>
      </c>
      <c r="H21" s="28">
        <f t="shared" si="4"/>
        <v>0</v>
      </c>
      <c r="I21" s="54">
        <f t="shared" si="5"/>
        <v>0</v>
      </c>
      <c r="J21" s="14" t="s">
        <v>303</v>
      </c>
      <c r="K21" s="640">
        <v>2021</v>
      </c>
    </row>
    <row r="22" spans="1:11" ht="19.5" customHeight="1" x14ac:dyDescent="0.2">
      <c r="A22" s="50">
        <v>3</v>
      </c>
      <c r="B22" s="51" t="s">
        <v>302</v>
      </c>
      <c r="C22" s="26">
        <v>0</v>
      </c>
      <c r="D22" s="52">
        <v>386</v>
      </c>
      <c r="E22" s="52">
        <v>0</v>
      </c>
      <c r="F22" s="26">
        <v>0</v>
      </c>
      <c r="G22" s="53">
        <f t="shared" si="3"/>
        <v>0</v>
      </c>
      <c r="H22" s="28">
        <f t="shared" si="4"/>
        <v>0</v>
      </c>
      <c r="I22" s="54">
        <f t="shared" si="5"/>
        <v>0</v>
      </c>
      <c r="J22" s="14" t="s">
        <v>303</v>
      </c>
      <c r="K22" s="640">
        <v>2022</v>
      </c>
    </row>
    <row r="23" spans="1:11" ht="19.5" customHeight="1" x14ac:dyDescent="0.2">
      <c r="A23" s="50">
        <v>4</v>
      </c>
      <c r="B23" s="55" t="s">
        <v>304</v>
      </c>
      <c r="C23" s="26">
        <v>0</v>
      </c>
      <c r="D23" s="52">
        <v>386</v>
      </c>
      <c r="E23" s="52">
        <v>0</v>
      </c>
      <c r="F23" s="26">
        <v>0</v>
      </c>
      <c r="G23" s="53">
        <f t="shared" si="3"/>
        <v>0</v>
      </c>
      <c r="H23" s="28">
        <f t="shared" si="4"/>
        <v>0</v>
      </c>
      <c r="I23" s="54">
        <f t="shared" si="5"/>
        <v>0</v>
      </c>
      <c r="J23" s="14" t="s">
        <v>303</v>
      </c>
      <c r="K23" s="640">
        <v>2022</v>
      </c>
    </row>
    <row r="24" spans="1:11" ht="19.5" customHeight="1" x14ac:dyDescent="0.2">
      <c r="A24" s="50">
        <v>1</v>
      </c>
      <c r="B24" s="51" t="s">
        <v>302</v>
      </c>
      <c r="C24" s="26">
        <v>0</v>
      </c>
      <c r="D24" s="52">
        <v>386</v>
      </c>
      <c r="E24" s="52">
        <v>0</v>
      </c>
      <c r="F24" s="26">
        <v>0</v>
      </c>
      <c r="G24" s="53">
        <f t="shared" ref="G24:G30" si="6">MAX(C24-F24,0)</f>
        <v>0</v>
      </c>
      <c r="H24" s="28">
        <f t="shared" ref="H24:H30" si="7">C24*D24/1000</f>
        <v>0</v>
      </c>
      <c r="I24" s="54">
        <f t="shared" ref="I24:I30" si="8">G24*E24/1000</f>
        <v>0</v>
      </c>
      <c r="J24" s="14" t="s">
        <v>303</v>
      </c>
      <c r="K24" s="640">
        <v>2024</v>
      </c>
    </row>
    <row r="25" spans="1:11" ht="19.5" customHeight="1" x14ac:dyDescent="0.2">
      <c r="A25" s="50">
        <v>2</v>
      </c>
      <c r="B25" s="55" t="s">
        <v>304</v>
      </c>
      <c r="C25" s="26">
        <v>0</v>
      </c>
      <c r="D25" s="52">
        <v>386</v>
      </c>
      <c r="E25" s="52">
        <v>0</v>
      </c>
      <c r="F25" s="26">
        <v>0</v>
      </c>
      <c r="G25" s="53">
        <f t="shared" si="6"/>
        <v>0</v>
      </c>
      <c r="H25" s="28">
        <f t="shared" si="7"/>
        <v>0</v>
      </c>
      <c r="I25" s="54">
        <f t="shared" si="8"/>
        <v>0</v>
      </c>
      <c r="J25" s="14" t="s">
        <v>303</v>
      </c>
      <c r="K25" s="640">
        <v>2024</v>
      </c>
    </row>
    <row r="26" spans="1:11" ht="19.5" customHeight="1" x14ac:dyDescent="0.2">
      <c r="A26" s="50">
        <v>3</v>
      </c>
      <c r="B26" s="51" t="s">
        <v>302</v>
      </c>
      <c r="C26" s="26">
        <v>0</v>
      </c>
      <c r="D26" s="52">
        <v>386</v>
      </c>
      <c r="E26" s="52">
        <v>0</v>
      </c>
      <c r="F26" s="26">
        <v>0</v>
      </c>
      <c r="G26" s="53">
        <f t="shared" si="6"/>
        <v>0</v>
      </c>
      <c r="H26" s="28">
        <f t="shared" si="7"/>
        <v>0</v>
      </c>
      <c r="I26" s="54">
        <f t="shared" si="8"/>
        <v>0</v>
      </c>
      <c r="J26" s="14" t="s">
        <v>303</v>
      </c>
      <c r="K26" s="640">
        <v>2023</v>
      </c>
    </row>
    <row r="27" spans="1:11" ht="19.5" customHeight="1" x14ac:dyDescent="0.2">
      <c r="A27" s="50">
        <v>4</v>
      </c>
      <c r="B27" s="55" t="s">
        <v>304</v>
      </c>
      <c r="C27" s="26">
        <v>0</v>
      </c>
      <c r="D27" s="52">
        <v>386</v>
      </c>
      <c r="E27" s="52">
        <v>0</v>
      </c>
      <c r="F27" s="26">
        <v>0</v>
      </c>
      <c r="G27" s="53">
        <f t="shared" si="6"/>
        <v>0</v>
      </c>
      <c r="H27" s="28">
        <f t="shared" si="7"/>
        <v>0</v>
      </c>
      <c r="I27" s="54">
        <f t="shared" si="8"/>
        <v>0</v>
      </c>
      <c r="J27" s="14" t="s">
        <v>303</v>
      </c>
      <c r="K27" s="640">
        <v>2023</v>
      </c>
    </row>
    <row r="28" spans="1:11" ht="19.5" customHeight="1" x14ac:dyDescent="0.2">
      <c r="A28" s="50">
        <v>5</v>
      </c>
      <c r="B28" s="51"/>
      <c r="C28" s="26"/>
      <c r="D28" s="52"/>
      <c r="E28" s="52">
        <v>0</v>
      </c>
      <c r="F28" s="26">
        <v>0</v>
      </c>
      <c r="G28" s="53">
        <f t="shared" si="6"/>
        <v>0</v>
      </c>
      <c r="H28" s="28">
        <f t="shared" si="7"/>
        <v>0</v>
      </c>
      <c r="I28" s="54">
        <f t="shared" si="8"/>
        <v>0</v>
      </c>
      <c r="J28" s="14" t="s">
        <v>303</v>
      </c>
      <c r="K28" s="640"/>
    </row>
    <row r="29" spans="1:11" ht="19.5" customHeight="1" x14ac:dyDescent="0.2">
      <c r="A29" s="50">
        <v>6</v>
      </c>
      <c r="B29" s="55"/>
      <c r="C29" s="26"/>
      <c r="D29" s="52"/>
      <c r="E29" s="52">
        <v>0</v>
      </c>
      <c r="F29" s="26">
        <v>0</v>
      </c>
      <c r="G29" s="53">
        <f t="shared" si="6"/>
        <v>0</v>
      </c>
      <c r="H29" s="28">
        <f t="shared" si="7"/>
        <v>0</v>
      </c>
      <c r="I29" s="54">
        <f t="shared" si="8"/>
        <v>0</v>
      </c>
      <c r="J29" s="14" t="s">
        <v>303</v>
      </c>
      <c r="K29" s="640"/>
    </row>
    <row r="30" spans="1:11" ht="19.5" customHeight="1" x14ac:dyDescent="0.2">
      <c r="A30" s="50">
        <v>7</v>
      </c>
      <c r="B30" s="51"/>
      <c r="C30" s="26"/>
      <c r="D30" s="52"/>
      <c r="E30" s="52">
        <v>0</v>
      </c>
      <c r="F30" s="26">
        <v>0</v>
      </c>
      <c r="G30" s="53">
        <f t="shared" si="6"/>
        <v>0</v>
      </c>
      <c r="H30" s="28">
        <f t="shared" si="7"/>
        <v>0</v>
      </c>
      <c r="I30" s="54">
        <f t="shared" si="8"/>
        <v>0</v>
      </c>
      <c r="J30" s="14" t="s">
        <v>303</v>
      </c>
      <c r="K30" s="640"/>
    </row>
    <row r="31" spans="1:11" ht="21.75" customHeight="1" x14ac:dyDescent="0.2">
      <c r="A31" s="56"/>
      <c r="B31" s="57" t="s">
        <v>305</v>
      </c>
      <c r="C31" s="58">
        <v>30207220</v>
      </c>
      <c r="D31" s="56"/>
      <c r="E31" s="56"/>
      <c r="F31" s="58">
        <v>29829540</v>
      </c>
      <c r="G31" s="58">
        <f>SUM(G24:G30)</f>
        <v>0</v>
      </c>
      <c r="H31" s="58"/>
      <c r="I31" s="58"/>
      <c r="J31" s="56"/>
    </row>
    <row r="33" spans="1:11" ht="21.75" customHeight="1" x14ac:dyDescent="0.2">
      <c r="A33" s="643" t="s">
        <v>306</v>
      </c>
      <c r="B33" s="644"/>
      <c r="C33" s="644"/>
      <c r="D33" s="644"/>
      <c r="E33" s="644"/>
      <c r="F33" s="644"/>
      <c r="G33" s="644"/>
      <c r="H33" s="644"/>
      <c r="I33" s="644"/>
      <c r="J33" s="644"/>
    </row>
    <row r="34" spans="1:11" ht="30" customHeight="1" x14ac:dyDescent="0.2">
      <c r="A34" s="59" t="s">
        <v>131</v>
      </c>
      <c r="B34" s="59" t="s">
        <v>307</v>
      </c>
      <c r="C34" s="59" t="s">
        <v>308</v>
      </c>
      <c r="D34" s="59" t="s">
        <v>133</v>
      </c>
      <c r="E34" s="59" t="s">
        <v>309</v>
      </c>
      <c r="F34" s="59" t="s">
        <v>310</v>
      </c>
      <c r="G34" s="59" t="s">
        <v>311</v>
      </c>
      <c r="H34" s="59" t="s">
        <v>300</v>
      </c>
      <c r="I34" s="59" t="s">
        <v>301</v>
      </c>
      <c r="J34" s="59" t="s">
        <v>175</v>
      </c>
    </row>
    <row r="35" spans="1:11" ht="19.5" customHeight="1" x14ac:dyDescent="0.2">
      <c r="A35" s="60">
        <v>1</v>
      </c>
      <c r="B35" s="63" t="s">
        <v>312</v>
      </c>
      <c r="C35" s="26"/>
      <c r="D35" s="19" t="s">
        <v>138</v>
      </c>
      <c r="E35" s="62">
        <v>66.33</v>
      </c>
      <c r="F35" s="62">
        <v>1.25</v>
      </c>
      <c r="G35" s="62">
        <v>0.125</v>
      </c>
      <c r="H35" s="28">
        <f>((E35*C35)/1000)+((C35*F35*Assumptions!E25)/1000000)+(('Scope 2 S'!C35*'Scope 2 S'!G35*Assumptions!E27)/1000000)</f>
        <v>0</v>
      </c>
      <c r="I35" s="28">
        <f>C35*E35/1000</f>
        <v>0</v>
      </c>
      <c r="J35" s="14" t="s">
        <v>313</v>
      </c>
    </row>
    <row r="36" spans="1:11" ht="19.5" customHeight="1" x14ac:dyDescent="0.2">
      <c r="A36" s="60">
        <v>2</v>
      </c>
      <c r="B36" s="63" t="s">
        <v>314</v>
      </c>
      <c r="C36" s="26"/>
      <c r="D36" s="19" t="s">
        <v>138</v>
      </c>
      <c r="E36" s="62">
        <v>66.33</v>
      </c>
      <c r="F36" s="62">
        <v>1.25</v>
      </c>
      <c r="G36" s="62">
        <v>0.125</v>
      </c>
      <c r="H36" s="28">
        <f>C36*E36/1000</f>
        <v>0</v>
      </c>
      <c r="I36" s="28">
        <f>C36*E36/1000</f>
        <v>0</v>
      </c>
      <c r="J36" s="14" t="s">
        <v>313</v>
      </c>
    </row>
    <row r="37" spans="1:11" ht="19.5" customHeight="1" x14ac:dyDescent="0.2">
      <c r="A37" s="60">
        <v>3</v>
      </c>
      <c r="B37" s="61"/>
      <c r="C37" s="26">
        <v>0</v>
      </c>
      <c r="D37" s="19" t="s">
        <v>168</v>
      </c>
      <c r="E37" s="62">
        <v>66.400000000000006</v>
      </c>
      <c r="F37" s="62"/>
      <c r="G37" s="62"/>
      <c r="H37" s="28">
        <f>C37*E37/1000</f>
        <v>0</v>
      </c>
      <c r="I37" s="28">
        <f>C37*E37/1000</f>
        <v>0</v>
      </c>
      <c r="J37" s="14" t="s">
        <v>315</v>
      </c>
    </row>
    <row r="38" spans="1:11" ht="21.75" customHeight="1" x14ac:dyDescent="0.2">
      <c r="A38" s="64"/>
      <c r="B38" s="65" t="s">
        <v>316</v>
      </c>
      <c r="C38" s="64"/>
      <c r="D38" s="64"/>
      <c r="E38" s="64"/>
      <c r="F38" s="64"/>
      <c r="G38" s="64"/>
      <c r="H38" s="66">
        <f>((E35*C35)/1000)+((C35*F35*Assumptions!E25)/1000000)+('Scope 2 S'!C35*'Scope 2 S'!G35*Assumptions!E27)/1000000</f>
        <v>0</v>
      </c>
      <c r="I38" s="66">
        <f>SUM(I35:I37)</f>
        <v>0</v>
      </c>
      <c r="J38" s="64"/>
    </row>
    <row r="40" spans="1:11" ht="27.75" customHeight="1" x14ac:dyDescent="0.2">
      <c r="A40" s="645" t="s">
        <v>317</v>
      </c>
      <c r="B40" s="642"/>
      <c r="C40" s="642"/>
      <c r="D40" s="642"/>
      <c r="E40" s="642"/>
      <c r="F40" s="642"/>
      <c r="G40" s="642"/>
      <c r="H40" s="67">
        <f>H31+H38</f>
        <v>0</v>
      </c>
      <c r="I40" s="56"/>
      <c r="J40" s="56"/>
    </row>
    <row r="41" spans="1:11" ht="27.75" customHeight="1" x14ac:dyDescent="0.2">
      <c r="A41" s="641" t="s">
        <v>318</v>
      </c>
      <c r="B41" s="642"/>
      <c r="C41" s="642"/>
      <c r="D41" s="642"/>
      <c r="E41" s="642"/>
      <c r="F41" s="642"/>
      <c r="G41" s="642"/>
      <c r="H41" s="64"/>
      <c r="I41" s="68">
        <v>0</v>
      </c>
      <c r="J41" s="64"/>
    </row>
    <row r="42" spans="1:11" x14ac:dyDescent="0.2">
      <c r="A42" t="s">
        <v>319</v>
      </c>
    </row>
    <row r="44" spans="1:11" x14ac:dyDescent="0.2">
      <c r="I44" t="s">
        <v>320</v>
      </c>
      <c r="J44" t="s">
        <v>321</v>
      </c>
      <c r="K44" t="s">
        <v>322</v>
      </c>
    </row>
    <row r="45" spans="1:11" x14ac:dyDescent="0.2">
      <c r="H45">
        <v>2023</v>
      </c>
      <c r="I45" s="610"/>
      <c r="J45" s="610"/>
      <c r="K45" s="610">
        <v>467</v>
      </c>
    </row>
    <row r="46" spans="1:11" x14ac:dyDescent="0.2">
      <c r="H46">
        <v>2024</v>
      </c>
      <c r="I46" s="610"/>
      <c r="J46" s="610"/>
      <c r="K46" s="610">
        <v>479</v>
      </c>
    </row>
  </sheetData>
  <mergeCells count="8">
    <mergeCell ref="A40:G40"/>
    <mergeCell ref="A41:G41"/>
    <mergeCell ref="A1:J1"/>
    <mergeCell ref="A2:J2"/>
    <mergeCell ref="A4:J4"/>
    <mergeCell ref="A5:J5"/>
    <mergeCell ref="A33:J33"/>
    <mergeCell ref="A14:K1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565C0"/>
  </sheetPr>
  <dimension ref="A1:K63"/>
  <sheetViews>
    <sheetView showGridLines="0" zoomScale="115" zoomScaleNormal="100" workbookViewId="0">
      <pane xSplit="2" ySplit="4" topLeftCell="C5" activePane="bottomRight" state="frozen"/>
      <selection pane="topRight" activeCell="C1" sqref="C1"/>
      <selection pane="bottomLeft" activeCell="A5" sqref="A5"/>
      <selection pane="bottomRight" activeCell="E31" sqref="E31"/>
    </sheetView>
  </sheetViews>
  <sheetFormatPr baseColWidth="10" defaultColWidth="8.6640625" defaultRowHeight="15" x14ac:dyDescent="0.2"/>
  <cols>
    <col min="1" max="1" width="15.33203125" bestFit="1" customWidth="1"/>
    <col min="2" max="2" width="30" customWidth="1"/>
    <col min="3" max="4" width="16" customWidth="1"/>
    <col min="5" max="6" width="22" customWidth="1"/>
    <col min="7" max="7" width="18" customWidth="1"/>
    <col min="8" max="8" width="24.6640625" bestFit="1" customWidth="1"/>
    <col min="9" max="9" width="22.6640625" bestFit="1" customWidth="1"/>
    <col min="10" max="10" width="30" customWidth="1"/>
  </cols>
  <sheetData>
    <row r="1" spans="1:11" ht="48" customHeight="1" x14ac:dyDescent="0.2">
      <c r="A1" s="646" t="s">
        <v>282</v>
      </c>
      <c r="B1" s="644"/>
      <c r="C1" s="644"/>
      <c r="D1" s="644"/>
      <c r="E1" s="644"/>
      <c r="F1" s="644"/>
      <c r="G1" s="644"/>
      <c r="H1" s="644"/>
      <c r="I1" s="644"/>
      <c r="J1" s="644"/>
    </row>
    <row r="2" spans="1:11" ht="19.5" customHeight="1" x14ac:dyDescent="0.2">
      <c r="A2" s="649" t="s">
        <v>283</v>
      </c>
      <c r="B2" s="644"/>
      <c r="C2" s="644"/>
      <c r="D2" s="644"/>
      <c r="E2" s="644"/>
      <c r="F2" s="644"/>
      <c r="G2" s="644"/>
      <c r="H2" s="644"/>
      <c r="I2" s="644"/>
      <c r="J2" s="644"/>
    </row>
    <row r="4" spans="1:11" ht="21.75" customHeight="1" x14ac:dyDescent="0.2">
      <c r="A4" s="648" t="s">
        <v>284</v>
      </c>
      <c r="B4" s="644"/>
      <c r="C4" s="644"/>
      <c r="D4" s="644"/>
      <c r="E4" s="644"/>
      <c r="F4" s="644"/>
      <c r="G4" s="644"/>
      <c r="H4" s="644"/>
      <c r="I4" s="644"/>
      <c r="J4" s="644"/>
    </row>
    <row r="5" spans="1:11" ht="19.5" customHeight="1" x14ac:dyDescent="0.2">
      <c r="A5" s="647" t="s">
        <v>285</v>
      </c>
      <c r="B5" s="644"/>
      <c r="C5" s="644"/>
      <c r="D5" s="644"/>
      <c r="E5" s="644"/>
      <c r="F5" s="644"/>
      <c r="G5" s="644"/>
      <c r="H5" s="644"/>
      <c r="I5" s="644"/>
      <c r="J5" s="644"/>
    </row>
    <row r="6" spans="1:11" ht="18" customHeight="1" x14ac:dyDescent="0.2">
      <c r="A6" s="433" t="s">
        <v>286</v>
      </c>
      <c r="B6" s="433" t="s">
        <v>287</v>
      </c>
    </row>
    <row r="7" spans="1:11" ht="15.75" customHeight="1" x14ac:dyDescent="0.2">
      <c r="A7" s="47" t="s">
        <v>288</v>
      </c>
      <c r="B7" s="47">
        <v>386</v>
      </c>
      <c r="C7" s="47" t="s">
        <v>211</v>
      </c>
      <c r="D7" s="47">
        <v>581</v>
      </c>
    </row>
    <row r="8" spans="1:11" ht="15.75" customHeight="1" x14ac:dyDescent="0.2">
      <c r="A8" s="48" t="s">
        <v>289</v>
      </c>
      <c r="B8" s="48">
        <v>230</v>
      </c>
      <c r="C8" s="48" t="s">
        <v>214</v>
      </c>
      <c r="D8" s="48">
        <v>713</v>
      </c>
    </row>
    <row r="9" spans="1:11" ht="15.75" customHeight="1" x14ac:dyDescent="0.2">
      <c r="A9" s="47" t="s">
        <v>290</v>
      </c>
      <c r="B9" s="47">
        <v>430</v>
      </c>
      <c r="C9" s="47" t="s">
        <v>215</v>
      </c>
      <c r="D9" s="47">
        <v>471</v>
      </c>
    </row>
    <row r="10" spans="1:11" ht="15.75" customHeight="1" x14ac:dyDescent="0.2">
      <c r="A10" s="48" t="s">
        <v>291</v>
      </c>
      <c r="B10" s="48">
        <v>231</v>
      </c>
      <c r="C10" s="48" t="s">
        <v>221</v>
      </c>
      <c r="D10" s="48">
        <v>680</v>
      </c>
    </row>
    <row r="11" spans="1:11" ht="15.75" customHeight="1" x14ac:dyDescent="0.2">
      <c r="A11" s="47" t="s">
        <v>203</v>
      </c>
      <c r="B11" s="47">
        <v>207</v>
      </c>
      <c r="C11" s="47" t="s">
        <v>225</v>
      </c>
      <c r="D11" s="47">
        <v>119</v>
      </c>
    </row>
    <row r="12" spans="1:11" ht="15.75" customHeight="1" x14ac:dyDescent="0.2">
      <c r="A12" s="48" t="s">
        <v>196</v>
      </c>
      <c r="B12" s="48">
        <v>380</v>
      </c>
      <c r="C12" s="48" t="s">
        <v>292</v>
      </c>
      <c r="D12" s="48">
        <v>130</v>
      </c>
    </row>
    <row r="14" spans="1:11" ht="21.75" customHeight="1" x14ac:dyDescent="0.2">
      <c r="A14" s="650" t="s">
        <v>293</v>
      </c>
      <c r="B14" s="650"/>
      <c r="C14" s="650"/>
      <c r="D14" s="650"/>
      <c r="E14" s="650"/>
      <c r="F14" s="650"/>
      <c r="G14" s="650"/>
      <c r="H14" s="650"/>
      <c r="I14" s="650"/>
      <c r="J14" s="650"/>
      <c r="K14" s="650"/>
    </row>
    <row r="15" spans="1:11" ht="30" customHeight="1" x14ac:dyDescent="0.2">
      <c r="A15" s="49" t="s">
        <v>131</v>
      </c>
      <c r="B15" s="49" t="s">
        <v>294</v>
      </c>
      <c r="C15" s="49" t="s">
        <v>295</v>
      </c>
      <c r="D15" s="49" t="s">
        <v>296</v>
      </c>
      <c r="E15" s="49" t="s">
        <v>297</v>
      </c>
      <c r="F15" s="49" t="s">
        <v>298</v>
      </c>
      <c r="G15" s="49" t="s">
        <v>299</v>
      </c>
      <c r="H15" s="49" t="s">
        <v>300</v>
      </c>
      <c r="I15" s="49" t="s">
        <v>301</v>
      </c>
      <c r="J15" s="49" t="s">
        <v>175</v>
      </c>
      <c r="K15" s="638" t="s">
        <v>581</v>
      </c>
    </row>
    <row r="16" spans="1:11" ht="19.5" customHeight="1" x14ac:dyDescent="0.2">
      <c r="A16" s="50">
        <v>1</v>
      </c>
      <c r="B16" s="51" t="s">
        <v>81</v>
      </c>
      <c r="C16" s="26">
        <v>1300000</v>
      </c>
      <c r="D16" s="52">
        <v>386</v>
      </c>
      <c r="E16" s="52">
        <v>0</v>
      </c>
      <c r="F16" s="26">
        <v>0</v>
      </c>
      <c r="G16" s="53">
        <f t="shared" ref="G16:G25" si="0">MAX(C16-F16,0)</f>
        <v>1300000</v>
      </c>
      <c r="H16" s="28">
        <f t="shared" ref="H16:H20" si="1">C16*D16/1000</f>
        <v>501800</v>
      </c>
      <c r="I16" s="54">
        <f>G16*E16/1000</f>
        <v>0</v>
      </c>
      <c r="J16" s="14" t="s">
        <v>303</v>
      </c>
      <c r="K16" s="640">
        <v>2019</v>
      </c>
    </row>
    <row r="17" spans="1:11" ht="19.5" customHeight="1" x14ac:dyDescent="0.2">
      <c r="A17" s="50">
        <v>2</v>
      </c>
      <c r="B17" s="55" t="s">
        <v>292</v>
      </c>
      <c r="C17" s="26">
        <v>800000</v>
      </c>
      <c r="D17" s="52">
        <v>130</v>
      </c>
      <c r="E17" s="52">
        <v>0</v>
      </c>
      <c r="F17" s="26">
        <v>0</v>
      </c>
      <c r="G17" s="53">
        <f t="shared" si="0"/>
        <v>800000</v>
      </c>
      <c r="H17" s="28">
        <f t="shared" si="1"/>
        <v>104000</v>
      </c>
      <c r="I17" s="54">
        <f>G17*E17/1000</f>
        <v>0</v>
      </c>
      <c r="J17" s="14" t="s">
        <v>303</v>
      </c>
      <c r="K17" s="640">
        <v>2019</v>
      </c>
    </row>
    <row r="18" spans="1:11" ht="19.5" customHeight="1" x14ac:dyDescent="0.2">
      <c r="A18" s="50">
        <v>3</v>
      </c>
      <c r="B18" s="51" t="s">
        <v>228</v>
      </c>
      <c r="C18" s="26">
        <v>900000</v>
      </c>
      <c r="D18" s="52">
        <v>408</v>
      </c>
      <c r="E18" s="52">
        <v>0</v>
      </c>
      <c r="F18" s="26">
        <v>0</v>
      </c>
      <c r="G18" s="53">
        <f t="shared" si="0"/>
        <v>900000</v>
      </c>
      <c r="H18" s="28">
        <f t="shared" si="1"/>
        <v>367200</v>
      </c>
      <c r="I18" s="54">
        <f t="shared" ref="I18:I20" si="2">G18*E18/1000</f>
        <v>0</v>
      </c>
      <c r="J18" s="14" t="s">
        <v>303</v>
      </c>
      <c r="K18" s="640">
        <v>2019</v>
      </c>
    </row>
    <row r="19" spans="1:11" ht="19.5" customHeight="1" x14ac:dyDescent="0.2">
      <c r="A19" s="50">
        <v>4</v>
      </c>
      <c r="B19" s="55" t="s">
        <v>225</v>
      </c>
      <c r="C19" s="26">
        <v>400000</v>
      </c>
      <c r="D19" s="52">
        <v>119</v>
      </c>
      <c r="E19" s="52">
        <v>0</v>
      </c>
      <c r="F19" s="26">
        <v>0</v>
      </c>
      <c r="G19" s="53">
        <f t="shared" si="0"/>
        <v>400000</v>
      </c>
      <c r="H19" s="28">
        <f t="shared" si="1"/>
        <v>47600</v>
      </c>
      <c r="I19" s="54">
        <f t="shared" si="2"/>
        <v>0</v>
      </c>
      <c r="J19" s="14" t="s">
        <v>303</v>
      </c>
      <c r="K19" s="640">
        <v>2019</v>
      </c>
    </row>
    <row r="20" spans="1:11" ht="19.5" customHeight="1" x14ac:dyDescent="0.2">
      <c r="A20" s="50">
        <v>5</v>
      </c>
      <c r="B20" s="51" t="s">
        <v>302</v>
      </c>
      <c r="C20" s="26">
        <v>200000</v>
      </c>
      <c r="D20" s="52">
        <v>250</v>
      </c>
      <c r="E20" s="52">
        <v>0</v>
      </c>
      <c r="F20" s="26">
        <v>0</v>
      </c>
      <c r="G20" s="53">
        <f t="shared" si="0"/>
        <v>200000</v>
      </c>
      <c r="H20" s="28">
        <f t="shared" si="1"/>
        <v>50000</v>
      </c>
      <c r="I20" s="54">
        <f t="shared" si="2"/>
        <v>0</v>
      </c>
      <c r="J20" s="14" t="s">
        <v>303</v>
      </c>
      <c r="K20" s="640">
        <v>2019</v>
      </c>
    </row>
    <row r="21" spans="1:11" ht="19.5" customHeight="1" x14ac:dyDescent="0.2">
      <c r="A21" s="50">
        <v>6</v>
      </c>
      <c r="B21" s="51" t="s">
        <v>81</v>
      </c>
      <c r="C21" s="26">
        <f>C16*0.75</f>
        <v>975000</v>
      </c>
      <c r="D21" s="52">
        <v>386</v>
      </c>
      <c r="E21" s="52">
        <v>0</v>
      </c>
      <c r="F21" s="26">
        <v>0</v>
      </c>
      <c r="G21" s="53">
        <f t="shared" si="0"/>
        <v>975000</v>
      </c>
      <c r="H21" s="28">
        <f>C21*D21/1000</f>
        <v>376350</v>
      </c>
      <c r="I21" s="54">
        <f>G21*E21/1000</f>
        <v>0</v>
      </c>
      <c r="J21" s="14" t="s">
        <v>303</v>
      </c>
      <c r="K21" s="640">
        <v>2020</v>
      </c>
    </row>
    <row r="22" spans="1:11" ht="19.5" customHeight="1" x14ac:dyDescent="0.2">
      <c r="A22" s="50">
        <v>7</v>
      </c>
      <c r="B22" s="55" t="s">
        <v>292</v>
      </c>
      <c r="C22" s="26">
        <f>C17*0.75</f>
        <v>600000</v>
      </c>
      <c r="D22" s="52">
        <v>130</v>
      </c>
      <c r="E22" s="52">
        <v>0</v>
      </c>
      <c r="F22" s="26">
        <v>0</v>
      </c>
      <c r="G22" s="53">
        <f t="shared" si="0"/>
        <v>600000</v>
      </c>
      <c r="H22" s="28">
        <f t="shared" ref="H22:H25" si="3">C22*D22/1000</f>
        <v>78000</v>
      </c>
      <c r="I22" s="54">
        <f>G22*E22/1000</f>
        <v>0</v>
      </c>
      <c r="J22" s="14" t="s">
        <v>303</v>
      </c>
      <c r="K22" s="640">
        <v>2020</v>
      </c>
    </row>
    <row r="23" spans="1:11" ht="19.5" customHeight="1" x14ac:dyDescent="0.2">
      <c r="A23" s="50">
        <v>8</v>
      </c>
      <c r="B23" s="51" t="s">
        <v>228</v>
      </c>
      <c r="C23" s="26">
        <f>C18*0.75</f>
        <v>675000</v>
      </c>
      <c r="D23" s="52">
        <v>408</v>
      </c>
      <c r="E23" s="52">
        <v>0</v>
      </c>
      <c r="F23" s="26">
        <v>0</v>
      </c>
      <c r="G23" s="53">
        <f t="shared" si="0"/>
        <v>675000</v>
      </c>
      <c r="H23" s="28">
        <f t="shared" si="3"/>
        <v>275400</v>
      </c>
      <c r="I23" s="54">
        <f t="shared" ref="I23:I25" si="4">G23*E23/1000</f>
        <v>0</v>
      </c>
      <c r="J23" s="14" t="s">
        <v>303</v>
      </c>
      <c r="K23" s="640">
        <v>2020</v>
      </c>
    </row>
    <row r="24" spans="1:11" ht="19.5" customHeight="1" x14ac:dyDescent="0.2">
      <c r="A24" s="50">
        <v>9</v>
      </c>
      <c r="B24" s="55" t="s">
        <v>225</v>
      </c>
      <c r="C24" s="26">
        <f>C19*0.75</f>
        <v>300000</v>
      </c>
      <c r="D24" s="52">
        <v>119</v>
      </c>
      <c r="E24" s="52">
        <v>0</v>
      </c>
      <c r="F24" s="26">
        <v>0</v>
      </c>
      <c r="G24" s="53">
        <f t="shared" si="0"/>
        <v>300000</v>
      </c>
      <c r="H24" s="28">
        <f t="shared" si="3"/>
        <v>35700</v>
      </c>
      <c r="I24" s="54">
        <f t="shared" si="4"/>
        <v>0</v>
      </c>
      <c r="J24" s="14" t="s">
        <v>303</v>
      </c>
      <c r="K24" s="640">
        <v>2020</v>
      </c>
    </row>
    <row r="25" spans="1:11" ht="19.5" customHeight="1" x14ac:dyDescent="0.2">
      <c r="A25" s="50">
        <v>10</v>
      </c>
      <c r="B25" s="51" t="s">
        <v>302</v>
      </c>
      <c r="C25" s="26">
        <f>C20*0.75</f>
        <v>150000</v>
      </c>
      <c r="D25" s="52">
        <v>250</v>
      </c>
      <c r="E25" s="52">
        <v>0</v>
      </c>
      <c r="F25" s="26">
        <v>0</v>
      </c>
      <c r="G25" s="53">
        <f t="shared" si="0"/>
        <v>150000</v>
      </c>
      <c r="H25" s="28">
        <f t="shared" si="3"/>
        <v>37500</v>
      </c>
      <c r="I25" s="54">
        <f t="shared" si="4"/>
        <v>0</v>
      </c>
      <c r="J25" s="14" t="s">
        <v>303</v>
      </c>
      <c r="K25" s="640">
        <v>2020</v>
      </c>
    </row>
    <row r="26" spans="1:11" ht="19.5" customHeight="1" x14ac:dyDescent="0.2">
      <c r="A26" s="50">
        <v>1</v>
      </c>
      <c r="B26" s="51" t="s">
        <v>81</v>
      </c>
      <c r="C26" s="26">
        <v>1300000</v>
      </c>
      <c r="D26" s="52">
        <v>386</v>
      </c>
      <c r="E26" s="52">
        <v>0</v>
      </c>
      <c r="F26" s="26">
        <v>0</v>
      </c>
      <c r="G26" s="53">
        <f t="shared" ref="G26:G35" si="5">MAX(C26-F26,0)</f>
        <v>1300000</v>
      </c>
      <c r="H26" s="28">
        <f t="shared" ref="H26:H30" si="6">C26*D26/1000</f>
        <v>501800</v>
      </c>
      <c r="I26" s="54">
        <f>G26*E26/1000</f>
        <v>0</v>
      </c>
      <c r="J26" s="14" t="s">
        <v>303</v>
      </c>
      <c r="K26" s="640">
        <v>2021</v>
      </c>
    </row>
    <row r="27" spans="1:11" ht="19.5" customHeight="1" x14ac:dyDescent="0.2">
      <c r="A27" s="50">
        <v>2</v>
      </c>
      <c r="B27" s="55" t="s">
        <v>292</v>
      </c>
      <c r="C27" s="26">
        <v>800000</v>
      </c>
      <c r="D27" s="52">
        <v>130</v>
      </c>
      <c r="E27" s="52">
        <v>0</v>
      </c>
      <c r="F27" s="26">
        <v>0</v>
      </c>
      <c r="G27" s="53">
        <f t="shared" si="5"/>
        <v>800000</v>
      </c>
      <c r="H27" s="28">
        <f t="shared" si="6"/>
        <v>104000</v>
      </c>
      <c r="I27" s="54">
        <f>G27*E27/1000</f>
        <v>0</v>
      </c>
      <c r="J27" s="14" t="s">
        <v>303</v>
      </c>
      <c r="K27" s="640">
        <v>2021</v>
      </c>
    </row>
    <row r="28" spans="1:11" ht="19.5" customHeight="1" x14ac:dyDescent="0.2">
      <c r="A28" s="50">
        <v>3</v>
      </c>
      <c r="B28" s="51" t="s">
        <v>228</v>
      </c>
      <c r="C28" s="26">
        <v>900000</v>
      </c>
      <c r="D28" s="52">
        <v>408</v>
      </c>
      <c r="E28" s="52">
        <v>0</v>
      </c>
      <c r="F28" s="26">
        <v>0</v>
      </c>
      <c r="G28" s="53">
        <f t="shared" si="5"/>
        <v>900000</v>
      </c>
      <c r="H28" s="28">
        <f t="shared" si="6"/>
        <v>367200</v>
      </c>
      <c r="I28" s="54">
        <f t="shared" ref="I28:I30" si="7">G28*E28/1000</f>
        <v>0</v>
      </c>
      <c r="J28" s="14" t="s">
        <v>303</v>
      </c>
      <c r="K28" s="640">
        <v>2021</v>
      </c>
    </row>
    <row r="29" spans="1:11" ht="19.5" customHeight="1" x14ac:dyDescent="0.2">
      <c r="A29" s="50">
        <v>4</v>
      </c>
      <c r="B29" s="55" t="s">
        <v>225</v>
      </c>
      <c r="C29" s="26">
        <v>400000</v>
      </c>
      <c r="D29" s="52">
        <v>119</v>
      </c>
      <c r="E29" s="52">
        <v>0</v>
      </c>
      <c r="F29" s="26">
        <v>0</v>
      </c>
      <c r="G29" s="53">
        <f t="shared" si="5"/>
        <v>400000</v>
      </c>
      <c r="H29" s="28">
        <f t="shared" si="6"/>
        <v>47600</v>
      </c>
      <c r="I29" s="54">
        <f t="shared" si="7"/>
        <v>0</v>
      </c>
      <c r="J29" s="14" t="s">
        <v>303</v>
      </c>
      <c r="K29" s="640">
        <v>2021</v>
      </c>
    </row>
    <row r="30" spans="1:11" ht="19.5" customHeight="1" x14ac:dyDescent="0.2">
      <c r="A30" s="50">
        <v>5</v>
      </c>
      <c r="B30" s="51" t="s">
        <v>302</v>
      </c>
      <c r="C30" s="26">
        <v>200000</v>
      </c>
      <c r="D30" s="52">
        <v>250</v>
      </c>
      <c r="E30" s="52">
        <v>0</v>
      </c>
      <c r="F30" s="26">
        <v>0</v>
      </c>
      <c r="G30" s="53">
        <f t="shared" si="5"/>
        <v>200000</v>
      </c>
      <c r="H30" s="28">
        <f t="shared" si="6"/>
        <v>50000</v>
      </c>
      <c r="I30" s="54">
        <f t="shared" si="7"/>
        <v>0</v>
      </c>
      <c r="J30" s="14" t="s">
        <v>303</v>
      </c>
      <c r="K30" s="640">
        <v>2021</v>
      </c>
    </row>
    <row r="31" spans="1:11" ht="19.5" customHeight="1" x14ac:dyDescent="0.2">
      <c r="A31" s="50">
        <v>6</v>
      </c>
      <c r="B31" s="51" t="s">
        <v>81</v>
      </c>
      <c r="C31" s="26">
        <f>C26*0.75</f>
        <v>975000</v>
      </c>
      <c r="D31" s="52">
        <v>386</v>
      </c>
      <c r="E31" s="52">
        <v>0</v>
      </c>
      <c r="F31" s="26">
        <v>0</v>
      </c>
      <c r="G31" s="53">
        <f t="shared" si="5"/>
        <v>975000</v>
      </c>
      <c r="H31" s="28">
        <f>C31*D31/1000</f>
        <v>376350</v>
      </c>
      <c r="I31" s="54">
        <f>G31*E31/1000</f>
        <v>0</v>
      </c>
      <c r="J31" s="14" t="s">
        <v>303</v>
      </c>
      <c r="K31" s="640">
        <v>2022</v>
      </c>
    </row>
    <row r="32" spans="1:11" ht="19.5" customHeight="1" x14ac:dyDescent="0.2">
      <c r="A32" s="50">
        <v>7</v>
      </c>
      <c r="B32" s="55" t="s">
        <v>292</v>
      </c>
      <c r="C32" s="26">
        <f>C27*0.75</f>
        <v>600000</v>
      </c>
      <c r="D32" s="52">
        <v>130</v>
      </c>
      <c r="E32" s="52">
        <v>0</v>
      </c>
      <c r="F32" s="26">
        <v>0</v>
      </c>
      <c r="G32" s="53">
        <f t="shared" si="5"/>
        <v>600000</v>
      </c>
      <c r="H32" s="28">
        <f t="shared" ref="H32:H35" si="8">C32*D32/1000</f>
        <v>78000</v>
      </c>
      <c r="I32" s="54">
        <f>G32*E32/1000</f>
        <v>0</v>
      </c>
      <c r="J32" s="14" t="s">
        <v>303</v>
      </c>
      <c r="K32" s="640">
        <v>2022</v>
      </c>
    </row>
    <row r="33" spans="1:11" ht="19.5" customHeight="1" x14ac:dyDescent="0.2">
      <c r="A33" s="50">
        <v>8</v>
      </c>
      <c r="B33" s="51" t="s">
        <v>228</v>
      </c>
      <c r="C33" s="26">
        <f>C28*0.75</f>
        <v>675000</v>
      </c>
      <c r="D33" s="52">
        <v>408</v>
      </c>
      <c r="E33" s="52">
        <v>0</v>
      </c>
      <c r="F33" s="26">
        <v>0</v>
      </c>
      <c r="G33" s="53">
        <f t="shared" si="5"/>
        <v>675000</v>
      </c>
      <c r="H33" s="28">
        <f t="shared" si="8"/>
        <v>275400</v>
      </c>
      <c r="I33" s="54">
        <f t="shared" ref="I33:I35" si="9">G33*E33/1000</f>
        <v>0</v>
      </c>
      <c r="J33" s="14" t="s">
        <v>303</v>
      </c>
      <c r="K33" s="640">
        <v>2022</v>
      </c>
    </row>
    <row r="34" spans="1:11" ht="19.5" customHeight="1" x14ac:dyDescent="0.2">
      <c r="A34" s="50">
        <v>9</v>
      </c>
      <c r="B34" s="55" t="s">
        <v>225</v>
      </c>
      <c r="C34" s="26">
        <f>C29*0.75</f>
        <v>300000</v>
      </c>
      <c r="D34" s="52">
        <v>119</v>
      </c>
      <c r="E34" s="52">
        <v>0</v>
      </c>
      <c r="F34" s="26">
        <v>0</v>
      </c>
      <c r="G34" s="53">
        <f t="shared" si="5"/>
        <v>300000</v>
      </c>
      <c r="H34" s="28">
        <f t="shared" si="8"/>
        <v>35700</v>
      </c>
      <c r="I34" s="54">
        <f t="shared" si="9"/>
        <v>0</v>
      </c>
      <c r="J34" s="14" t="s">
        <v>303</v>
      </c>
      <c r="K34" s="640">
        <v>2022</v>
      </c>
    </row>
    <row r="35" spans="1:11" ht="19.5" customHeight="1" x14ac:dyDescent="0.2">
      <c r="A35" s="50">
        <v>10</v>
      </c>
      <c r="B35" s="51" t="s">
        <v>302</v>
      </c>
      <c r="C35" s="26">
        <f>C30*0.75</f>
        <v>150000</v>
      </c>
      <c r="D35" s="52">
        <v>250</v>
      </c>
      <c r="E35" s="52">
        <v>0</v>
      </c>
      <c r="F35" s="26">
        <v>0</v>
      </c>
      <c r="G35" s="53">
        <f t="shared" si="5"/>
        <v>150000</v>
      </c>
      <c r="H35" s="28">
        <f t="shared" si="8"/>
        <v>37500</v>
      </c>
      <c r="I35" s="54">
        <f t="shared" si="9"/>
        <v>0</v>
      </c>
      <c r="J35" s="14" t="s">
        <v>303</v>
      </c>
      <c r="K35" s="640">
        <v>2022</v>
      </c>
    </row>
    <row r="36" spans="1:11" ht="19.5" customHeight="1" x14ac:dyDescent="0.2">
      <c r="A36" s="50">
        <v>1</v>
      </c>
      <c r="B36" s="51" t="s">
        <v>81</v>
      </c>
      <c r="C36" s="26">
        <v>1300000</v>
      </c>
      <c r="D36" s="52">
        <v>386</v>
      </c>
      <c r="E36" s="52">
        <v>0</v>
      </c>
      <c r="F36" s="26">
        <v>0</v>
      </c>
      <c r="G36" s="53">
        <f t="shared" ref="G36:G40" si="10">MAX(C36-F36,0)</f>
        <v>1300000</v>
      </c>
      <c r="H36" s="28">
        <f t="shared" ref="H36:H40" si="11">C36*D36/1000</f>
        <v>501800</v>
      </c>
      <c r="I36" s="54">
        <f>G36*E36/1000</f>
        <v>0</v>
      </c>
      <c r="J36" s="14" t="s">
        <v>303</v>
      </c>
      <c r="K36" s="640">
        <v>2023</v>
      </c>
    </row>
    <row r="37" spans="1:11" ht="19.5" customHeight="1" x14ac:dyDescent="0.2">
      <c r="A37" s="50">
        <v>2</v>
      </c>
      <c r="B37" s="55" t="s">
        <v>292</v>
      </c>
      <c r="C37" s="26">
        <v>800000</v>
      </c>
      <c r="D37" s="52">
        <v>130</v>
      </c>
      <c r="E37" s="52">
        <v>0</v>
      </c>
      <c r="F37" s="26">
        <v>0</v>
      </c>
      <c r="G37" s="53">
        <f t="shared" si="10"/>
        <v>800000</v>
      </c>
      <c r="H37" s="28">
        <f t="shared" si="11"/>
        <v>104000</v>
      </c>
      <c r="I37" s="54">
        <f>G37*E37/1000</f>
        <v>0</v>
      </c>
      <c r="J37" s="14" t="s">
        <v>303</v>
      </c>
      <c r="K37" s="640">
        <v>2023</v>
      </c>
    </row>
    <row r="38" spans="1:11" ht="19.5" customHeight="1" x14ac:dyDescent="0.2">
      <c r="A38" s="50">
        <v>3</v>
      </c>
      <c r="B38" s="51" t="s">
        <v>228</v>
      </c>
      <c r="C38" s="26">
        <v>900000</v>
      </c>
      <c r="D38" s="52">
        <v>408</v>
      </c>
      <c r="E38" s="52">
        <v>0</v>
      </c>
      <c r="F38" s="26">
        <v>0</v>
      </c>
      <c r="G38" s="53">
        <f t="shared" si="10"/>
        <v>900000</v>
      </c>
      <c r="H38" s="28">
        <f t="shared" si="11"/>
        <v>367200</v>
      </c>
      <c r="I38" s="54">
        <f t="shared" ref="I38:I40" si="12">G38*E38/1000</f>
        <v>0</v>
      </c>
      <c r="J38" s="14" t="s">
        <v>303</v>
      </c>
      <c r="K38" s="640">
        <v>2023</v>
      </c>
    </row>
    <row r="39" spans="1:11" ht="19.5" customHeight="1" x14ac:dyDescent="0.2">
      <c r="A39" s="50">
        <v>4</v>
      </c>
      <c r="B39" s="55" t="s">
        <v>225</v>
      </c>
      <c r="C39" s="26">
        <v>400000</v>
      </c>
      <c r="D39" s="52">
        <v>119</v>
      </c>
      <c r="E39" s="52">
        <v>0</v>
      </c>
      <c r="F39" s="26">
        <v>0</v>
      </c>
      <c r="G39" s="53">
        <f t="shared" si="10"/>
        <v>400000</v>
      </c>
      <c r="H39" s="28">
        <f t="shared" si="11"/>
        <v>47600</v>
      </c>
      <c r="I39" s="54">
        <f t="shared" si="12"/>
        <v>0</v>
      </c>
      <c r="J39" s="14" t="s">
        <v>303</v>
      </c>
      <c r="K39" s="640">
        <v>2023</v>
      </c>
    </row>
    <row r="40" spans="1:11" ht="19.5" customHeight="1" x14ac:dyDescent="0.2">
      <c r="A40" s="50">
        <v>5</v>
      </c>
      <c r="B40" s="51" t="s">
        <v>302</v>
      </c>
      <c r="C40" s="26">
        <v>200000</v>
      </c>
      <c r="D40" s="52">
        <v>250</v>
      </c>
      <c r="E40" s="52">
        <v>0</v>
      </c>
      <c r="F40" s="26">
        <v>0</v>
      </c>
      <c r="G40" s="53">
        <f t="shared" si="10"/>
        <v>200000</v>
      </c>
      <c r="H40" s="28">
        <f t="shared" si="11"/>
        <v>50000</v>
      </c>
      <c r="I40" s="54">
        <f t="shared" si="12"/>
        <v>0</v>
      </c>
      <c r="J40" s="14" t="s">
        <v>303</v>
      </c>
      <c r="K40" s="640">
        <v>2023</v>
      </c>
    </row>
    <row r="41" spans="1:11" ht="19.5" customHeight="1" x14ac:dyDescent="0.2">
      <c r="A41" s="50">
        <v>6</v>
      </c>
      <c r="B41" s="51" t="s">
        <v>81</v>
      </c>
      <c r="C41" s="26">
        <f>C36*0.75</f>
        <v>975000</v>
      </c>
      <c r="D41" s="52">
        <v>386</v>
      </c>
      <c r="E41" s="52">
        <v>0</v>
      </c>
      <c r="F41" s="26">
        <v>0</v>
      </c>
      <c r="G41" s="53">
        <f t="shared" ref="G41:G45" si="13">MAX(C41-F41,0)</f>
        <v>975000</v>
      </c>
      <c r="H41" s="28">
        <f>C41*D41/1000</f>
        <v>376350</v>
      </c>
      <c r="I41" s="54">
        <f>G41*E41/1000</f>
        <v>0</v>
      </c>
      <c r="J41" s="14" t="s">
        <v>303</v>
      </c>
      <c r="K41" s="640">
        <v>2024</v>
      </c>
    </row>
    <row r="42" spans="1:11" ht="19.5" customHeight="1" x14ac:dyDescent="0.2">
      <c r="A42" s="50">
        <v>7</v>
      </c>
      <c r="B42" s="55" t="s">
        <v>292</v>
      </c>
      <c r="C42" s="26">
        <f>C37*0.75</f>
        <v>600000</v>
      </c>
      <c r="D42" s="52">
        <v>130</v>
      </c>
      <c r="E42" s="52">
        <v>0</v>
      </c>
      <c r="F42" s="26">
        <v>0</v>
      </c>
      <c r="G42" s="53">
        <f t="shared" si="13"/>
        <v>600000</v>
      </c>
      <c r="H42" s="28">
        <f t="shared" ref="H42:H45" si="14">C42*D42/1000</f>
        <v>78000</v>
      </c>
      <c r="I42" s="54">
        <f>G42*E42/1000</f>
        <v>0</v>
      </c>
      <c r="J42" s="14" t="s">
        <v>303</v>
      </c>
      <c r="K42" s="640">
        <v>2024</v>
      </c>
    </row>
    <row r="43" spans="1:11" ht="19.5" customHeight="1" x14ac:dyDescent="0.2">
      <c r="A43" s="50">
        <v>8</v>
      </c>
      <c r="B43" s="51" t="s">
        <v>228</v>
      </c>
      <c r="C43" s="26">
        <f>C38*0.75</f>
        <v>675000</v>
      </c>
      <c r="D43" s="52">
        <v>408</v>
      </c>
      <c r="E43" s="52">
        <v>0</v>
      </c>
      <c r="F43" s="26">
        <v>0</v>
      </c>
      <c r="G43" s="53">
        <f t="shared" si="13"/>
        <v>675000</v>
      </c>
      <c r="H43" s="28">
        <f t="shared" si="14"/>
        <v>275400</v>
      </c>
      <c r="I43" s="54">
        <f t="shared" ref="I43:I45" si="15">G43*E43/1000</f>
        <v>0</v>
      </c>
      <c r="J43" s="14" t="s">
        <v>303</v>
      </c>
      <c r="K43" s="640">
        <v>2024</v>
      </c>
    </row>
    <row r="44" spans="1:11" ht="19.5" customHeight="1" x14ac:dyDescent="0.2">
      <c r="A44" s="50">
        <v>9</v>
      </c>
      <c r="B44" s="55" t="s">
        <v>225</v>
      </c>
      <c r="C44" s="26">
        <f>C39*0.75</f>
        <v>300000</v>
      </c>
      <c r="D44" s="52">
        <v>119</v>
      </c>
      <c r="E44" s="52">
        <v>0</v>
      </c>
      <c r="F44" s="26">
        <v>0</v>
      </c>
      <c r="G44" s="53">
        <f t="shared" si="13"/>
        <v>300000</v>
      </c>
      <c r="H44" s="28">
        <f t="shared" si="14"/>
        <v>35700</v>
      </c>
      <c r="I44" s="54">
        <f t="shared" si="15"/>
        <v>0</v>
      </c>
      <c r="J44" s="14" t="s">
        <v>303</v>
      </c>
      <c r="K44" s="640">
        <v>2024</v>
      </c>
    </row>
    <row r="45" spans="1:11" ht="19.5" customHeight="1" x14ac:dyDescent="0.2">
      <c r="A45" s="50">
        <v>10</v>
      </c>
      <c r="B45" s="51" t="s">
        <v>302</v>
      </c>
      <c r="C45" s="26">
        <f>C40*0.75</f>
        <v>150000</v>
      </c>
      <c r="D45" s="52">
        <v>250</v>
      </c>
      <c r="E45" s="52">
        <v>0</v>
      </c>
      <c r="F45" s="26">
        <v>0</v>
      </c>
      <c r="G45" s="53">
        <f t="shared" si="13"/>
        <v>150000</v>
      </c>
      <c r="H45" s="28">
        <f t="shared" si="14"/>
        <v>37500</v>
      </c>
      <c r="I45" s="54">
        <f t="shared" si="15"/>
        <v>0</v>
      </c>
      <c r="J45" s="14" t="s">
        <v>303</v>
      </c>
      <c r="K45" s="640">
        <v>2024</v>
      </c>
    </row>
    <row r="46" spans="1:11" ht="21.75" customHeight="1" x14ac:dyDescent="0.2">
      <c r="A46" s="56"/>
      <c r="B46" s="57" t="s">
        <v>305</v>
      </c>
      <c r="C46" s="58"/>
      <c r="D46" s="56"/>
      <c r="E46" s="56"/>
      <c r="F46" s="58"/>
      <c r="G46" s="58">
        <f>SUM(G36:G40)</f>
        <v>3600000</v>
      </c>
      <c r="H46" s="58">
        <f>SUM(H36:H45)</f>
        <v>1873550</v>
      </c>
      <c r="I46" s="58"/>
      <c r="J46" s="56"/>
    </row>
    <row r="48" spans="1:11" ht="21.75" customHeight="1" x14ac:dyDescent="0.2">
      <c r="A48" s="643" t="s">
        <v>306</v>
      </c>
      <c r="B48" s="644"/>
      <c r="C48" s="644"/>
      <c r="D48" s="644"/>
      <c r="E48" s="644"/>
      <c r="F48" s="644"/>
      <c r="G48" s="644"/>
      <c r="H48" s="644"/>
      <c r="I48" s="644"/>
      <c r="J48" s="644"/>
    </row>
    <row r="49" spans="1:11" ht="30" customHeight="1" x14ac:dyDescent="0.2">
      <c r="A49" s="59" t="s">
        <v>131</v>
      </c>
      <c r="B49" s="59" t="s">
        <v>307</v>
      </c>
      <c r="C49" s="59" t="s">
        <v>308</v>
      </c>
      <c r="D49" s="59" t="s">
        <v>133</v>
      </c>
      <c r="E49" s="59" t="s">
        <v>309</v>
      </c>
      <c r="F49" s="59" t="s">
        <v>310</v>
      </c>
      <c r="G49" s="59" t="s">
        <v>311</v>
      </c>
      <c r="H49" s="59" t="s">
        <v>300</v>
      </c>
      <c r="I49" s="59" t="s">
        <v>301</v>
      </c>
      <c r="J49" s="59" t="s">
        <v>175</v>
      </c>
    </row>
    <row r="50" spans="1:11" ht="19.5" customHeight="1" x14ac:dyDescent="0.2">
      <c r="A50" s="60">
        <v>1</v>
      </c>
      <c r="B50" s="63" t="s">
        <v>312</v>
      </c>
      <c r="C50" s="26">
        <v>24007727</v>
      </c>
      <c r="D50" s="19" t="s">
        <v>138</v>
      </c>
      <c r="E50" s="62">
        <v>66.33</v>
      </c>
      <c r="F50" s="62">
        <v>1.25</v>
      </c>
      <c r="G50" s="62">
        <v>0.125</v>
      </c>
      <c r="H50" s="28">
        <f>((E50*C50)/1000)+((C50*F50*Assumptions!E25)/1000000)+(('Scope 2 W'!C50*'Scope 2 W'!G50*Assumptions!E27)/1000000)</f>
        <v>1594146.083424625</v>
      </c>
      <c r="I50" s="28">
        <f>C50*E50/1000</f>
        <v>1592432.5319099999</v>
      </c>
      <c r="J50" s="14" t="s">
        <v>313</v>
      </c>
      <c r="K50">
        <v>2023</v>
      </c>
    </row>
    <row r="51" spans="1:11" ht="19.5" customHeight="1" x14ac:dyDescent="0.2">
      <c r="A51" s="60">
        <v>2</v>
      </c>
      <c r="B51" s="63" t="s">
        <v>314</v>
      </c>
      <c r="C51" s="26">
        <v>-4930723</v>
      </c>
      <c r="D51" s="19" t="s">
        <v>138</v>
      </c>
      <c r="E51" s="62">
        <v>66.33</v>
      </c>
      <c r="F51" s="62">
        <v>1.25</v>
      </c>
      <c r="G51" s="62">
        <v>0.125</v>
      </c>
      <c r="H51" s="28">
        <f>C51*E51/1000</f>
        <v>-327054.85658999998</v>
      </c>
      <c r="I51" s="28">
        <f>C51*E51/1000</f>
        <v>-327054.85658999998</v>
      </c>
      <c r="J51" s="14" t="s">
        <v>313</v>
      </c>
      <c r="K51">
        <v>2023</v>
      </c>
    </row>
    <row r="52" spans="1:11" ht="19.5" customHeight="1" x14ac:dyDescent="0.2">
      <c r="A52" s="60">
        <v>3</v>
      </c>
      <c r="B52" s="63" t="s">
        <v>323</v>
      </c>
      <c r="C52" s="26"/>
      <c r="D52" s="19"/>
      <c r="E52" s="62"/>
      <c r="F52" s="62"/>
      <c r="G52" s="62"/>
      <c r="H52" s="28"/>
      <c r="I52" s="28"/>
      <c r="J52" s="14"/>
    </row>
    <row r="53" spans="1:11" ht="19.5" customHeight="1" x14ac:dyDescent="0.2">
      <c r="A53" s="60">
        <v>4</v>
      </c>
      <c r="B53" s="63" t="s">
        <v>312</v>
      </c>
      <c r="C53" s="26">
        <v>25167585</v>
      </c>
      <c r="D53" s="19" t="s">
        <v>138</v>
      </c>
      <c r="E53" s="62">
        <v>66.33</v>
      </c>
      <c r="F53" s="62">
        <v>1.25</v>
      </c>
      <c r="G53" s="62">
        <v>0.125</v>
      </c>
      <c r="H53" s="28">
        <f>((E53*C53)/1000)+((C53*F53*Assumptions!E27)/1000000)+(('Scope 2 W'!C53*'Scope 2 W'!G53*Assumptions!E29)/1000000)</f>
        <v>1757232.2441812498</v>
      </c>
      <c r="I53" s="28">
        <f>C53*E53/1000</f>
        <v>1669365.9130499999</v>
      </c>
      <c r="J53" s="14" t="s">
        <v>313</v>
      </c>
      <c r="K53">
        <v>2024</v>
      </c>
    </row>
    <row r="54" spans="1:11" ht="19.5" customHeight="1" x14ac:dyDescent="0.2">
      <c r="A54" s="60">
        <v>5</v>
      </c>
      <c r="B54" s="63" t="s">
        <v>314</v>
      </c>
      <c r="C54" s="26">
        <v>-3777351</v>
      </c>
      <c r="D54" s="19" t="s">
        <v>138</v>
      </c>
      <c r="E54" s="62">
        <v>66.33</v>
      </c>
      <c r="F54" s="62">
        <v>1.25</v>
      </c>
      <c r="G54" s="62">
        <v>0.125</v>
      </c>
      <c r="H54" s="28">
        <f>C54*E54/1000</f>
        <v>-250551.69183</v>
      </c>
      <c r="I54" s="28">
        <f>C54*E54/1000</f>
        <v>-250551.69183</v>
      </c>
      <c r="J54" s="14" t="s">
        <v>313</v>
      </c>
      <c r="K54">
        <v>2024</v>
      </c>
    </row>
    <row r="55" spans="1:11" ht="19.5" customHeight="1" x14ac:dyDescent="0.2">
      <c r="A55" s="60">
        <v>6</v>
      </c>
      <c r="B55" s="63"/>
      <c r="C55" s="26"/>
      <c r="D55" s="19"/>
      <c r="E55" s="62"/>
      <c r="F55" s="62"/>
      <c r="G55" s="62"/>
      <c r="H55" s="28"/>
      <c r="I55" s="28"/>
      <c r="J55" s="14"/>
    </row>
    <row r="56" spans="1:11" ht="21.75" customHeight="1" x14ac:dyDescent="0.2">
      <c r="A56" s="64"/>
      <c r="B56" s="65" t="s">
        <v>316</v>
      </c>
      <c r="C56" s="64"/>
      <c r="D56" s="64"/>
      <c r="E56" s="64"/>
      <c r="F56" s="64"/>
      <c r="G56" s="64"/>
      <c r="H56" s="66"/>
      <c r="I56" s="66"/>
      <c r="J56" s="64"/>
    </row>
    <row r="58" spans="1:11" ht="27.75" customHeight="1" x14ac:dyDescent="0.2">
      <c r="A58" s="645" t="s">
        <v>317</v>
      </c>
      <c r="B58" s="642"/>
      <c r="C58" s="642"/>
      <c r="D58" s="642"/>
      <c r="E58" s="642"/>
      <c r="F58" s="642"/>
      <c r="G58" s="642"/>
      <c r="H58" s="67"/>
      <c r="I58" s="56"/>
      <c r="J58" s="56"/>
    </row>
    <row r="59" spans="1:11" ht="27.75" customHeight="1" x14ac:dyDescent="0.2">
      <c r="A59" s="641" t="s">
        <v>318</v>
      </c>
      <c r="B59" s="642"/>
      <c r="C59" s="642"/>
      <c r="D59" s="642"/>
      <c r="E59" s="642"/>
      <c r="F59" s="642"/>
      <c r="G59" s="642"/>
      <c r="H59" s="64"/>
      <c r="I59" s="68">
        <v>0</v>
      </c>
      <c r="J59" s="64"/>
    </row>
    <row r="60" spans="1:11" x14ac:dyDescent="0.2">
      <c r="A60" t="s">
        <v>319</v>
      </c>
    </row>
    <row r="61" spans="1:11" x14ac:dyDescent="0.2">
      <c r="H61" t="s">
        <v>320</v>
      </c>
      <c r="I61" t="s">
        <v>321</v>
      </c>
    </row>
    <row r="62" spans="1:11" x14ac:dyDescent="0.2">
      <c r="G62">
        <v>2023</v>
      </c>
      <c r="H62" s="610">
        <f>SUM(H50:H51)</f>
        <v>1267091.226834625</v>
      </c>
      <c r="I62" s="610">
        <f>SUM(H36:H40)</f>
        <v>1070600</v>
      </c>
      <c r="J62" s="610">
        <f>SUM(H62:I62)</f>
        <v>2337691.226834625</v>
      </c>
    </row>
    <row r="63" spans="1:11" x14ac:dyDescent="0.2">
      <c r="G63">
        <v>2024</v>
      </c>
      <c r="H63" s="610">
        <f>SUM(H53:H54)</f>
        <v>1506680.5523512498</v>
      </c>
      <c r="I63" s="610">
        <f>SUM(H41:H45)</f>
        <v>802950</v>
      </c>
      <c r="J63" s="610">
        <f>SUM(H63:I63)</f>
        <v>2309630.5523512498</v>
      </c>
    </row>
  </sheetData>
  <mergeCells count="8">
    <mergeCell ref="A59:G59"/>
    <mergeCell ref="A48:J48"/>
    <mergeCell ref="A58:G58"/>
    <mergeCell ref="A1:J1"/>
    <mergeCell ref="A5:J5"/>
    <mergeCell ref="A4:J4"/>
    <mergeCell ref="A2:J2"/>
    <mergeCell ref="A14:K1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AA3F0-A0DD-4845-BF91-8586B6E60245}">
  <sheetPr>
    <tabColor rgb="FF6A1B9A"/>
  </sheetPr>
  <dimension ref="A1:M70"/>
  <sheetViews>
    <sheetView showGridLines="0" zoomScaleNormal="100" workbookViewId="0">
      <pane xSplit="2" ySplit="5" topLeftCell="C18" activePane="bottomRight" state="frozen"/>
      <selection pane="topRight" activeCell="C1" sqref="C1"/>
      <selection pane="bottomLeft" activeCell="A6" sqref="A6"/>
      <selection pane="bottomRight" sqref="A1:L1"/>
    </sheetView>
  </sheetViews>
  <sheetFormatPr baseColWidth="10" defaultColWidth="8.6640625" defaultRowHeight="15" x14ac:dyDescent="0.2"/>
  <cols>
    <col min="1" max="1" width="5" customWidth="1"/>
    <col min="2" max="2" width="51.6640625" customWidth="1"/>
    <col min="3" max="3" width="28" customWidth="1"/>
    <col min="4" max="5" width="18" customWidth="1"/>
    <col min="6" max="6" width="16" customWidth="1"/>
    <col min="7" max="8" width="22" customWidth="1"/>
    <col min="9" max="9" width="40.1640625" customWidth="1"/>
    <col min="10" max="10" width="28.1640625" bestFit="1" customWidth="1"/>
    <col min="11" max="11" width="16" customWidth="1"/>
    <col min="12" max="12" width="26" customWidth="1"/>
    <col min="13" max="13" width="12.5" customWidth="1"/>
  </cols>
  <sheetData>
    <row r="1" spans="1:12" ht="48" customHeight="1" x14ac:dyDescent="0.2">
      <c r="A1" s="670" t="s">
        <v>324</v>
      </c>
      <c r="B1" s="644"/>
      <c r="C1" s="644"/>
      <c r="D1" s="644"/>
      <c r="E1" s="644"/>
      <c r="F1" s="644"/>
      <c r="G1" s="644"/>
      <c r="H1" s="644"/>
      <c r="I1" s="644"/>
      <c r="J1" s="644"/>
      <c r="K1" s="644"/>
      <c r="L1" s="644"/>
    </row>
    <row r="2" spans="1:12" ht="19.5" customHeight="1" x14ac:dyDescent="0.2">
      <c r="A2" s="671" t="s">
        <v>325</v>
      </c>
      <c r="B2" s="644"/>
      <c r="C2" s="644"/>
      <c r="D2" s="644"/>
      <c r="E2" s="644"/>
      <c r="F2" s="644"/>
      <c r="G2" s="644"/>
      <c r="H2" s="644"/>
      <c r="I2" s="644"/>
      <c r="J2" s="644"/>
      <c r="K2" s="644"/>
      <c r="L2" s="644"/>
    </row>
    <row r="4" spans="1:12" ht="21.75" customHeight="1" x14ac:dyDescent="0.2">
      <c r="A4" s="672" t="s">
        <v>326</v>
      </c>
      <c r="B4" s="644"/>
      <c r="C4" s="644"/>
      <c r="D4" s="644"/>
      <c r="E4" s="644"/>
      <c r="F4" s="644"/>
      <c r="G4" s="644"/>
      <c r="H4" s="644"/>
      <c r="I4" s="644"/>
      <c r="J4" s="644"/>
      <c r="K4" s="644"/>
      <c r="L4" s="644"/>
    </row>
    <row r="5" spans="1:12" ht="27.75" customHeight="1" x14ac:dyDescent="0.2">
      <c r="A5" s="69"/>
      <c r="B5" s="69" t="s">
        <v>327</v>
      </c>
      <c r="C5" s="69" t="s">
        <v>328</v>
      </c>
      <c r="D5" s="69" t="s">
        <v>329</v>
      </c>
      <c r="E5" s="69" t="s">
        <v>330</v>
      </c>
      <c r="F5" s="69" t="s">
        <v>331</v>
      </c>
      <c r="G5" s="288" t="s">
        <v>332</v>
      </c>
      <c r="H5" s="69" t="s">
        <v>333</v>
      </c>
      <c r="I5" s="69"/>
      <c r="J5" s="69"/>
      <c r="K5" s="69"/>
    </row>
    <row r="6" spans="1:12" ht="18" customHeight="1" x14ac:dyDescent="0.2">
      <c r="A6" s="70"/>
      <c r="B6" s="71" t="s">
        <v>334</v>
      </c>
      <c r="C6" s="72" t="s">
        <v>335</v>
      </c>
      <c r="D6" s="73" t="s">
        <v>336</v>
      </c>
      <c r="E6" s="73" t="s">
        <v>337</v>
      </c>
      <c r="F6" s="73" t="s">
        <v>338</v>
      </c>
      <c r="G6" s="73" t="s">
        <v>339</v>
      </c>
      <c r="H6" s="287" t="s">
        <v>340</v>
      </c>
    </row>
    <row r="7" spans="1:12" ht="18" customHeight="1" x14ac:dyDescent="0.2">
      <c r="A7" s="70"/>
      <c r="B7" s="71" t="s">
        <v>341</v>
      </c>
      <c r="C7" s="72" t="s">
        <v>342</v>
      </c>
      <c r="D7" s="73" t="s">
        <v>336</v>
      </c>
      <c r="E7" s="73" t="s">
        <v>343</v>
      </c>
      <c r="F7" s="73" t="s">
        <v>344</v>
      </c>
      <c r="G7" s="73" t="s">
        <v>345</v>
      </c>
      <c r="H7" s="287" t="s">
        <v>346</v>
      </c>
    </row>
    <row r="8" spans="1:12" ht="18" customHeight="1" x14ac:dyDescent="0.2">
      <c r="A8" s="70"/>
      <c r="B8" s="71" t="s">
        <v>347</v>
      </c>
      <c r="C8" s="72" t="s">
        <v>348</v>
      </c>
      <c r="D8" s="73" t="s">
        <v>336</v>
      </c>
      <c r="E8" s="73" t="s">
        <v>349</v>
      </c>
      <c r="F8" s="73" t="s">
        <v>350</v>
      </c>
      <c r="G8" s="73" t="s">
        <v>351</v>
      </c>
      <c r="H8" s="287" t="s">
        <v>352</v>
      </c>
    </row>
    <row r="9" spans="1:12" ht="18" customHeight="1" x14ac:dyDescent="0.2">
      <c r="A9" s="70"/>
      <c r="B9" s="71" t="s">
        <v>353</v>
      </c>
      <c r="C9" s="72" t="s">
        <v>354</v>
      </c>
      <c r="D9" s="73" t="s">
        <v>336</v>
      </c>
      <c r="E9" s="73" t="s">
        <v>355</v>
      </c>
      <c r="F9" s="73" t="s">
        <v>356</v>
      </c>
      <c r="G9" s="73" t="s">
        <v>345</v>
      </c>
      <c r="H9" s="287" t="s">
        <v>357</v>
      </c>
    </row>
    <row r="10" spans="1:12" ht="18" customHeight="1" x14ac:dyDescent="0.2">
      <c r="A10" s="70"/>
      <c r="B10" s="71" t="s">
        <v>358</v>
      </c>
      <c r="C10" s="72" t="s">
        <v>359</v>
      </c>
      <c r="D10" s="73" t="s">
        <v>336</v>
      </c>
      <c r="E10" s="73" t="s">
        <v>349</v>
      </c>
      <c r="F10" s="73" t="s">
        <v>360</v>
      </c>
      <c r="G10" s="73" t="s">
        <v>361</v>
      </c>
      <c r="H10" s="287" t="s">
        <v>362</v>
      </c>
    </row>
    <row r="11" spans="1:12" ht="18" customHeight="1" x14ac:dyDescent="0.2">
      <c r="A11" s="70"/>
      <c r="B11" s="71" t="s">
        <v>363</v>
      </c>
      <c r="C11" s="72" t="s">
        <v>364</v>
      </c>
      <c r="D11" s="73" t="s">
        <v>336</v>
      </c>
      <c r="E11" s="73" t="s">
        <v>365</v>
      </c>
      <c r="F11" s="73" t="s">
        <v>366</v>
      </c>
      <c r="G11" s="73" t="s">
        <v>361</v>
      </c>
      <c r="H11" s="287" t="s">
        <v>367</v>
      </c>
    </row>
    <row r="12" spans="1:12" ht="18" customHeight="1" x14ac:dyDescent="0.2">
      <c r="A12" s="70"/>
      <c r="B12" s="71" t="s">
        <v>368</v>
      </c>
      <c r="C12" s="72" t="s">
        <v>369</v>
      </c>
      <c r="D12" s="73" t="s">
        <v>336</v>
      </c>
      <c r="E12" s="73" t="s">
        <v>370</v>
      </c>
      <c r="F12" s="73" t="s">
        <v>371</v>
      </c>
      <c r="G12" s="73" t="s">
        <v>361</v>
      </c>
      <c r="H12" s="287" t="s">
        <v>372</v>
      </c>
    </row>
    <row r="13" spans="1:12" ht="18" customHeight="1" x14ac:dyDescent="0.2">
      <c r="A13" s="70"/>
      <c r="B13" s="71" t="s">
        <v>373</v>
      </c>
      <c r="C13" s="72" t="s">
        <v>374</v>
      </c>
      <c r="D13" s="73" t="s">
        <v>336</v>
      </c>
      <c r="E13" s="73" t="s">
        <v>375</v>
      </c>
      <c r="F13" s="73" t="s">
        <v>376</v>
      </c>
      <c r="G13" s="73" t="s">
        <v>377</v>
      </c>
      <c r="H13" s="287" t="s">
        <v>378</v>
      </c>
    </row>
    <row r="14" spans="1:12" ht="18" customHeight="1" x14ac:dyDescent="0.2">
      <c r="A14" s="74"/>
      <c r="B14" s="75" t="s">
        <v>379</v>
      </c>
      <c r="C14" s="76" t="s">
        <v>380</v>
      </c>
      <c r="D14" s="77" t="s">
        <v>381</v>
      </c>
      <c r="E14" s="77" t="s">
        <v>355</v>
      </c>
      <c r="F14" s="77" t="s">
        <v>382</v>
      </c>
      <c r="G14" s="77" t="s">
        <v>345</v>
      </c>
      <c r="H14" s="287" t="s">
        <v>383</v>
      </c>
    </row>
    <row r="15" spans="1:12" ht="18" customHeight="1" x14ac:dyDescent="0.2">
      <c r="A15" s="74"/>
      <c r="B15" s="75" t="s">
        <v>384</v>
      </c>
      <c r="C15" s="76" t="s">
        <v>385</v>
      </c>
      <c r="D15" s="77" t="s">
        <v>381</v>
      </c>
      <c r="E15" s="77" t="s">
        <v>386</v>
      </c>
      <c r="F15" s="77" t="s">
        <v>387</v>
      </c>
      <c r="G15" s="77" t="s">
        <v>351</v>
      </c>
      <c r="H15" s="287" t="s">
        <v>388</v>
      </c>
    </row>
    <row r="16" spans="1:12" ht="18" customHeight="1" x14ac:dyDescent="0.2">
      <c r="A16" s="74"/>
      <c r="B16" s="75" t="s">
        <v>389</v>
      </c>
      <c r="C16" s="76" t="s">
        <v>390</v>
      </c>
      <c r="D16" s="77" t="s">
        <v>381</v>
      </c>
      <c r="E16" s="77" t="s">
        <v>391</v>
      </c>
      <c r="F16" s="77" t="s">
        <v>392</v>
      </c>
      <c r="G16" s="77" t="s">
        <v>393</v>
      </c>
      <c r="H16" s="287" t="s">
        <v>394</v>
      </c>
    </row>
    <row r="17" spans="1:12" ht="18" customHeight="1" x14ac:dyDescent="0.2">
      <c r="A17" s="74"/>
      <c r="B17" s="75" t="s">
        <v>395</v>
      </c>
      <c r="C17" s="76" t="s">
        <v>396</v>
      </c>
      <c r="D17" s="77" t="s">
        <v>381</v>
      </c>
      <c r="E17" s="77" t="s">
        <v>397</v>
      </c>
      <c r="F17" s="77" t="s">
        <v>398</v>
      </c>
      <c r="G17" s="77" t="s">
        <v>377</v>
      </c>
      <c r="H17" s="287" t="s">
        <v>399</v>
      </c>
    </row>
    <row r="18" spans="1:12" ht="18" customHeight="1" x14ac:dyDescent="0.2">
      <c r="A18" s="74"/>
      <c r="B18" s="75" t="s">
        <v>400</v>
      </c>
      <c r="C18" s="76" t="s">
        <v>401</v>
      </c>
      <c r="D18" s="77" t="s">
        <v>381</v>
      </c>
      <c r="E18" s="77" t="s">
        <v>375</v>
      </c>
      <c r="F18" s="77" t="s">
        <v>402</v>
      </c>
      <c r="G18" s="77" t="s">
        <v>361</v>
      </c>
      <c r="H18" s="287" t="s">
        <v>403</v>
      </c>
    </row>
    <row r="19" spans="1:12" ht="18" customHeight="1" x14ac:dyDescent="0.2">
      <c r="A19" s="74"/>
      <c r="B19" s="75" t="s">
        <v>404</v>
      </c>
      <c r="C19" s="76" t="s">
        <v>405</v>
      </c>
      <c r="D19" s="77" t="s">
        <v>381</v>
      </c>
      <c r="E19" s="77" t="s">
        <v>349</v>
      </c>
      <c r="F19" s="77" t="s">
        <v>406</v>
      </c>
      <c r="G19" s="77" t="s">
        <v>361</v>
      </c>
      <c r="H19" s="287" t="s">
        <v>407</v>
      </c>
    </row>
    <row r="20" spans="1:12" ht="18" customHeight="1" x14ac:dyDescent="0.2">
      <c r="A20" s="74"/>
      <c r="B20" s="75" t="s">
        <v>408</v>
      </c>
      <c r="C20" s="76" t="s">
        <v>409</v>
      </c>
      <c r="D20" s="77" t="s">
        <v>381</v>
      </c>
      <c r="E20" s="77" t="s">
        <v>410</v>
      </c>
      <c r="F20" s="77" t="s">
        <v>411</v>
      </c>
      <c r="G20" s="77" t="s">
        <v>412</v>
      </c>
      <c r="H20" s="287" t="s">
        <v>413</v>
      </c>
    </row>
    <row r="23" spans="1:12" ht="21.75" customHeight="1" x14ac:dyDescent="0.2">
      <c r="A23" s="672" t="s">
        <v>414</v>
      </c>
      <c r="B23" s="644"/>
      <c r="C23" s="644"/>
      <c r="D23" s="644"/>
      <c r="E23" s="644"/>
      <c r="F23" s="644"/>
      <c r="G23" s="644"/>
      <c r="H23" s="644"/>
      <c r="I23" s="644"/>
      <c r="J23" s="644"/>
      <c r="K23" s="644"/>
      <c r="L23" s="644"/>
    </row>
    <row r="24" spans="1:12" ht="27.75" customHeight="1" x14ac:dyDescent="0.2">
      <c r="A24" s="69" t="s">
        <v>131</v>
      </c>
      <c r="B24" s="69" t="s">
        <v>415</v>
      </c>
      <c r="C24" s="69" t="s">
        <v>416</v>
      </c>
      <c r="D24" s="69" t="s">
        <v>417</v>
      </c>
      <c r="E24" s="69" t="s">
        <v>418</v>
      </c>
      <c r="F24" s="69" t="s">
        <v>419</v>
      </c>
      <c r="G24" s="69" t="s">
        <v>420</v>
      </c>
      <c r="H24" s="69" t="s">
        <v>175</v>
      </c>
      <c r="I24" s="69"/>
      <c r="J24" s="69" t="s">
        <v>421</v>
      </c>
      <c r="K24" s="69" t="s">
        <v>422</v>
      </c>
      <c r="L24" s="69" t="s">
        <v>175</v>
      </c>
    </row>
    <row r="25" spans="1:12" ht="19.5" customHeight="1" x14ac:dyDescent="0.2">
      <c r="A25" s="78">
        <v>1</v>
      </c>
      <c r="B25" s="79" t="s">
        <v>423</v>
      </c>
      <c r="C25" s="80">
        <v>0</v>
      </c>
      <c r="D25" s="81">
        <v>0.35</v>
      </c>
      <c r="E25" s="81" t="s">
        <v>424</v>
      </c>
      <c r="F25" s="82" t="s">
        <v>425</v>
      </c>
      <c r="G25" s="41"/>
      <c r="H25" s="82" t="s">
        <v>426</v>
      </c>
      <c r="I25" s="41"/>
      <c r="J25" s="83">
        <f t="shared" ref="J25:J32" si="0">C25*D25/1000</f>
        <v>0</v>
      </c>
      <c r="K25" s="18" t="s">
        <v>427</v>
      </c>
      <c r="L25" s="14" t="s">
        <v>428</v>
      </c>
    </row>
    <row r="26" spans="1:12" ht="19.5" customHeight="1" x14ac:dyDescent="0.2">
      <c r="A26" s="78">
        <v>2</v>
      </c>
      <c r="B26" s="84" t="s">
        <v>429</v>
      </c>
      <c r="C26" s="80">
        <v>0</v>
      </c>
      <c r="D26" s="81">
        <v>0.52</v>
      </c>
      <c r="E26" s="81" t="s">
        <v>430</v>
      </c>
      <c r="F26" s="82" t="s">
        <v>425</v>
      </c>
      <c r="G26" s="41"/>
      <c r="H26" s="82" t="s">
        <v>431</v>
      </c>
      <c r="I26" s="41"/>
      <c r="J26" s="83">
        <f t="shared" si="0"/>
        <v>0</v>
      </c>
      <c r="K26" s="18" t="s">
        <v>427</v>
      </c>
      <c r="L26" s="14" t="s">
        <v>428</v>
      </c>
    </row>
    <row r="27" spans="1:12" ht="19.5" customHeight="1" x14ac:dyDescent="0.2">
      <c r="A27" s="78">
        <v>3</v>
      </c>
      <c r="B27" s="79" t="s">
        <v>432</v>
      </c>
      <c r="C27" s="80">
        <v>0</v>
      </c>
      <c r="D27" s="81">
        <v>0.63</v>
      </c>
      <c r="E27" s="81" t="s">
        <v>433</v>
      </c>
      <c r="F27" s="82" t="s">
        <v>425</v>
      </c>
      <c r="G27" s="41"/>
      <c r="H27" s="82" t="s">
        <v>434</v>
      </c>
      <c r="I27" s="41"/>
      <c r="J27" s="83">
        <f t="shared" si="0"/>
        <v>0</v>
      </c>
      <c r="K27" s="18" t="s">
        <v>427</v>
      </c>
      <c r="L27" s="14" t="s">
        <v>428</v>
      </c>
    </row>
    <row r="28" spans="1:12" ht="19.5" customHeight="1" x14ac:dyDescent="0.2">
      <c r="A28" s="78">
        <v>4</v>
      </c>
      <c r="B28" s="84" t="s">
        <v>435</v>
      </c>
      <c r="C28" s="80">
        <v>0</v>
      </c>
      <c r="D28" s="81">
        <v>0.85</v>
      </c>
      <c r="E28" s="81" t="s">
        <v>436</v>
      </c>
      <c r="F28" s="82" t="s">
        <v>425</v>
      </c>
      <c r="G28" s="41"/>
      <c r="H28" s="82" t="s">
        <v>437</v>
      </c>
      <c r="I28" s="41"/>
      <c r="J28" s="83">
        <f t="shared" si="0"/>
        <v>0</v>
      </c>
      <c r="K28" s="18" t="s">
        <v>427</v>
      </c>
      <c r="L28" s="14" t="s">
        <v>428</v>
      </c>
    </row>
    <row r="29" spans="1:12" ht="19.5" customHeight="1" x14ac:dyDescent="0.2">
      <c r="A29" s="78">
        <v>5</v>
      </c>
      <c r="B29" s="79" t="s">
        <v>438</v>
      </c>
      <c r="C29" s="80">
        <v>0</v>
      </c>
      <c r="D29" s="81">
        <v>0.12</v>
      </c>
      <c r="E29" s="81" t="s">
        <v>439</v>
      </c>
      <c r="F29" s="82" t="s">
        <v>425</v>
      </c>
      <c r="G29" s="41"/>
      <c r="H29" s="82" t="s">
        <v>440</v>
      </c>
      <c r="I29" s="41"/>
      <c r="J29" s="83">
        <f t="shared" si="0"/>
        <v>0</v>
      </c>
      <c r="K29" s="18" t="s">
        <v>427</v>
      </c>
      <c r="L29" s="14" t="s">
        <v>428</v>
      </c>
    </row>
    <row r="30" spans="1:12" ht="19.5" customHeight="1" x14ac:dyDescent="0.2">
      <c r="A30" s="78">
        <v>6</v>
      </c>
      <c r="B30" s="84" t="s">
        <v>441</v>
      </c>
      <c r="C30" s="80">
        <v>0</v>
      </c>
      <c r="D30" s="81">
        <v>0.95</v>
      </c>
      <c r="E30" s="81" t="s">
        <v>442</v>
      </c>
      <c r="F30" s="82" t="s">
        <v>425</v>
      </c>
      <c r="G30" s="41"/>
      <c r="H30" s="82" t="s">
        <v>443</v>
      </c>
      <c r="I30" s="41"/>
      <c r="J30" s="83">
        <f t="shared" si="0"/>
        <v>0</v>
      </c>
      <c r="K30" s="18" t="s">
        <v>427</v>
      </c>
      <c r="L30" s="14" t="s">
        <v>428</v>
      </c>
    </row>
    <row r="31" spans="1:12" ht="19.5" customHeight="1" x14ac:dyDescent="0.2">
      <c r="A31" s="78">
        <v>7</v>
      </c>
      <c r="B31" s="79" t="s">
        <v>444</v>
      </c>
      <c r="C31" s="80">
        <v>0</v>
      </c>
      <c r="D31" s="81">
        <v>0.42</v>
      </c>
      <c r="E31" s="81" t="s">
        <v>445</v>
      </c>
      <c r="F31" s="82" t="s">
        <v>425</v>
      </c>
      <c r="G31" s="41"/>
      <c r="H31" s="82" t="s">
        <v>446</v>
      </c>
      <c r="I31" s="41"/>
      <c r="J31" s="83">
        <f t="shared" si="0"/>
        <v>0</v>
      </c>
      <c r="K31" s="18" t="s">
        <v>427</v>
      </c>
      <c r="L31" s="14" t="s">
        <v>428</v>
      </c>
    </row>
    <row r="32" spans="1:12" ht="19.5" customHeight="1" x14ac:dyDescent="0.2">
      <c r="A32" s="78">
        <v>8</v>
      </c>
      <c r="B32" s="84" t="s">
        <v>447</v>
      </c>
      <c r="C32" s="80">
        <v>0</v>
      </c>
      <c r="D32" s="81">
        <v>0.25</v>
      </c>
      <c r="E32" s="81" t="s">
        <v>448</v>
      </c>
      <c r="F32" s="82"/>
      <c r="G32" s="41"/>
      <c r="H32" s="82"/>
      <c r="I32" s="41"/>
      <c r="J32" s="83">
        <f t="shared" si="0"/>
        <v>0</v>
      </c>
      <c r="K32" s="18" t="s">
        <v>427</v>
      </c>
      <c r="L32" s="14" t="s">
        <v>428</v>
      </c>
    </row>
    <row r="33" spans="1:13" ht="21.75" customHeight="1" x14ac:dyDescent="0.2">
      <c r="A33" s="85"/>
      <c r="B33" s="86" t="s">
        <v>449</v>
      </c>
      <c r="C33" s="87">
        <f>SUM(C25:C32)</f>
        <v>0</v>
      </c>
      <c r="D33" s="85"/>
      <c r="E33" s="85"/>
      <c r="F33" s="85"/>
      <c r="G33" s="85"/>
      <c r="H33" s="85"/>
      <c r="I33" s="85"/>
      <c r="J33" s="83"/>
      <c r="K33" s="85"/>
      <c r="L33" s="85"/>
    </row>
    <row r="34" spans="1:13" x14ac:dyDescent="0.2">
      <c r="B34" t="s">
        <v>450</v>
      </c>
    </row>
    <row r="35" spans="1:13" x14ac:dyDescent="0.2">
      <c r="B35" t="s">
        <v>451</v>
      </c>
    </row>
    <row r="36" spans="1:13" ht="21.75" customHeight="1" x14ac:dyDescent="0.2">
      <c r="A36" s="673" t="s">
        <v>452</v>
      </c>
      <c r="B36" s="644"/>
      <c r="C36" s="644"/>
      <c r="D36" s="644"/>
      <c r="E36" s="644"/>
      <c r="F36" s="644"/>
      <c r="G36" s="644"/>
      <c r="H36" s="644"/>
      <c r="I36" s="644"/>
      <c r="J36" s="644"/>
      <c r="K36" s="644"/>
      <c r="L36" s="644"/>
    </row>
    <row r="37" spans="1:13" ht="27.75" customHeight="1" x14ac:dyDescent="0.2">
      <c r="A37" s="88" t="s">
        <v>131</v>
      </c>
      <c r="B37" s="88" t="s">
        <v>453</v>
      </c>
      <c r="C37" s="88" t="s">
        <v>454</v>
      </c>
      <c r="D37" s="88" t="s">
        <v>455</v>
      </c>
      <c r="E37" s="413" t="s">
        <v>456</v>
      </c>
      <c r="F37" s="293" t="s">
        <v>457</v>
      </c>
      <c r="G37" s="434" t="s">
        <v>458</v>
      </c>
      <c r="H37" s="435" t="s">
        <v>459</v>
      </c>
      <c r="I37" s="293" t="s">
        <v>460</v>
      </c>
      <c r="J37" s="294" t="s">
        <v>421</v>
      </c>
      <c r="K37" s="435" t="s">
        <v>461</v>
      </c>
      <c r="L37" s="289" t="s">
        <v>462</v>
      </c>
      <c r="M37" s="289" t="s">
        <v>175</v>
      </c>
    </row>
    <row r="38" spans="1:13" ht="19.5" customHeight="1" x14ac:dyDescent="0.2">
      <c r="A38" s="89">
        <v>1</v>
      </c>
      <c r="B38" s="90" t="s">
        <v>463</v>
      </c>
      <c r="C38" s="26">
        <v>0</v>
      </c>
      <c r="D38" s="91">
        <v>4.2000000000000003E-2</v>
      </c>
      <c r="E38" s="62">
        <v>26.5</v>
      </c>
      <c r="F38" s="62">
        <f>C38*D38</f>
        <v>0</v>
      </c>
      <c r="G38" s="62">
        <f>F38*E38</f>
        <v>0</v>
      </c>
      <c r="H38" s="62">
        <f>G38/1000</f>
        <v>0</v>
      </c>
      <c r="I38" s="290">
        <v>416</v>
      </c>
      <c r="J38" s="291">
        <f>C38*D38*E38/1000</f>
        <v>0</v>
      </c>
      <c r="K38" s="292">
        <f>I38*F38/1000</f>
        <v>0</v>
      </c>
      <c r="L38" s="14"/>
      <c r="M38" s="14" t="s">
        <v>464</v>
      </c>
    </row>
    <row r="39" spans="1:13" ht="19.5" customHeight="1" x14ac:dyDescent="0.2">
      <c r="A39" s="89">
        <v>2</v>
      </c>
      <c r="B39" s="92" t="s">
        <v>465</v>
      </c>
      <c r="C39" s="26">
        <v>0</v>
      </c>
      <c r="D39" s="91">
        <v>0</v>
      </c>
      <c r="E39" s="62">
        <v>15.4</v>
      </c>
      <c r="F39" s="62">
        <f>C39*D39</f>
        <v>0</v>
      </c>
      <c r="G39" s="62">
        <f>F39*E39</f>
        <v>0</v>
      </c>
      <c r="H39" s="62">
        <f>G39/1000</f>
        <v>0</v>
      </c>
      <c r="I39" s="62"/>
      <c r="J39" s="83">
        <f>C39*E39/1000</f>
        <v>0</v>
      </c>
      <c r="K39" s="292"/>
      <c r="L39" s="14"/>
      <c r="M39" s="14" t="s">
        <v>464</v>
      </c>
    </row>
    <row r="40" spans="1:13" ht="19.5" customHeight="1" x14ac:dyDescent="0.2">
      <c r="A40" s="89">
        <v>3</v>
      </c>
      <c r="B40" s="90" t="s">
        <v>466</v>
      </c>
      <c r="C40" s="26">
        <v>0</v>
      </c>
      <c r="D40" s="91">
        <v>0</v>
      </c>
      <c r="E40" s="62">
        <v>16.7</v>
      </c>
      <c r="F40" s="62">
        <f>C40*D40</f>
        <v>0</v>
      </c>
      <c r="G40" s="62">
        <f>F40*E40</f>
        <v>0</v>
      </c>
      <c r="H40" s="62">
        <f>G40/1000</f>
        <v>0</v>
      </c>
      <c r="I40" s="62"/>
      <c r="J40" s="83">
        <f>C40*E40/1000</f>
        <v>0</v>
      </c>
      <c r="K40" s="292"/>
      <c r="L40" s="14"/>
      <c r="M40" s="14" t="s">
        <v>464</v>
      </c>
    </row>
    <row r="41" spans="1:13" ht="19.5" customHeight="1" x14ac:dyDescent="0.2">
      <c r="A41" s="89">
        <v>4</v>
      </c>
      <c r="B41" s="92" t="s">
        <v>467</v>
      </c>
      <c r="C41" s="26">
        <v>0</v>
      </c>
      <c r="D41" s="91">
        <v>0</v>
      </c>
      <c r="E41" s="62">
        <v>14.8</v>
      </c>
      <c r="F41" s="62">
        <f>C41*D41</f>
        <v>0</v>
      </c>
      <c r="G41" s="62">
        <f>F41*E41</f>
        <v>0</v>
      </c>
      <c r="H41" s="62">
        <f>G41/1000</f>
        <v>0</v>
      </c>
      <c r="I41" s="62"/>
      <c r="J41" s="83">
        <f>C41*E41/1000</f>
        <v>0</v>
      </c>
      <c r="K41" s="292"/>
      <c r="L41" s="14"/>
      <c r="M41" s="14" t="s">
        <v>464</v>
      </c>
    </row>
    <row r="42" spans="1:13" ht="21.75" customHeight="1" x14ac:dyDescent="0.2">
      <c r="A42" s="93"/>
      <c r="B42" s="94" t="s">
        <v>468</v>
      </c>
      <c r="C42" s="93"/>
      <c r="D42" s="93"/>
      <c r="E42" s="93"/>
      <c r="F42" s="93"/>
      <c r="G42" s="93"/>
      <c r="H42" s="93"/>
      <c r="I42" s="93" t="s">
        <v>469</v>
      </c>
      <c r="J42" s="95"/>
      <c r="K42" s="93"/>
      <c r="L42" s="93"/>
      <c r="M42" s="93"/>
    </row>
    <row r="43" spans="1:13" x14ac:dyDescent="0.2">
      <c r="B43" t="s">
        <v>470</v>
      </c>
    </row>
    <row r="44" spans="1:13" x14ac:dyDescent="0.2">
      <c r="B44" t="s">
        <v>471</v>
      </c>
    </row>
    <row r="45" spans="1:13" x14ac:dyDescent="0.2">
      <c r="B45" t="s">
        <v>472</v>
      </c>
    </row>
    <row r="46" spans="1:13" ht="21.75" customHeight="1" x14ac:dyDescent="0.2">
      <c r="A46" s="674" t="s">
        <v>473</v>
      </c>
      <c r="B46" s="644"/>
      <c r="C46" s="644"/>
      <c r="D46" s="644"/>
      <c r="E46" s="644"/>
      <c r="F46" s="644"/>
      <c r="G46" s="644"/>
      <c r="H46" s="644"/>
      <c r="I46" s="644"/>
      <c r="J46" s="644"/>
      <c r="K46" s="644"/>
      <c r="L46" s="644"/>
    </row>
    <row r="47" spans="1:13" ht="27.75" customHeight="1" x14ac:dyDescent="0.2">
      <c r="A47" s="96" t="s">
        <v>131</v>
      </c>
      <c r="B47" s="96" t="s">
        <v>474</v>
      </c>
      <c r="C47" s="96" t="s">
        <v>475</v>
      </c>
      <c r="D47" s="96" t="s">
        <v>133</v>
      </c>
      <c r="E47" s="96" t="s">
        <v>476</v>
      </c>
      <c r="F47" s="96" t="s">
        <v>477</v>
      </c>
      <c r="G47" s="96" t="s">
        <v>478</v>
      </c>
      <c r="H47" s="96"/>
      <c r="I47" s="96"/>
      <c r="J47" s="96" t="s">
        <v>421</v>
      </c>
      <c r="K47" s="96" t="s">
        <v>462</v>
      </c>
      <c r="L47" s="96" t="s">
        <v>175</v>
      </c>
    </row>
    <row r="48" spans="1:13" ht="19.5" customHeight="1" x14ac:dyDescent="0.2">
      <c r="A48" s="97">
        <v>1</v>
      </c>
      <c r="B48" s="98" t="s">
        <v>479</v>
      </c>
      <c r="C48" s="80">
        <v>0</v>
      </c>
      <c r="D48" s="19" t="s">
        <v>480</v>
      </c>
      <c r="E48" s="19" t="s">
        <v>481</v>
      </c>
      <c r="F48" s="81">
        <v>0.255</v>
      </c>
      <c r="G48" s="99" t="s">
        <v>164</v>
      </c>
      <c r="H48" s="41"/>
      <c r="I48" s="41"/>
      <c r="J48" s="83">
        <f t="shared" ref="J48:J53" si="1">C48*F48/1000</f>
        <v>0</v>
      </c>
      <c r="K48" s="18"/>
      <c r="L48" s="14" t="s">
        <v>482</v>
      </c>
    </row>
    <row r="49" spans="1:12" ht="19.5" customHeight="1" x14ac:dyDescent="0.2">
      <c r="A49" s="97">
        <v>2</v>
      </c>
      <c r="B49" s="100" t="s">
        <v>483</v>
      </c>
      <c r="C49" s="80">
        <v>0</v>
      </c>
      <c r="D49" s="19" t="s">
        <v>480</v>
      </c>
      <c r="E49" s="19" t="s">
        <v>481</v>
      </c>
      <c r="F49" s="81">
        <v>0.19500000000000001</v>
      </c>
      <c r="G49" s="99" t="s">
        <v>164</v>
      </c>
      <c r="H49" s="41"/>
      <c r="I49" s="41"/>
      <c r="J49" s="83">
        <f t="shared" si="1"/>
        <v>0</v>
      </c>
      <c r="K49" s="18"/>
      <c r="L49" s="14" t="s">
        <v>482</v>
      </c>
    </row>
    <row r="50" spans="1:12" ht="19.5" customHeight="1" x14ac:dyDescent="0.2">
      <c r="A50" s="97">
        <v>3</v>
      </c>
      <c r="B50" s="98" t="s">
        <v>484</v>
      </c>
      <c r="C50" s="80">
        <v>0</v>
      </c>
      <c r="D50" s="19" t="s">
        <v>480</v>
      </c>
      <c r="E50" s="19" t="s">
        <v>485</v>
      </c>
      <c r="F50" s="81">
        <v>0.42899999999999999</v>
      </c>
      <c r="G50" s="99" t="s">
        <v>164</v>
      </c>
      <c r="H50" s="41"/>
      <c r="I50" s="41"/>
      <c r="J50" s="83">
        <f t="shared" si="1"/>
        <v>0</v>
      </c>
      <c r="K50" s="18"/>
      <c r="L50" s="14" t="s">
        <v>482</v>
      </c>
    </row>
    <row r="51" spans="1:12" ht="19.5" customHeight="1" x14ac:dyDescent="0.2">
      <c r="A51" s="97">
        <v>4</v>
      </c>
      <c r="B51" s="100" t="s">
        <v>486</v>
      </c>
      <c r="C51" s="80">
        <v>0</v>
      </c>
      <c r="D51" s="19" t="s">
        <v>480</v>
      </c>
      <c r="E51" s="19" t="s">
        <v>487</v>
      </c>
      <c r="F51" s="81">
        <v>3.5000000000000003E-2</v>
      </c>
      <c r="G51" s="99" t="s">
        <v>164</v>
      </c>
      <c r="H51" s="41"/>
      <c r="I51" s="41"/>
      <c r="J51" s="83">
        <f t="shared" si="1"/>
        <v>0</v>
      </c>
      <c r="K51" s="18"/>
      <c r="L51" s="14" t="s">
        <v>482</v>
      </c>
    </row>
    <row r="52" spans="1:12" ht="19.5" customHeight="1" x14ac:dyDescent="0.2">
      <c r="A52" s="97">
        <v>5</v>
      </c>
      <c r="B52" s="98" t="s">
        <v>488</v>
      </c>
      <c r="C52" s="80">
        <v>0</v>
      </c>
      <c r="D52" s="19" t="s">
        <v>489</v>
      </c>
      <c r="E52" s="19" t="s">
        <v>490</v>
      </c>
      <c r="F52" s="81">
        <v>20.8</v>
      </c>
      <c r="G52" s="99" t="s">
        <v>164</v>
      </c>
      <c r="H52" s="41"/>
      <c r="I52" s="41"/>
      <c r="J52" s="83">
        <f t="shared" si="1"/>
        <v>0</v>
      </c>
      <c r="K52" s="18"/>
      <c r="L52" s="14" t="s">
        <v>482</v>
      </c>
    </row>
    <row r="53" spans="1:12" ht="19.5" customHeight="1" x14ac:dyDescent="0.2">
      <c r="A53" s="97">
        <v>6</v>
      </c>
      <c r="B53" s="100" t="s">
        <v>491</v>
      </c>
      <c r="C53" s="80">
        <v>0</v>
      </c>
      <c r="D53" s="19" t="s">
        <v>480</v>
      </c>
      <c r="E53" s="19" t="s">
        <v>492</v>
      </c>
      <c r="F53" s="81">
        <v>0.16800000000000001</v>
      </c>
      <c r="G53" s="99" t="s">
        <v>164</v>
      </c>
      <c r="H53" s="41"/>
      <c r="I53" s="41"/>
      <c r="J53" s="83">
        <f t="shared" si="1"/>
        <v>0</v>
      </c>
      <c r="K53" s="18"/>
      <c r="L53" s="14" t="s">
        <v>482</v>
      </c>
    </row>
    <row r="54" spans="1:12" ht="21.75" customHeight="1" x14ac:dyDescent="0.2">
      <c r="A54" s="101"/>
      <c r="B54" s="102" t="s">
        <v>493</v>
      </c>
      <c r="C54" s="101"/>
      <c r="D54" s="101"/>
      <c r="E54" s="101"/>
      <c r="F54" s="101"/>
      <c r="G54" s="101"/>
      <c r="H54" s="101"/>
      <c r="I54" s="101"/>
      <c r="J54" s="436"/>
      <c r="K54" s="101"/>
      <c r="L54" s="101"/>
    </row>
    <row r="56" spans="1:12" ht="21.75" customHeight="1" x14ac:dyDescent="0.2">
      <c r="A56" s="668" t="s">
        <v>494</v>
      </c>
      <c r="B56" s="644"/>
      <c r="C56" s="644"/>
      <c r="D56" s="644"/>
      <c r="E56" s="644"/>
      <c r="F56" s="644"/>
      <c r="G56" s="644"/>
      <c r="H56" s="644"/>
      <c r="I56" s="644"/>
      <c r="J56" s="644"/>
      <c r="K56" s="644"/>
      <c r="L56" s="644"/>
    </row>
    <row r="57" spans="1:12" ht="27.75" customHeight="1" x14ac:dyDescent="0.2">
      <c r="A57" s="103" t="s">
        <v>131</v>
      </c>
      <c r="B57" s="103" t="s">
        <v>495</v>
      </c>
      <c r="C57" s="103" t="s">
        <v>496</v>
      </c>
      <c r="D57" s="103" t="s">
        <v>497</v>
      </c>
      <c r="E57" s="103" t="s">
        <v>498</v>
      </c>
      <c r="F57" s="103" t="s">
        <v>499</v>
      </c>
      <c r="G57" s="103"/>
      <c r="H57" s="103"/>
      <c r="I57" s="103" t="s">
        <v>421</v>
      </c>
      <c r="J57" s="103" t="s">
        <v>462</v>
      </c>
      <c r="K57" s="103" t="s">
        <v>175</v>
      </c>
    </row>
    <row r="58" spans="1:12" ht="21.75" customHeight="1" x14ac:dyDescent="0.2">
      <c r="A58" s="104">
        <v>1</v>
      </c>
      <c r="B58" s="404" t="s">
        <v>500</v>
      </c>
      <c r="C58" s="14" t="s">
        <v>501</v>
      </c>
      <c r="D58" s="14" t="s">
        <v>501</v>
      </c>
      <c r="E58" s="14" t="s">
        <v>501</v>
      </c>
      <c r="F58" s="14" t="s">
        <v>501</v>
      </c>
      <c r="G58" s="14" t="s">
        <v>501</v>
      </c>
      <c r="H58" s="14" t="s">
        <v>501</v>
      </c>
      <c r="I58" s="408"/>
      <c r="J58" s="14" t="s">
        <v>502</v>
      </c>
      <c r="K58" s="14" t="s">
        <v>501</v>
      </c>
    </row>
    <row r="59" spans="1:12" ht="21.75" customHeight="1" x14ac:dyDescent="0.2">
      <c r="A59" s="104">
        <v>2</v>
      </c>
      <c r="B59" s="405" t="s">
        <v>503</v>
      </c>
      <c r="C59" s="14" t="s">
        <v>501</v>
      </c>
      <c r="D59" s="14" t="s">
        <v>501</v>
      </c>
      <c r="E59" s="14" t="s">
        <v>501</v>
      </c>
      <c r="F59" s="14" t="s">
        <v>501</v>
      </c>
      <c r="G59" s="14" t="s">
        <v>501</v>
      </c>
      <c r="H59" s="14" t="s">
        <v>501</v>
      </c>
      <c r="I59" s="408"/>
      <c r="J59" s="14" t="s">
        <v>502</v>
      </c>
      <c r="K59" s="14" t="s">
        <v>501</v>
      </c>
    </row>
    <row r="60" spans="1:12" ht="21.75" customHeight="1" x14ac:dyDescent="0.2">
      <c r="A60" s="104"/>
      <c r="B60" s="404" t="s">
        <v>504</v>
      </c>
      <c r="C60" s="14" t="s">
        <v>501</v>
      </c>
      <c r="D60" s="14" t="s">
        <v>501</v>
      </c>
      <c r="E60" s="14" t="s">
        <v>501</v>
      </c>
      <c r="F60" s="14" t="s">
        <v>501</v>
      </c>
      <c r="G60" s="14" t="s">
        <v>501</v>
      </c>
      <c r="H60" s="14" t="s">
        <v>501</v>
      </c>
      <c r="I60" s="408"/>
      <c r="J60" s="14" t="s">
        <v>502</v>
      </c>
      <c r="K60" s="14"/>
    </row>
    <row r="61" spans="1:12" ht="21.75" customHeight="1" x14ac:dyDescent="0.2">
      <c r="A61" s="104"/>
      <c r="B61" s="405" t="s">
        <v>505</v>
      </c>
      <c r="C61" s="14" t="s">
        <v>501</v>
      </c>
      <c r="D61" s="14" t="s">
        <v>501</v>
      </c>
      <c r="E61" s="14" t="s">
        <v>501</v>
      </c>
      <c r="F61" s="14" t="s">
        <v>501</v>
      </c>
      <c r="G61" s="14" t="s">
        <v>501</v>
      </c>
      <c r="H61" s="14" t="s">
        <v>501</v>
      </c>
      <c r="I61" s="408"/>
      <c r="J61" s="14" t="s">
        <v>502</v>
      </c>
      <c r="K61" s="14"/>
    </row>
    <row r="62" spans="1:12" ht="21.75" customHeight="1" x14ac:dyDescent="0.2">
      <c r="A62" s="104"/>
      <c r="B62" s="405" t="s">
        <v>506</v>
      </c>
      <c r="C62" s="14" t="s">
        <v>501</v>
      </c>
      <c r="D62" s="14" t="s">
        <v>501</v>
      </c>
      <c r="E62" s="14" t="s">
        <v>501</v>
      </c>
      <c r="F62" s="14" t="s">
        <v>501</v>
      </c>
      <c r="G62" s="14" t="s">
        <v>501</v>
      </c>
      <c r="H62" s="14" t="s">
        <v>501</v>
      </c>
      <c r="I62" s="408"/>
      <c r="J62" s="14" t="s">
        <v>502</v>
      </c>
      <c r="K62" s="14"/>
    </row>
    <row r="63" spans="1:12" ht="21.75" customHeight="1" x14ac:dyDescent="0.2">
      <c r="A63" s="104"/>
      <c r="B63" s="404" t="s">
        <v>507</v>
      </c>
      <c r="C63" s="14" t="s">
        <v>501</v>
      </c>
      <c r="D63" s="14" t="s">
        <v>501</v>
      </c>
      <c r="E63" s="14" t="s">
        <v>501</v>
      </c>
      <c r="F63" s="14" t="s">
        <v>501</v>
      </c>
      <c r="G63" s="14" t="s">
        <v>501</v>
      </c>
      <c r="H63" s="14" t="s">
        <v>501</v>
      </c>
      <c r="I63" s="408"/>
      <c r="J63" s="14" t="s">
        <v>502</v>
      </c>
      <c r="K63" s="14"/>
    </row>
    <row r="64" spans="1:12" ht="21.75" customHeight="1" x14ac:dyDescent="0.2">
      <c r="A64" s="104"/>
      <c r="B64" s="405" t="s">
        <v>508</v>
      </c>
      <c r="C64" s="14" t="s">
        <v>501</v>
      </c>
      <c r="D64" s="14" t="s">
        <v>501</v>
      </c>
      <c r="E64" s="14" t="s">
        <v>501</v>
      </c>
      <c r="F64" s="14" t="s">
        <v>501</v>
      </c>
      <c r="G64" s="14" t="s">
        <v>501</v>
      </c>
      <c r="H64" s="14" t="s">
        <v>501</v>
      </c>
      <c r="I64" s="408"/>
      <c r="J64" s="14" t="s">
        <v>502</v>
      </c>
      <c r="K64" s="14"/>
    </row>
    <row r="65" spans="1:12" ht="21.75" customHeight="1" x14ac:dyDescent="0.2">
      <c r="A65" s="104"/>
      <c r="B65" s="404" t="s">
        <v>509</v>
      </c>
      <c r="C65" s="14" t="s">
        <v>501</v>
      </c>
      <c r="D65" s="14" t="s">
        <v>501</v>
      </c>
      <c r="E65" s="14" t="s">
        <v>501</v>
      </c>
      <c r="F65" s="14" t="s">
        <v>501</v>
      </c>
      <c r="G65" s="14" t="s">
        <v>501</v>
      </c>
      <c r="H65" s="14" t="s">
        <v>501</v>
      </c>
      <c r="I65" s="408"/>
      <c r="J65" s="14" t="s">
        <v>502</v>
      </c>
      <c r="K65" s="14"/>
    </row>
    <row r="66" spans="1:12" ht="21.75" customHeight="1" x14ac:dyDescent="0.2">
      <c r="A66" s="104"/>
      <c r="B66" s="405" t="s">
        <v>510</v>
      </c>
      <c r="C66" s="14" t="s">
        <v>501</v>
      </c>
      <c r="D66" s="14" t="s">
        <v>501</v>
      </c>
      <c r="E66" s="14" t="s">
        <v>501</v>
      </c>
      <c r="F66" s="14" t="s">
        <v>501</v>
      </c>
      <c r="G66" s="14" t="s">
        <v>501</v>
      </c>
      <c r="H66" s="14" t="s">
        <v>501</v>
      </c>
      <c r="I66" s="408"/>
      <c r="J66" s="14" t="s">
        <v>502</v>
      </c>
      <c r="K66" s="14"/>
    </row>
    <row r="67" spans="1:12" ht="21.75" customHeight="1" x14ac:dyDescent="0.2">
      <c r="A67" s="104">
        <v>5</v>
      </c>
      <c r="B67" s="14" t="s">
        <v>501</v>
      </c>
      <c r="C67" s="14" t="s">
        <v>501</v>
      </c>
      <c r="D67" s="14" t="s">
        <v>501</v>
      </c>
      <c r="E67" s="14" t="s">
        <v>501</v>
      </c>
      <c r="F67" s="14" t="s">
        <v>501</v>
      </c>
      <c r="G67" s="14" t="s">
        <v>501</v>
      </c>
      <c r="H67" s="14" t="s">
        <v>501</v>
      </c>
      <c r="I67" s="105">
        <f>IFERROR(IF(AND(ISNUMBER(E67),ISNUMBER(F67)),E67*F67/1000,0),0)</f>
        <v>0</v>
      </c>
      <c r="J67" s="14" t="s">
        <v>501</v>
      </c>
      <c r="K67" s="14" t="s">
        <v>501</v>
      </c>
    </row>
    <row r="68" spans="1:12" ht="21.75" customHeight="1" x14ac:dyDescent="0.2">
      <c r="A68" s="106"/>
      <c r="B68" s="107" t="s">
        <v>511</v>
      </c>
      <c r="C68" s="106"/>
      <c r="D68" s="106"/>
      <c r="E68" s="106"/>
      <c r="F68" s="106"/>
      <c r="G68" s="106"/>
      <c r="H68" s="106"/>
      <c r="I68" s="108">
        <f>SUM(I58:I67)</f>
        <v>0</v>
      </c>
      <c r="J68" s="106"/>
      <c r="K68" s="106"/>
    </row>
    <row r="70" spans="1:12" ht="27.75" customHeight="1" x14ac:dyDescent="0.2">
      <c r="A70" s="669" t="s">
        <v>512</v>
      </c>
      <c r="B70" s="642"/>
      <c r="C70" s="642"/>
      <c r="D70" s="642"/>
      <c r="E70" s="642"/>
      <c r="F70" s="642"/>
      <c r="G70" s="642"/>
      <c r="H70" s="642"/>
      <c r="I70" s="642"/>
      <c r="J70" s="109">
        <f>I68+J54+J42+J33</f>
        <v>0</v>
      </c>
      <c r="K70" s="85"/>
      <c r="L70" s="85"/>
    </row>
  </sheetData>
  <mergeCells count="8">
    <mergeCell ref="A56:L56"/>
    <mergeCell ref="A70:I70"/>
    <mergeCell ref="A1:L1"/>
    <mergeCell ref="A2:L2"/>
    <mergeCell ref="A4:L4"/>
    <mergeCell ref="A23:L23"/>
    <mergeCell ref="A36:L36"/>
    <mergeCell ref="A46:L4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A1B9A"/>
  </sheetPr>
  <dimension ref="A1:M70"/>
  <sheetViews>
    <sheetView showGridLines="0" zoomScaleNormal="100" workbookViewId="0">
      <pane xSplit="2" ySplit="5" topLeftCell="C21" activePane="bottomRight" state="frozen"/>
      <selection pane="topRight" activeCell="C1" sqref="C1"/>
      <selection pane="bottomLeft" activeCell="A6" sqref="A6"/>
      <selection pane="bottomRight" activeCell="C29" sqref="C29"/>
    </sheetView>
  </sheetViews>
  <sheetFormatPr baseColWidth="10" defaultColWidth="8.6640625" defaultRowHeight="15" x14ac:dyDescent="0.2"/>
  <cols>
    <col min="1" max="1" width="5" customWidth="1"/>
    <col min="2" max="2" width="51.6640625" customWidth="1"/>
    <col min="3" max="3" width="28" customWidth="1"/>
    <col min="4" max="5" width="18" customWidth="1"/>
    <col min="6" max="6" width="16" customWidth="1"/>
    <col min="7" max="8" width="22" customWidth="1"/>
    <col min="9" max="9" width="40.1640625" customWidth="1"/>
    <col min="10" max="10" width="28.1640625" bestFit="1" customWidth="1"/>
    <col min="11" max="11" width="16" customWidth="1"/>
    <col min="12" max="12" width="26" customWidth="1"/>
    <col min="13" max="13" width="12.5" customWidth="1"/>
  </cols>
  <sheetData>
    <row r="1" spans="1:12" ht="48" customHeight="1" x14ac:dyDescent="0.2">
      <c r="A1" s="670" t="s">
        <v>324</v>
      </c>
      <c r="B1" s="644"/>
      <c r="C1" s="644"/>
      <c r="D1" s="644"/>
      <c r="E1" s="644"/>
      <c r="F1" s="644"/>
      <c r="G1" s="644"/>
      <c r="H1" s="644"/>
      <c r="I1" s="644"/>
      <c r="J1" s="644"/>
      <c r="K1" s="644"/>
      <c r="L1" s="644"/>
    </row>
    <row r="2" spans="1:12" ht="19.5" customHeight="1" x14ac:dyDescent="0.2">
      <c r="A2" s="671" t="s">
        <v>325</v>
      </c>
      <c r="B2" s="644"/>
      <c r="C2" s="644"/>
      <c r="D2" s="644"/>
      <c r="E2" s="644"/>
      <c r="F2" s="644"/>
      <c r="G2" s="644"/>
      <c r="H2" s="644"/>
      <c r="I2" s="644"/>
      <c r="J2" s="644"/>
      <c r="K2" s="644"/>
      <c r="L2" s="644"/>
    </row>
    <row r="4" spans="1:12" ht="21.75" customHeight="1" x14ac:dyDescent="0.2">
      <c r="A4" s="672" t="s">
        <v>326</v>
      </c>
      <c r="B4" s="644"/>
      <c r="C4" s="644"/>
      <c r="D4" s="644"/>
      <c r="E4" s="644"/>
      <c r="F4" s="644"/>
      <c r="G4" s="644"/>
      <c r="H4" s="644"/>
      <c r="I4" s="644"/>
      <c r="J4" s="644"/>
      <c r="K4" s="644"/>
      <c r="L4" s="644"/>
    </row>
    <row r="5" spans="1:12" ht="27.75" customHeight="1" x14ac:dyDescent="0.2">
      <c r="A5" s="69"/>
      <c r="B5" s="69" t="s">
        <v>327</v>
      </c>
      <c r="C5" s="69" t="s">
        <v>328</v>
      </c>
      <c r="D5" s="69" t="s">
        <v>329</v>
      </c>
      <c r="E5" s="69" t="s">
        <v>330</v>
      </c>
      <c r="F5" s="69" t="s">
        <v>331</v>
      </c>
      <c r="G5" s="288" t="s">
        <v>332</v>
      </c>
      <c r="H5" s="69" t="s">
        <v>333</v>
      </c>
      <c r="I5" s="69"/>
      <c r="J5" s="69"/>
      <c r="K5" s="69"/>
    </row>
    <row r="6" spans="1:12" ht="18" customHeight="1" x14ac:dyDescent="0.2">
      <c r="A6" s="70"/>
      <c r="B6" s="71" t="s">
        <v>334</v>
      </c>
      <c r="C6" s="72" t="s">
        <v>335</v>
      </c>
      <c r="D6" s="73" t="s">
        <v>336</v>
      </c>
      <c r="E6" s="73" t="s">
        <v>337</v>
      </c>
      <c r="F6" s="73" t="s">
        <v>338</v>
      </c>
      <c r="G6" s="73" t="s">
        <v>339</v>
      </c>
      <c r="H6" s="287" t="s">
        <v>340</v>
      </c>
    </row>
    <row r="7" spans="1:12" ht="18" customHeight="1" x14ac:dyDescent="0.2">
      <c r="A7" s="70"/>
      <c r="B7" s="71" t="s">
        <v>341</v>
      </c>
      <c r="C7" s="72" t="s">
        <v>342</v>
      </c>
      <c r="D7" s="73" t="s">
        <v>336</v>
      </c>
      <c r="E7" s="73" t="s">
        <v>343</v>
      </c>
      <c r="F7" s="73" t="s">
        <v>344</v>
      </c>
      <c r="G7" s="73" t="s">
        <v>345</v>
      </c>
      <c r="H7" s="287" t="s">
        <v>346</v>
      </c>
    </row>
    <row r="8" spans="1:12" ht="18" customHeight="1" x14ac:dyDescent="0.2">
      <c r="A8" s="70"/>
      <c r="B8" s="71" t="s">
        <v>347</v>
      </c>
      <c r="C8" s="72" t="s">
        <v>348</v>
      </c>
      <c r="D8" s="73" t="s">
        <v>336</v>
      </c>
      <c r="E8" s="73" t="s">
        <v>349</v>
      </c>
      <c r="F8" s="73" t="s">
        <v>350</v>
      </c>
      <c r="G8" s="73" t="s">
        <v>351</v>
      </c>
      <c r="H8" s="287" t="s">
        <v>352</v>
      </c>
    </row>
    <row r="9" spans="1:12" ht="18" customHeight="1" x14ac:dyDescent="0.2">
      <c r="A9" s="70"/>
      <c r="B9" s="71" t="s">
        <v>353</v>
      </c>
      <c r="C9" s="72" t="s">
        <v>354</v>
      </c>
      <c r="D9" s="73" t="s">
        <v>336</v>
      </c>
      <c r="E9" s="73" t="s">
        <v>355</v>
      </c>
      <c r="F9" s="73" t="s">
        <v>356</v>
      </c>
      <c r="G9" s="73" t="s">
        <v>345</v>
      </c>
      <c r="H9" s="287" t="s">
        <v>357</v>
      </c>
    </row>
    <row r="10" spans="1:12" ht="18" customHeight="1" x14ac:dyDescent="0.2">
      <c r="A10" s="70"/>
      <c r="B10" s="71" t="s">
        <v>358</v>
      </c>
      <c r="C10" s="72" t="s">
        <v>359</v>
      </c>
      <c r="D10" s="73" t="s">
        <v>336</v>
      </c>
      <c r="E10" s="73" t="s">
        <v>349</v>
      </c>
      <c r="F10" s="73" t="s">
        <v>360</v>
      </c>
      <c r="G10" s="73" t="s">
        <v>361</v>
      </c>
      <c r="H10" s="287" t="s">
        <v>362</v>
      </c>
    </row>
    <row r="11" spans="1:12" ht="18" customHeight="1" x14ac:dyDescent="0.2">
      <c r="A11" s="70"/>
      <c r="B11" s="71" t="s">
        <v>363</v>
      </c>
      <c r="C11" s="72" t="s">
        <v>364</v>
      </c>
      <c r="D11" s="73" t="s">
        <v>336</v>
      </c>
      <c r="E11" s="73" t="s">
        <v>365</v>
      </c>
      <c r="F11" s="73" t="s">
        <v>366</v>
      </c>
      <c r="G11" s="73" t="s">
        <v>361</v>
      </c>
      <c r="H11" s="287" t="s">
        <v>367</v>
      </c>
    </row>
    <row r="12" spans="1:12" ht="18" customHeight="1" x14ac:dyDescent="0.2">
      <c r="A12" s="70"/>
      <c r="B12" s="71" t="s">
        <v>368</v>
      </c>
      <c r="C12" s="72" t="s">
        <v>369</v>
      </c>
      <c r="D12" s="73" t="s">
        <v>336</v>
      </c>
      <c r="E12" s="73" t="s">
        <v>370</v>
      </c>
      <c r="F12" s="73" t="s">
        <v>371</v>
      </c>
      <c r="G12" s="73" t="s">
        <v>361</v>
      </c>
      <c r="H12" s="287" t="s">
        <v>372</v>
      </c>
    </row>
    <row r="13" spans="1:12" ht="18" customHeight="1" x14ac:dyDescent="0.2">
      <c r="A13" s="70"/>
      <c r="B13" s="71" t="s">
        <v>373</v>
      </c>
      <c r="C13" s="72" t="s">
        <v>374</v>
      </c>
      <c r="D13" s="73" t="s">
        <v>336</v>
      </c>
      <c r="E13" s="73" t="s">
        <v>375</v>
      </c>
      <c r="F13" s="73" t="s">
        <v>376</v>
      </c>
      <c r="G13" s="73" t="s">
        <v>377</v>
      </c>
      <c r="H13" s="287" t="s">
        <v>378</v>
      </c>
    </row>
    <row r="14" spans="1:12" ht="18" customHeight="1" x14ac:dyDescent="0.2">
      <c r="A14" s="74"/>
      <c r="B14" s="75" t="s">
        <v>379</v>
      </c>
      <c r="C14" s="76" t="s">
        <v>380</v>
      </c>
      <c r="D14" s="77" t="s">
        <v>381</v>
      </c>
      <c r="E14" s="77" t="s">
        <v>355</v>
      </c>
      <c r="F14" s="77" t="s">
        <v>382</v>
      </c>
      <c r="G14" s="77" t="s">
        <v>345</v>
      </c>
      <c r="H14" s="287" t="s">
        <v>383</v>
      </c>
    </row>
    <row r="15" spans="1:12" ht="18" customHeight="1" x14ac:dyDescent="0.2">
      <c r="A15" s="74"/>
      <c r="B15" s="75" t="s">
        <v>384</v>
      </c>
      <c r="C15" s="76" t="s">
        <v>385</v>
      </c>
      <c r="D15" s="77" t="s">
        <v>381</v>
      </c>
      <c r="E15" s="77" t="s">
        <v>386</v>
      </c>
      <c r="F15" s="77" t="s">
        <v>387</v>
      </c>
      <c r="G15" s="77" t="s">
        <v>351</v>
      </c>
      <c r="H15" s="287" t="s">
        <v>388</v>
      </c>
    </row>
    <row r="16" spans="1:12" ht="18" customHeight="1" x14ac:dyDescent="0.2">
      <c r="A16" s="74"/>
      <c r="B16" s="75" t="s">
        <v>389</v>
      </c>
      <c r="C16" s="76" t="s">
        <v>390</v>
      </c>
      <c r="D16" s="77" t="s">
        <v>381</v>
      </c>
      <c r="E16" s="77" t="s">
        <v>391</v>
      </c>
      <c r="F16" s="77" t="s">
        <v>392</v>
      </c>
      <c r="G16" s="77" t="s">
        <v>393</v>
      </c>
      <c r="H16" s="287" t="s">
        <v>394</v>
      </c>
    </row>
    <row r="17" spans="1:12" ht="18" customHeight="1" x14ac:dyDescent="0.2">
      <c r="A17" s="74"/>
      <c r="B17" s="75" t="s">
        <v>395</v>
      </c>
      <c r="C17" s="76" t="s">
        <v>396</v>
      </c>
      <c r="D17" s="77" t="s">
        <v>381</v>
      </c>
      <c r="E17" s="77" t="s">
        <v>397</v>
      </c>
      <c r="F17" s="77" t="s">
        <v>398</v>
      </c>
      <c r="G17" s="77" t="s">
        <v>377</v>
      </c>
      <c r="H17" s="287" t="s">
        <v>399</v>
      </c>
    </row>
    <row r="18" spans="1:12" ht="18" customHeight="1" x14ac:dyDescent="0.2">
      <c r="A18" s="74"/>
      <c r="B18" s="75" t="s">
        <v>400</v>
      </c>
      <c r="C18" s="76" t="s">
        <v>401</v>
      </c>
      <c r="D18" s="77" t="s">
        <v>381</v>
      </c>
      <c r="E18" s="77" t="s">
        <v>375</v>
      </c>
      <c r="F18" s="77" t="s">
        <v>402</v>
      </c>
      <c r="G18" s="77" t="s">
        <v>361</v>
      </c>
      <c r="H18" s="287" t="s">
        <v>403</v>
      </c>
    </row>
    <row r="19" spans="1:12" ht="18" customHeight="1" x14ac:dyDescent="0.2">
      <c r="A19" s="74"/>
      <c r="B19" s="75" t="s">
        <v>404</v>
      </c>
      <c r="C19" s="76" t="s">
        <v>405</v>
      </c>
      <c r="D19" s="77" t="s">
        <v>381</v>
      </c>
      <c r="E19" s="77" t="s">
        <v>349</v>
      </c>
      <c r="F19" s="77" t="s">
        <v>406</v>
      </c>
      <c r="G19" s="77" t="s">
        <v>361</v>
      </c>
      <c r="H19" s="287" t="s">
        <v>407</v>
      </c>
    </row>
    <row r="20" spans="1:12" ht="18" customHeight="1" x14ac:dyDescent="0.2">
      <c r="A20" s="74"/>
      <c r="B20" s="75" t="s">
        <v>408</v>
      </c>
      <c r="C20" s="76" t="s">
        <v>409</v>
      </c>
      <c r="D20" s="77" t="s">
        <v>381</v>
      </c>
      <c r="E20" s="77" t="s">
        <v>410</v>
      </c>
      <c r="F20" s="77" t="s">
        <v>411</v>
      </c>
      <c r="G20" s="77" t="s">
        <v>412</v>
      </c>
      <c r="H20" s="287" t="s">
        <v>413</v>
      </c>
    </row>
    <row r="23" spans="1:12" ht="21.75" customHeight="1" x14ac:dyDescent="0.2">
      <c r="A23" s="672" t="s">
        <v>414</v>
      </c>
      <c r="B23" s="644"/>
      <c r="C23" s="644"/>
      <c r="D23" s="644"/>
      <c r="E23" s="644"/>
      <c r="F23" s="644"/>
      <c r="G23" s="644"/>
      <c r="H23" s="644"/>
      <c r="I23" s="644"/>
      <c r="J23" s="644"/>
      <c r="K23" s="644"/>
      <c r="L23" s="644"/>
    </row>
    <row r="24" spans="1:12" ht="27.75" customHeight="1" x14ac:dyDescent="0.2">
      <c r="A24" s="69" t="s">
        <v>131</v>
      </c>
      <c r="B24" s="69" t="s">
        <v>415</v>
      </c>
      <c r="C24" s="69" t="s">
        <v>416</v>
      </c>
      <c r="D24" s="69" t="s">
        <v>417</v>
      </c>
      <c r="E24" s="69" t="s">
        <v>418</v>
      </c>
      <c r="F24" s="69" t="s">
        <v>419</v>
      </c>
      <c r="G24" s="69" t="s">
        <v>420</v>
      </c>
      <c r="H24" s="69" t="s">
        <v>175</v>
      </c>
      <c r="I24" s="69"/>
      <c r="J24" s="69" t="s">
        <v>421</v>
      </c>
      <c r="K24" s="69" t="s">
        <v>422</v>
      </c>
      <c r="L24" s="69" t="s">
        <v>175</v>
      </c>
    </row>
    <row r="25" spans="1:12" ht="19.5" customHeight="1" x14ac:dyDescent="0.2">
      <c r="A25" s="78">
        <v>1</v>
      </c>
      <c r="B25" s="79" t="s">
        <v>423</v>
      </c>
      <c r="C25" s="80">
        <v>0</v>
      </c>
      <c r="D25" s="81">
        <v>0.35</v>
      </c>
      <c r="E25" s="81" t="s">
        <v>424</v>
      </c>
      <c r="F25" s="82" t="s">
        <v>425</v>
      </c>
      <c r="G25" s="41"/>
      <c r="H25" s="82" t="s">
        <v>426</v>
      </c>
      <c r="I25" s="41"/>
      <c r="J25" s="83">
        <f t="shared" ref="J25:J32" si="0">C25*D25/1000</f>
        <v>0</v>
      </c>
      <c r="K25" s="18" t="s">
        <v>427</v>
      </c>
      <c r="L25" s="14" t="s">
        <v>428</v>
      </c>
    </row>
    <row r="26" spans="1:12" ht="19.5" customHeight="1" x14ac:dyDescent="0.2">
      <c r="A26" s="78">
        <v>2</v>
      </c>
      <c r="B26" s="84" t="s">
        <v>429</v>
      </c>
      <c r="C26" s="80">
        <v>0</v>
      </c>
      <c r="D26" s="81">
        <v>0.52</v>
      </c>
      <c r="E26" s="81" t="s">
        <v>430</v>
      </c>
      <c r="F26" s="82" t="s">
        <v>425</v>
      </c>
      <c r="G26" s="41"/>
      <c r="H26" s="82" t="s">
        <v>431</v>
      </c>
      <c r="I26" s="41"/>
      <c r="J26" s="83">
        <f t="shared" si="0"/>
        <v>0</v>
      </c>
      <c r="K26" s="18" t="s">
        <v>427</v>
      </c>
      <c r="L26" s="14" t="s">
        <v>428</v>
      </c>
    </row>
    <row r="27" spans="1:12" ht="19.5" customHeight="1" x14ac:dyDescent="0.2">
      <c r="A27" s="78">
        <v>3</v>
      </c>
      <c r="B27" s="79" t="s">
        <v>432</v>
      </c>
      <c r="C27" s="80">
        <v>0</v>
      </c>
      <c r="D27" s="81">
        <v>0.63</v>
      </c>
      <c r="E27" s="81" t="s">
        <v>433</v>
      </c>
      <c r="F27" s="82" t="s">
        <v>425</v>
      </c>
      <c r="G27" s="41"/>
      <c r="H27" s="82" t="s">
        <v>434</v>
      </c>
      <c r="I27" s="41"/>
      <c r="J27" s="83">
        <f t="shared" si="0"/>
        <v>0</v>
      </c>
      <c r="K27" s="18" t="s">
        <v>427</v>
      </c>
      <c r="L27" s="14" t="s">
        <v>428</v>
      </c>
    </row>
    <row r="28" spans="1:12" ht="19.5" customHeight="1" x14ac:dyDescent="0.2">
      <c r="A28" s="78">
        <v>4</v>
      </c>
      <c r="B28" s="84" t="s">
        <v>435</v>
      </c>
      <c r="C28" s="80">
        <v>0</v>
      </c>
      <c r="D28" s="81">
        <v>0.85</v>
      </c>
      <c r="E28" s="81" t="s">
        <v>436</v>
      </c>
      <c r="F28" s="82" t="s">
        <v>425</v>
      </c>
      <c r="G28" s="41"/>
      <c r="H28" s="82" t="s">
        <v>437</v>
      </c>
      <c r="I28" s="41"/>
      <c r="J28" s="83">
        <f t="shared" si="0"/>
        <v>0</v>
      </c>
      <c r="K28" s="18" t="s">
        <v>427</v>
      </c>
      <c r="L28" s="14" t="s">
        <v>428</v>
      </c>
    </row>
    <row r="29" spans="1:12" ht="19.5" customHeight="1" x14ac:dyDescent="0.2">
      <c r="A29" s="78">
        <v>5</v>
      </c>
      <c r="B29" s="79" t="s">
        <v>438</v>
      </c>
      <c r="C29" s="80">
        <v>0</v>
      </c>
      <c r="D29" s="81">
        <v>0.12</v>
      </c>
      <c r="E29" s="81" t="s">
        <v>439</v>
      </c>
      <c r="F29" s="82" t="s">
        <v>425</v>
      </c>
      <c r="G29" s="41"/>
      <c r="H29" s="82" t="s">
        <v>440</v>
      </c>
      <c r="I29" s="41"/>
      <c r="J29" s="83">
        <f t="shared" si="0"/>
        <v>0</v>
      </c>
      <c r="K29" s="18" t="s">
        <v>427</v>
      </c>
      <c r="L29" s="14" t="s">
        <v>428</v>
      </c>
    </row>
    <row r="30" spans="1:12" ht="19.5" customHeight="1" x14ac:dyDescent="0.2">
      <c r="A30" s="78">
        <v>6</v>
      </c>
      <c r="B30" s="84" t="s">
        <v>441</v>
      </c>
      <c r="C30" s="80">
        <v>0</v>
      </c>
      <c r="D30" s="81">
        <v>0.95</v>
      </c>
      <c r="E30" s="81" t="s">
        <v>442</v>
      </c>
      <c r="F30" s="82" t="s">
        <v>425</v>
      </c>
      <c r="G30" s="41"/>
      <c r="H30" s="82" t="s">
        <v>443</v>
      </c>
      <c r="I30" s="41"/>
      <c r="J30" s="83">
        <f t="shared" si="0"/>
        <v>0</v>
      </c>
      <c r="K30" s="18" t="s">
        <v>427</v>
      </c>
      <c r="L30" s="14" t="s">
        <v>428</v>
      </c>
    </row>
    <row r="31" spans="1:12" ht="19.5" customHeight="1" x14ac:dyDescent="0.2">
      <c r="A31" s="78">
        <v>7</v>
      </c>
      <c r="B31" s="79" t="s">
        <v>444</v>
      </c>
      <c r="C31" s="80">
        <v>0</v>
      </c>
      <c r="D31" s="81">
        <v>0.42</v>
      </c>
      <c r="E31" s="81" t="s">
        <v>445</v>
      </c>
      <c r="F31" s="82" t="s">
        <v>425</v>
      </c>
      <c r="G31" s="41"/>
      <c r="H31" s="82" t="s">
        <v>446</v>
      </c>
      <c r="I31" s="41"/>
      <c r="J31" s="83">
        <f t="shared" si="0"/>
        <v>0</v>
      </c>
      <c r="K31" s="18" t="s">
        <v>427</v>
      </c>
      <c r="L31" s="14" t="s">
        <v>428</v>
      </c>
    </row>
    <row r="32" spans="1:12" ht="19.5" customHeight="1" x14ac:dyDescent="0.2">
      <c r="A32" s="78">
        <v>8</v>
      </c>
      <c r="B32" s="84" t="s">
        <v>447</v>
      </c>
      <c r="C32" s="80">
        <v>0</v>
      </c>
      <c r="D32" s="81">
        <v>0.25</v>
      </c>
      <c r="E32" s="81" t="s">
        <v>448</v>
      </c>
      <c r="F32" s="82"/>
      <c r="G32" s="41"/>
      <c r="H32" s="82"/>
      <c r="I32" s="41"/>
      <c r="J32" s="83">
        <f t="shared" si="0"/>
        <v>0</v>
      </c>
      <c r="K32" s="18" t="s">
        <v>427</v>
      </c>
      <c r="L32" s="14" t="s">
        <v>428</v>
      </c>
    </row>
    <row r="33" spans="1:13" ht="21.75" customHeight="1" x14ac:dyDescent="0.2">
      <c r="A33" s="85"/>
      <c r="B33" s="86" t="s">
        <v>449</v>
      </c>
      <c r="C33" s="87">
        <f>SUM(C25:C32)</f>
        <v>0</v>
      </c>
      <c r="D33" s="85"/>
      <c r="E33" s="85"/>
      <c r="F33" s="85"/>
      <c r="G33" s="85"/>
      <c r="H33" s="85"/>
      <c r="I33" s="85"/>
      <c r="J33" s="83"/>
      <c r="K33" s="85"/>
      <c r="L33" s="85"/>
    </row>
    <row r="34" spans="1:13" x14ac:dyDescent="0.2">
      <c r="B34" t="s">
        <v>450</v>
      </c>
    </row>
    <row r="35" spans="1:13" x14ac:dyDescent="0.2">
      <c r="B35" t="s">
        <v>451</v>
      </c>
    </row>
    <row r="36" spans="1:13" ht="21.75" customHeight="1" thickBot="1" x14ac:dyDescent="0.25">
      <c r="A36" s="673" t="s">
        <v>452</v>
      </c>
      <c r="B36" s="644"/>
      <c r="C36" s="644"/>
      <c r="D36" s="644"/>
      <c r="E36" s="644"/>
      <c r="F36" s="644"/>
      <c r="G36" s="644"/>
      <c r="H36" s="644"/>
      <c r="I36" s="644"/>
      <c r="J36" s="644"/>
      <c r="K36" s="644"/>
      <c r="L36" s="644"/>
    </row>
    <row r="37" spans="1:13" ht="27.75" customHeight="1" thickBot="1" x14ac:dyDescent="0.25">
      <c r="A37" s="88" t="s">
        <v>131</v>
      </c>
      <c r="B37" s="88" t="s">
        <v>453</v>
      </c>
      <c r="C37" s="88" t="s">
        <v>454</v>
      </c>
      <c r="D37" s="88" t="s">
        <v>455</v>
      </c>
      <c r="E37" s="413" t="s">
        <v>456</v>
      </c>
      <c r="F37" s="293" t="s">
        <v>457</v>
      </c>
      <c r="G37" s="434" t="s">
        <v>458</v>
      </c>
      <c r="H37" s="435" t="s">
        <v>459</v>
      </c>
      <c r="I37" s="293" t="s">
        <v>460</v>
      </c>
      <c r="J37" s="294" t="s">
        <v>421</v>
      </c>
      <c r="K37" s="435" t="s">
        <v>461</v>
      </c>
      <c r="L37" s="289" t="s">
        <v>462</v>
      </c>
      <c r="M37" s="289" t="s">
        <v>175</v>
      </c>
    </row>
    <row r="38" spans="1:13" ht="19.5" customHeight="1" x14ac:dyDescent="0.2">
      <c r="A38" s="89">
        <v>1</v>
      </c>
      <c r="B38" s="90" t="s">
        <v>463</v>
      </c>
      <c r="C38" s="26">
        <v>0</v>
      </c>
      <c r="D38" s="91">
        <v>4.2000000000000003E-2</v>
      </c>
      <c r="E38" s="62">
        <v>26.5</v>
      </c>
      <c r="F38" s="62">
        <f>C38*D38</f>
        <v>0</v>
      </c>
      <c r="G38" s="62">
        <f>F38*E38</f>
        <v>0</v>
      </c>
      <c r="H38" s="62">
        <f>G38/1000</f>
        <v>0</v>
      </c>
      <c r="I38" s="290">
        <v>416</v>
      </c>
      <c r="J38" s="291">
        <f>C38*D38*E38/1000</f>
        <v>0</v>
      </c>
      <c r="K38" s="292">
        <f>I38*F38/1000</f>
        <v>0</v>
      </c>
      <c r="L38" s="14"/>
      <c r="M38" s="14" t="s">
        <v>464</v>
      </c>
    </row>
    <row r="39" spans="1:13" ht="19.5" customHeight="1" x14ac:dyDescent="0.2">
      <c r="A39" s="89">
        <v>2</v>
      </c>
      <c r="B39" s="92" t="s">
        <v>465</v>
      </c>
      <c r="C39" s="26">
        <v>0</v>
      </c>
      <c r="D39" s="91">
        <v>0</v>
      </c>
      <c r="E39" s="62">
        <v>15.4</v>
      </c>
      <c r="F39" s="62">
        <f>C39*D39</f>
        <v>0</v>
      </c>
      <c r="G39" s="62">
        <f>F39*E39</f>
        <v>0</v>
      </c>
      <c r="H39" s="62">
        <f>G39/1000</f>
        <v>0</v>
      </c>
      <c r="I39" s="62"/>
      <c r="J39" s="83">
        <f>C39*E39/1000</f>
        <v>0</v>
      </c>
      <c r="K39" s="292"/>
      <c r="L39" s="14"/>
      <c r="M39" s="14" t="s">
        <v>464</v>
      </c>
    </row>
    <row r="40" spans="1:13" ht="19.5" customHeight="1" x14ac:dyDescent="0.2">
      <c r="A40" s="89">
        <v>3</v>
      </c>
      <c r="B40" s="90" t="s">
        <v>466</v>
      </c>
      <c r="C40" s="26">
        <v>0</v>
      </c>
      <c r="D40" s="91">
        <v>0</v>
      </c>
      <c r="E40" s="62">
        <v>16.7</v>
      </c>
      <c r="F40" s="62">
        <f>C40*D40</f>
        <v>0</v>
      </c>
      <c r="G40" s="62">
        <f>F40*E40</f>
        <v>0</v>
      </c>
      <c r="H40" s="62">
        <f>G40/1000</f>
        <v>0</v>
      </c>
      <c r="I40" s="62"/>
      <c r="J40" s="83">
        <f>C40*E40/1000</f>
        <v>0</v>
      </c>
      <c r="K40" s="292"/>
      <c r="L40" s="14"/>
      <c r="M40" s="14" t="s">
        <v>464</v>
      </c>
    </row>
    <row r="41" spans="1:13" ht="19.5" customHeight="1" x14ac:dyDescent="0.2">
      <c r="A41" s="89">
        <v>4</v>
      </c>
      <c r="B41" s="92" t="s">
        <v>467</v>
      </c>
      <c r="C41" s="26">
        <v>0</v>
      </c>
      <c r="D41" s="91">
        <v>0</v>
      </c>
      <c r="E41" s="62">
        <v>14.8</v>
      </c>
      <c r="F41" s="62">
        <f>C41*D41</f>
        <v>0</v>
      </c>
      <c r="G41" s="62">
        <f>F41*E41</f>
        <v>0</v>
      </c>
      <c r="H41" s="62">
        <f>G41/1000</f>
        <v>0</v>
      </c>
      <c r="I41" s="62"/>
      <c r="J41" s="83">
        <f>C41*E41/1000</f>
        <v>0</v>
      </c>
      <c r="K41" s="292"/>
      <c r="L41" s="14"/>
      <c r="M41" s="14" t="s">
        <v>464</v>
      </c>
    </row>
    <row r="42" spans="1:13" ht="21.75" customHeight="1" x14ac:dyDescent="0.2">
      <c r="A42" s="93"/>
      <c r="B42" s="94" t="s">
        <v>468</v>
      </c>
      <c r="C42" s="93"/>
      <c r="D42" s="93"/>
      <c r="E42" s="93"/>
      <c r="F42" s="93"/>
      <c r="G42" s="93"/>
      <c r="H42" s="93"/>
      <c r="I42" s="93" t="s">
        <v>469</v>
      </c>
      <c r="J42" s="95"/>
      <c r="K42" s="93"/>
      <c r="L42" s="93"/>
      <c r="M42" s="93"/>
    </row>
    <row r="43" spans="1:13" x14ac:dyDescent="0.2">
      <c r="B43" t="s">
        <v>470</v>
      </c>
    </row>
    <row r="44" spans="1:13" x14ac:dyDescent="0.2">
      <c r="B44" t="s">
        <v>471</v>
      </c>
    </row>
    <row r="45" spans="1:13" x14ac:dyDescent="0.2">
      <c r="B45" t="s">
        <v>472</v>
      </c>
    </row>
    <row r="46" spans="1:13" ht="21.75" customHeight="1" x14ac:dyDescent="0.2">
      <c r="A46" s="674" t="s">
        <v>473</v>
      </c>
      <c r="B46" s="644"/>
      <c r="C46" s="644"/>
      <c r="D46" s="644"/>
      <c r="E46" s="644"/>
      <c r="F46" s="644"/>
      <c r="G46" s="644"/>
      <c r="H46" s="644"/>
      <c r="I46" s="644"/>
      <c r="J46" s="644"/>
      <c r="K46" s="644"/>
      <c r="L46" s="644"/>
    </row>
    <row r="47" spans="1:13" ht="27.75" customHeight="1" x14ac:dyDescent="0.2">
      <c r="A47" s="96" t="s">
        <v>131</v>
      </c>
      <c r="B47" s="96" t="s">
        <v>474</v>
      </c>
      <c r="C47" s="96" t="s">
        <v>475</v>
      </c>
      <c r="D47" s="96" t="s">
        <v>133</v>
      </c>
      <c r="E47" s="96" t="s">
        <v>476</v>
      </c>
      <c r="F47" s="96" t="s">
        <v>477</v>
      </c>
      <c r="G47" s="96" t="s">
        <v>478</v>
      </c>
      <c r="H47" s="96"/>
      <c r="I47" s="96"/>
      <c r="J47" s="96" t="s">
        <v>421</v>
      </c>
      <c r="K47" s="96" t="s">
        <v>462</v>
      </c>
      <c r="L47" s="96" t="s">
        <v>175</v>
      </c>
    </row>
    <row r="48" spans="1:13" ht="19.5" customHeight="1" x14ac:dyDescent="0.2">
      <c r="A48" s="97">
        <v>1</v>
      </c>
      <c r="B48" s="98" t="s">
        <v>479</v>
      </c>
      <c r="C48" s="80">
        <v>0</v>
      </c>
      <c r="D48" s="19" t="s">
        <v>480</v>
      </c>
      <c r="E48" s="19" t="s">
        <v>481</v>
      </c>
      <c r="F48" s="81">
        <v>0.255</v>
      </c>
      <c r="G48" s="99" t="s">
        <v>164</v>
      </c>
      <c r="H48" s="41"/>
      <c r="I48" s="41"/>
      <c r="J48" s="83">
        <f t="shared" ref="J48:J53" si="1">C48*F48/1000</f>
        <v>0</v>
      </c>
      <c r="K48" s="18"/>
      <c r="L48" s="14" t="s">
        <v>482</v>
      </c>
    </row>
    <row r="49" spans="1:12" ht="19.5" customHeight="1" x14ac:dyDescent="0.2">
      <c r="A49" s="97">
        <v>2</v>
      </c>
      <c r="B49" s="100" t="s">
        <v>483</v>
      </c>
      <c r="C49" s="80">
        <v>0</v>
      </c>
      <c r="D49" s="19" t="s">
        <v>480</v>
      </c>
      <c r="E49" s="19" t="s">
        <v>481</v>
      </c>
      <c r="F49" s="81">
        <v>0.19500000000000001</v>
      </c>
      <c r="G49" s="99" t="s">
        <v>164</v>
      </c>
      <c r="H49" s="41"/>
      <c r="I49" s="41"/>
      <c r="J49" s="83">
        <f t="shared" si="1"/>
        <v>0</v>
      </c>
      <c r="K49" s="18"/>
      <c r="L49" s="14" t="s">
        <v>482</v>
      </c>
    </row>
    <row r="50" spans="1:12" ht="19.5" customHeight="1" x14ac:dyDescent="0.2">
      <c r="A50" s="97">
        <v>3</v>
      </c>
      <c r="B50" s="98" t="s">
        <v>484</v>
      </c>
      <c r="C50" s="80">
        <v>0</v>
      </c>
      <c r="D50" s="19" t="s">
        <v>480</v>
      </c>
      <c r="E50" s="19" t="s">
        <v>485</v>
      </c>
      <c r="F50" s="81">
        <v>0.42899999999999999</v>
      </c>
      <c r="G50" s="99" t="s">
        <v>164</v>
      </c>
      <c r="H50" s="41"/>
      <c r="I50" s="41"/>
      <c r="J50" s="83">
        <f t="shared" si="1"/>
        <v>0</v>
      </c>
      <c r="K50" s="18"/>
      <c r="L50" s="14" t="s">
        <v>482</v>
      </c>
    </row>
    <row r="51" spans="1:12" ht="19.5" customHeight="1" x14ac:dyDescent="0.2">
      <c r="A51" s="97">
        <v>4</v>
      </c>
      <c r="B51" s="100" t="s">
        <v>486</v>
      </c>
      <c r="C51" s="80">
        <v>0</v>
      </c>
      <c r="D51" s="19" t="s">
        <v>480</v>
      </c>
      <c r="E51" s="19" t="s">
        <v>487</v>
      </c>
      <c r="F51" s="81">
        <v>3.5000000000000003E-2</v>
      </c>
      <c r="G51" s="99" t="s">
        <v>164</v>
      </c>
      <c r="H51" s="41"/>
      <c r="I51" s="41"/>
      <c r="J51" s="83">
        <f t="shared" si="1"/>
        <v>0</v>
      </c>
      <c r="K51" s="18"/>
      <c r="L51" s="14" t="s">
        <v>482</v>
      </c>
    </row>
    <row r="52" spans="1:12" ht="19.5" customHeight="1" x14ac:dyDescent="0.2">
      <c r="A52" s="97">
        <v>5</v>
      </c>
      <c r="B52" s="98" t="s">
        <v>488</v>
      </c>
      <c r="C52" s="80">
        <v>0</v>
      </c>
      <c r="D52" s="19" t="s">
        <v>489</v>
      </c>
      <c r="E52" s="19" t="s">
        <v>490</v>
      </c>
      <c r="F52" s="81">
        <v>20.8</v>
      </c>
      <c r="G52" s="99" t="s">
        <v>164</v>
      </c>
      <c r="H52" s="41"/>
      <c r="I52" s="41"/>
      <c r="J52" s="83">
        <f t="shared" si="1"/>
        <v>0</v>
      </c>
      <c r="K52" s="18"/>
      <c r="L52" s="14" t="s">
        <v>482</v>
      </c>
    </row>
    <row r="53" spans="1:12" ht="19.5" customHeight="1" x14ac:dyDescent="0.2">
      <c r="A53" s="97">
        <v>6</v>
      </c>
      <c r="B53" s="100" t="s">
        <v>491</v>
      </c>
      <c r="C53" s="80">
        <v>0</v>
      </c>
      <c r="D53" s="19" t="s">
        <v>480</v>
      </c>
      <c r="E53" s="19" t="s">
        <v>492</v>
      </c>
      <c r="F53" s="81">
        <v>0.16800000000000001</v>
      </c>
      <c r="G53" s="99" t="s">
        <v>164</v>
      </c>
      <c r="H53" s="41"/>
      <c r="I53" s="41"/>
      <c r="J53" s="83">
        <f t="shared" si="1"/>
        <v>0</v>
      </c>
      <c r="K53" s="18"/>
      <c r="L53" s="14" t="s">
        <v>482</v>
      </c>
    </row>
    <row r="54" spans="1:12" ht="21.75" customHeight="1" x14ac:dyDescent="0.2">
      <c r="A54" s="101"/>
      <c r="B54" s="102" t="s">
        <v>493</v>
      </c>
      <c r="C54" s="101"/>
      <c r="D54" s="101"/>
      <c r="E54" s="101"/>
      <c r="F54" s="101"/>
      <c r="G54" s="101"/>
      <c r="H54" s="101"/>
      <c r="I54" s="101"/>
      <c r="J54" s="436"/>
      <c r="K54" s="101"/>
      <c r="L54" s="101"/>
    </row>
    <row r="56" spans="1:12" ht="21.75" customHeight="1" x14ac:dyDescent="0.2">
      <c r="A56" s="668" t="s">
        <v>494</v>
      </c>
      <c r="B56" s="644"/>
      <c r="C56" s="644"/>
      <c r="D56" s="644"/>
      <c r="E56" s="644"/>
      <c r="F56" s="644"/>
      <c r="G56" s="644"/>
      <c r="H56" s="644"/>
      <c r="I56" s="644"/>
      <c r="J56" s="644"/>
      <c r="K56" s="644"/>
      <c r="L56" s="644"/>
    </row>
    <row r="57" spans="1:12" ht="27.75" customHeight="1" x14ac:dyDescent="0.2">
      <c r="A57" s="103" t="s">
        <v>131</v>
      </c>
      <c r="B57" s="103" t="s">
        <v>495</v>
      </c>
      <c r="C57" s="103" t="s">
        <v>496</v>
      </c>
      <c r="D57" s="103" t="s">
        <v>497</v>
      </c>
      <c r="E57" s="103" t="s">
        <v>498</v>
      </c>
      <c r="F57" s="103" t="s">
        <v>499</v>
      </c>
      <c r="G57" s="103"/>
      <c r="H57" s="103"/>
      <c r="I57" s="103" t="s">
        <v>421</v>
      </c>
      <c r="J57" s="103" t="s">
        <v>462</v>
      </c>
      <c r="K57" s="103" t="s">
        <v>175</v>
      </c>
    </row>
    <row r="58" spans="1:12" ht="21.75" customHeight="1" x14ac:dyDescent="0.2">
      <c r="A58" s="104">
        <v>1</v>
      </c>
      <c r="B58" s="404" t="s">
        <v>500</v>
      </c>
      <c r="C58" s="14" t="s">
        <v>501</v>
      </c>
      <c r="D58" s="14" t="s">
        <v>501</v>
      </c>
      <c r="E58" s="14" t="s">
        <v>501</v>
      </c>
      <c r="F58" s="14" t="s">
        <v>501</v>
      </c>
      <c r="G58" s="14" t="s">
        <v>501</v>
      </c>
      <c r="H58" s="14" t="s">
        <v>501</v>
      </c>
      <c r="I58" s="408"/>
      <c r="J58" s="14" t="s">
        <v>502</v>
      </c>
      <c r="K58" s="14" t="s">
        <v>501</v>
      </c>
    </row>
    <row r="59" spans="1:12" ht="21.75" customHeight="1" x14ac:dyDescent="0.2">
      <c r="A59" s="104">
        <v>2</v>
      </c>
      <c r="B59" s="405" t="s">
        <v>503</v>
      </c>
      <c r="C59" s="14" t="s">
        <v>501</v>
      </c>
      <c r="D59" s="14" t="s">
        <v>501</v>
      </c>
      <c r="E59" s="14" t="s">
        <v>501</v>
      </c>
      <c r="F59" s="14" t="s">
        <v>501</v>
      </c>
      <c r="G59" s="14" t="s">
        <v>501</v>
      </c>
      <c r="H59" s="14" t="s">
        <v>501</v>
      </c>
      <c r="I59" s="408"/>
      <c r="J59" s="14" t="s">
        <v>502</v>
      </c>
      <c r="K59" s="14" t="s">
        <v>501</v>
      </c>
    </row>
    <row r="60" spans="1:12" ht="21.75" customHeight="1" x14ac:dyDescent="0.2">
      <c r="A60" s="104"/>
      <c r="B60" s="404" t="s">
        <v>504</v>
      </c>
      <c r="C60" s="14" t="s">
        <v>501</v>
      </c>
      <c r="D60" s="14" t="s">
        <v>501</v>
      </c>
      <c r="E60" s="14" t="s">
        <v>501</v>
      </c>
      <c r="F60" s="14" t="s">
        <v>501</v>
      </c>
      <c r="G60" s="14" t="s">
        <v>501</v>
      </c>
      <c r="H60" s="14" t="s">
        <v>501</v>
      </c>
      <c r="I60" s="408"/>
      <c r="J60" s="14" t="s">
        <v>502</v>
      </c>
      <c r="K60" s="14"/>
    </row>
    <row r="61" spans="1:12" ht="21.75" customHeight="1" x14ac:dyDescent="0.2">
      <c r="A61" s="104"/>
      <c r="B61" s="405" t="s">
        <v>505</v>
      </c>
      <c r="C61" s="14" t="s">
        <v>501</v>
      </c>
      <c r="D61" s="14" t="s">
        <v>501</v>
      </c>
      <c r="E61" s="14" t="s">
        <v>501</v>
      </c>
      <c r="F61" s="14" t="s">
        <v>501</v>
      </c>
      <c r="G61" s="14" t="s">
        <v>501</v>
      </c>
      <c r="H61" s="14" t="s">
        <v>501</v>
      </c>
      <c r="I61" s="408"/>
      <c r="J61" s="14" t="s">
        <v>502</v>
      </c>
      <c r="K61" s="14"/>
    </row>
    <row r="62" spans="1:12" ht="21.75" customHeight="1" x14ac:dyDescent="0.2">
      <c r="A62" s="104"/>
      <c r="B62" s="405" t="s">
        <v>506</v>
      </c>
      <c r="C62" s="14" t="s">
        <v>501</v>
      </c>
      <c r="D62" s="14" t="s">
        <v>501</v>
      </c>
      <c r="E62" s="14" t="s">
        <v>501</v>
      </c>
      <c r="F62" s="14" t="s">
        <v>501</v>
      </c>
      <c r="G62" s="14" t="s">
        <v>501</v>
      </c>
      <c r="H62" s="14" t="s">
        <v>501</v>
      </c>
      <c r="I62" s="408"/>
      <c r="J62" s="14" t="s">
        <v>502</v>
      </c>
      <c r="K62" s="14"/>
    </row>
    <row r="63" spans="1:12" ht="21.75" customHeight="1" x14ac:dyDescent="0.2">
      <c r="A63" s="104"/>
      <c r="B63" s="404" t="s">
        <v>507</v>
      </c>
      <c r="C63" s="14" t="s">
        <v>501</v>
      </c>
      <c r="D63" s="14" t="s">
        <v>501</v>
      </c>
      <c r="E63" s="14" t="s">
        <v>501</v>
      </c>
      <c r="F63" s="14" t="s">
        <v>501</v>
      </c>
      <c r="G63" s="14" t="s">
        <v>501</v>
      </c>
      <c r="H63" s="14" t="s">
        <v>501</v>
      </c>
      <c r="I63" s="408"/>
      <c r="J63" s="14" t="s">
        <v>502</v>
      </c>
      <c r="K63" s="14"/>
    </row>
    <row r="64" spans="1:12" ht="21.75" customHeight="1" x14ac:dyDescent="0.2">
      <c r="A64" s="104"/>
      <c r="B64" s="405" t="s">
        <v>508</v>
      </c>
      <c r="C64" s="14" t="s">
        <v>501</v>
      </c>
      <c r="D64" s="14" t="s">
        <v>501</v>
      </c>
      <c r="E64" s="14" t="s">
        <v>501</v>
      </c>
      <c r="F64" s="14" t="s">
        <v>501</v>
      </c>
      <c r="G64" s="14" t="s">
        <v>501</v>
      </c>
      <c r="H64" s="14" t="s">
        <v>501</v>
      </c>
      <c r="I64" s="408"/>
      <c r="J64" s="14" t="s">
        <v>502</v>
      </c>
      <c r="K64" s="14"/>
    </row>
    <row r="65" spans="1:12" ht="21.75" customHeight="1" x14ac:dyDescent="0.2">
      <c r="A65" s="104"/>
      <c r="B65" s="404" t="s">
        <v>509</v>
      </c>
      <c r="C65" s="14" t="s">
        <v>501</v>
      </c>
      <c r="D65" s="14" t="s">
        <v>501</v>
      </c>
      <c r="E65" s="14" t="s">
        <v>501</v>
      </c>
      <c r="F65" s="14" t="s">
        <v>501</v>
      </c>
      <c r="G65" s="14" t="s">
        <v>501</v>
      </c>
      <c r="H65" s="14" t="s">
        <v>501</v>
      </c>
      <c r="I65" s="408"/>
      <c r="J65" s="14" t="s">
        <v>502</v>
      </c>
      <c r="K65" s="14"/>
    </row>
    <row r="66" spans="1:12" ht="21.75" customHeight="1" x14ac:dyDescent="0.2">
      <c r="A66" s="104"/>
      <c r="B66" s="405" t="s">
        <v>510</v>
      </c>
      <c r="C66" s="14" t="s">
        <v>501</v>
      </c>
      <c r="D66" s="14" t="s">
        <v>501</v>
      </c>
      <c r="E66" s="14" t="s">
        <v>501</v>
      </c>
      <c r="F66" s="14" t="s">
        <v>501</v>
      </c>
      <c r="G66" s="14" t="s">
        <v>501</v>
      </c>
      <c r="H66" s="14" t="s">
        <v>501</v>
      </c>
      <c r="I66" s="408"/>
      <c r="J66" s="14" t="s">
        <v>502</v>
      </c>
      <c r="K66" s="14"/>
    </row>
    <row r="67" spans="1:12" ht="21.75" customHeight="1" x14ac:dyDescent="0.2">
      <c r="A67" s="104">
        <v>5</v>
      </c>
      <c r="B67" s="14" t="s">
        <v>501</v>
      </c>
      <c r="C67" s="14" t="s">
        <v>501</v>
      </c>
      <c r="D67" s="14" t="s">
        <v>501</v>
      </c>
      <c r="E67" s="14" t="s">
        <v>501</v>
      </c>
      <c r="F67" s="14" t="s">
        <v>501</v>
      </c>
      <c r="G67" s="14" t="s">
        <v>501</v>
      </c>
      <c r="H67" s="14" t="s">
        <v>501</v>
      </c>
      <c r="I67" s="105">
        <f>IFERROR(IF(AND(ISNUMBER(E67),ISNUMBER(F67)),E67*F67/1000,0),0)</f>
        <v>0</v>
      </c>
      <c r="J67" s="14" t="s">
        <v>501</v>
      </c>
      <c r="K67" s="14" t="s">
        <v>501</v>
      </c>
    </row>
    <row r="68" spans="1:12" ht="21.75" customHeight="1" x14ac:dyDescent="0.2">
      <c r="A68" s="106"/>
      <c r="B68" s="107" t="s">
        <v>511</v>
      </c>
      <c r="C68" s="106"/>
      <c r="D68" s="106"/>
      <c r="E68" s="106"/>
      <c r="F68" s="106"/>
      <c r="G68" s="106"/>
      <c r="H68" s="106"/>
      <c r="I68" s="108">
        <f>SUM(I58:I67)</f>
        <v>0</v>
      </c>
      <c r="J68" s="106"/>
      <c r="K68" s="106"/>
    </row>
    <row r="70" spans="1:12" ht="27.75" customHeight="1" x14ac:dyDescent="0.2">
      <c r="A70" s="669" t="s">
        <v>512</v>
      </c>
      <c r="B70" s="642"/>
      <c r="C70" s="642"/>
      <c r="D70" s="642"/>
      <c r="E70" s="642"/>
      <c r="F70" s="642"/>
      <c r="G70" s="642"/>
      <c r="H70" s="642"/>
      <c r="I70" s="642"/>
      <c r="J70" s="109">
        <f>I68+J54+J42+J33</f>
        <v>0</v>
      </c>
      <c r="K70" s="85"/>
      <c r="L70" s="85"/>
    </row>
  </sheetData>
  <mergeCells count="8">
    <mergeCell ref="A2:L2"/>
    <mergeCell ref="A46:L46"/>
    <mergeCell ref="A70:I70"/>
    <mergeCell ref="A1:L1"/>
    <mergeCell ref="A23:L23"/>
    <mergeCell ref="A56:L56"/>
    <mergeCell ref="A36:L36"/>
    <mergeCell ref="A4:L4"/>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A7C59"/>
  </sheetPr>
  <dimension ref="A1:I80"/>
  <sheetViews>
    <sheetView showGridLines="0" zoomScale="125" zoomScaleNormal="125" workbookViewId="0">
      <pane ySplit="4" topLeftCell="A18" activePane="bottomLeft" state="frozen"/>
      <selection pane="bottomLeft" activeCell="D38" sqref="D38"/>
    </sheetView>
  </sheetViews>
  <sheetFormatPr baseColWidth="10" defaultColWidth="8.6640625" defaultRowHeight="15" x14ac:dyDescent="0.2"/>
  <cols>
    <col min="1" max="1" width="11.5" customWidth="1"/>
    <col min="2" max="2" width="32" customWidth="1"/>
    <col min="3" max="3" width="40.5" bestFit="1" customWidth="1"/>
    <col min="4" max="4" width="24.1640625" bestFit="1" customWidth="1"/>
    <col min="5" max="5" width="28" customWidth="1"/>
    <col min="6" max="6" width="17.1640625" bestFit="1" customWidth="1"/>
    <col min="7" max="7" width="20.6640625" bestFit="1" customWidth="1"/>
    <col min="8" max="8" width="25.5" bestFit="1" customWidth="1"/>
    <col min="9" max="9" width="28" customWidth="1"/>
  </cols>
  <sheetData>
    <row r="1" spans="1:9" ht="48" customHeight="1" x14ac:dyDescent="0.2">
      <c r="B1" s="660" t="s">
        <v>513</v>
      </c>
      <c r="C1" s="644"/>
      <c r="D1" s="644"/>
      <c r="E1" s="644"/>
      <c r="F1" s="644"/>
      <c r="G1" s="644"/>
      <c r="H1" s="644"/>
      <c r="I1" s="644"/>
    </row>
    <row r="2" spans="1:9" ht="19.5" customHeight="1" x14ac:dyDescent="0.2">
      <c r="B2" s="657" t="s">
        <v>514</v>
      </c>
      <c r="C2" s="644"/>
      <c r="D2" s="644"/>
      <c r="E2" s="644"/>
      <c r="F2" s="644"/>
      <c r="G2" s="644"/>
      <c r="H2" s="644"/>
      <c r="I2" s="644"/>
    </row>
    <row r="4" spans="1:9" ht="21.75" customHeight="1" x14ac:dyDescent="0.2">
      <c r="A4" s="675" t="s">
        <v>515</v>
      </c>
      <c r="B4" s="675"/>
      <c r="C4" s="675"/>
      <c r="D4" s="675"/>
      <c r="E4" s="675"/>
      <c r="F4" s="675"/>
      <c r="G4" s="675"/>
      <c r="H4" s="675"/>
      <c r="I4" s="675"/>
    </row>
    <row r="5" spans="1:9" ht="24" customHeight="1" thickBot="1" x14ac:dyDescent="0.25">
      <c r="A5" s="636" t="s">
        <v>485</v>
      </c>
      <c r="B5" s="636" t="s">
        <v>516</v>
      </c>
      <c r="C5" s="415" t="s">
        <v>496</v>
      </c>
      <c r="D5" s="415" t="s">
        <v>421</v>
      </c>
      <c r="E5" s="415" t="s">
        <v>517</v>
      </c>
      <c r="F5" s="415" t="s">
        <v>518</v>
      </c>
      <c r="G5" s="415" t="s">
        <v>519</v>
      </c>
      <c r="H5" s="415" t="s">
        <v>520</v>
      </c>
      <c r="I5" s="415" t="s">
        <v>175</v>
      </c>
    </row>
    <row r="6" spans="1:9" ht="16" thickBot="1" x14ac:dyDescent="0.25">
      <c r="A6" s="637" t="s">
        <v>1274</v>
      </c>
      <c r="B6" s="613" t="s">
        <v>9</v>
      </c>
      <c r="C6" s="614" t="s">
        <v>522</v>
      </c>
      <c r="D6" s="615"/>
      <c r="E6" s="616"/>
      <c r="F6" s="616"/>
      <c r="G6" s="617"/>
      <c r="H6" s="618"/>
      <c r="I6" s="619"/>
    </row>
    <row r="7" spans="1:9" ht="16" thickBot="1" x14ac:dyDescent="0.25">
      <c r="A7" s="637" t="s">
        <v>1274</v>
      </c>
      <c r="B7" s="57" t="s">
        <v>523</v>
      </c>
      <c r="C7" s="164" t="s">
        <v>524</v>
      </c>
      <c r="D7" s="112"/>
      <c r="E7" s="611"/>
      <c r="F7" s="611"/>
      <c r="G7" s="403"/>
      <c r="H7" s="26"/>
      <c r="I7" s="620"/>
    </row>
    <row r="8" spans="1:9" ht="16" thickBot="1" x14ac:dyDescent="0.25">
      <c r="A8" s="637" t="s">
        <v>1274</v>
      </c>
      <c r="B8" s="114" t="s">
        <v>525</v>
      </c>
      <c r="C8" s="115" t="s">
        <v>526</v>
      </c>
      <c r="D8" s="116"/>
      <c r="E8" s="612"/>
      <c r="F8" s="612"/>
      <c r="G8" s="403"/>
      <c r="H8" s="26"/>
      <c r="I8" s="620"/>
    </row>
    <row r="9" spans="1:9" ht="16" thickBot="1" x14ac:dyDescent="0.25">
      <c r="A9" s="637" t="s">
        <v>1274</v>
      </c>
      <c r="B9" s="627" t="s">
        <v>13</v>
      </c>
      <c r="C9" s="628" t="s">
        <v>527</v>
      </c>
      <c r="D9" s="629"/>
      <c r="E9" s="630"/>
      <c r="F9" s="630"/>
      <c r="G9" s="631"/>
      <c r="H9" s="632"/>
      <c r="I9" s="633"/>
    </row>
    <row r="10" spans="1:9" ht="16" thickBot="1" x14ac:dyDescent="0.25">
      <c r="A10" s="637" t="s">
        <v>1273</v>
      </c>
      <c r="B10" s="613" t="s">
        <v>9</v>
      </c>
      <c r="C10" s="614" t="s">
        <v>522</v>
      </c>
      <c r="D10" s="615"/>
      <c r="E10" s="616"/>
      <c r="F10" s="616"/>
      <c r="G10" s="617"/>
      <c r="H10" s="618"/>
      <c r="I10" s="619"/>
    </row>
    <row r="11" spans="1:9" ht="16" thickBot="1" x14ac:dyDescent="0.25">
      <c r="A11" s="637" t="s">
        <v>1273</v>
      </c>
      <c r="B11" s="57" t="s">
        <v>523</v>
      </c>
      <c r="C11" s="164" t="s">
        <v>524</v>
      </c>
      <c r="D11" s="112"/>
      <c r="E11" s="611"/>
      <c r="F11" s="611"/>
      <c r="G11" s="403"/>
      <c r="H11" s="26"/>
      <c r="I11" s="620"/>
    </row>
    <row r="12" spans="1:9" ht="16" thickBot="1" x14ac:dyDescent="0.25">
      <c r="A12" s="637" t="s">
        <v>1273</v>
      </c>
      <c r="B12" s="114" t="s">
        <v>525</v>
      </c>
      <c r="C12" s="115" t="s">
        <v>526</v>
      </c>
      <c r="D12" s="116"/>
      <c r="E12" s="612"/>
      <c r="F12" s="612"/>
      <c r="G12" s="403"/>
      <c r="H12" s="26"/>
      <c r="I12" s="620"/>
    </row>
    <row r="13" spans="1:9" ht="16" thickBot="1" x14ac:dyDescent="0.25">
      <c r="A13" s="637" t="s">
        <v>1273</v>
      </c>
      <c r="B13" s="627" t="s">
        <v>13</v>
      </c>
      <c r="C13" s="628" t="s">
        <v>527</v>
      </c>
      <c r="D13" s="629"/>
      <c r="E13" s="630"/>
      <c r="F13" s="630"/>
      <c r="G13" s="631"/>
      <c r="H13" s="632"/>
      <c r="I13" s="633"/>
    </row>
    <row r="14" spans="1:9" ht="16" thickBot="1" x14ac:dyDescent="0.25">
      <c r="A14" s="637" t="s">
        <v>1272</v>
      </c>
      <c r="B14" s="613" t="s">
        <v>9</v>
      </c>
      <c r="C14" s="614" t="s">
        <v>522</v>
      </c>
      <c r="D14" s="615"/>
      <c r="E14" s="616"/>
      <c r="F14" s="616"/>
      <c r="G14" s="617"/>
      <c r="H14" s="618"/>
      <c r="I14" s="619"/>
    </row>
    <row r="15" spans="1:9" ht="16" thickBot="1" x14ac:dyDescent="0.25">
      <c r="A15" s="637" t="s">
        <v>1272</v>
      </c>
      <c r="B15" s="57" t="s">
        <v>523</v>
      </c>
      <c r="C15" s="164" t="s">
        <v>524</v>
      </c>
      <c r="D15" s="112"/>
      <c r="E15" s="611"/>
      <c r="F15" s="611"/>
      <c r="G15" s="403"/>
      <c r="H15" s="26"/>
      <c r="I15" s="620"/>
    </row>
    <row r="16" spans="1:9" ht="16" thickBot="1" x14ac:dyDescent="0.25">
      <c r="A16" s="637" t="s">
        <v>1272</v>
      </c>
      <c r="B16" s="114" t="s">
        <v>525</v>
      </c>
      <c r="C16" s="115" t="s">
        <v>526</v>
      </c>
      <c r="D16" s="116"/>
      <c r="E16" s="612"/>
      <c r="F16" s="612"/>
      <c r="G16" s="403"/>
      <c r="H16" s="26"/>
      <c r="I16" s="620"/>
    </row>
    <row r="17" spans="1:9" ht="16" thickBot="1" x14ac:dyDescent="0.25">
      <c r="A17" s="637" t="s">
        <v>1272</v>
      </c>
      <c r="B17" s="627" t="s">
        <v>13</v>
      </c>
      <c r="C17" s="628" t="s">
        <v>527</v>
      </c>
      <c r="D17" s="629"/>
      <c r="E17" s="630"/>
      <c r="F17" s="630"/>
      <c r="G17" s="631"/>
      <c r="H17" s="632"/>
      <c r="I17" s="633"/>
    </row>
    <row r="18" spans="1:9" ht="16" thickBot="1" x14ac:dyDescent="0.25">
      <c r="A18" s="637" t="s">
        <v>1271</v>
      </c>
      <c r="B18" s="613" t="s">
        <v>9</v>
      </c>
      <c r="C18" s="614" t="s">
        <v>522</v>
      </c>
      <c r="D18" s="615"/>
      <c r="E18" s="616"/>
      <c r="F18" s="616"/>
      <c r="G18" s="617"/>
      <c r="H18" s="618"/>
      <c r="I18" s="619"/>
    </row>
    <row r="19" spans="1:9" ht="16" thickBot="1" x14ac:dyDescent="0.25">
      <c r="A19" s="637" t="s">
        <v>1271</v>
      </c>
      <c r="B19" s="57" t="s">
        <v>523</v>
      </c>
      <c r="C19" s="164" t="s">
        <v>524</v>
      </c>
      <c r="D19" s="112"/>
      <c r="E19" s="611"/>
      <c r="F19" s="611"/>
      <c r="G19" s="403"/>
      <c r="H19" s="26"/>
      <c r="I19" s="620"/>
    </row>
    <row r="20" spans="1:9" ht="16" thickBot="1" x14ac:dyDescent="0.25">
      <c r="A20" s="637" t="s">
        <v>1271</v>
      </c>
      <c r="B20" s="114" t="s">
        <v>525</v>
      </c>
      <c r="C20" s="115" t="s">
        <v>526</v>
      </c>
      <c r="D20" s="116"/>
      <c r="E20" s="612"/>
      <c r="F20" s="612"/>
      <c r="G20" s="403"/>
      <c r="H20" s="26"/>
      <c r="I20" s="620"/>
    </row>
    <row r="21" spans="1:9" ht="16" thickBot="1" x14ac:dyDescent="0.25">
      <c r="A21" s="637" t="s">
        <v>1271</v>
      </c>
      <c r="B21" s="621" t="s">
        <v>13</v>
      </c>
      <c r="C21" s="622" t="s">
        <v>527</v>
      </c>
      <c r="D21" s="629"/>
      <c r="E21" s="623"/>
      <c r="F21" s="623"/>
      <c r="G21" s="624"/>
      <c r="H21" s="625"/>
      <c r="I21" s="626"/>
    </row>
    <row r="22" spans="1:9" ht="16" thickBot="1" x14ac:dyDescent="0.25">
      <c r="A22" s="637" t="s">
        <v>1270</v>
      </c>
      <c r="B22" s="613" t="s">
        <v>9</v>
      </c>
      <c r="C22" s="614" t="s">
        <v>522</v>
      </c>
      <c r="D22" s="615"/>
      <c r="E22" s="616"/>
      <c r="F22" s="616"/>
      <c r="G22" s="617"/>
      <c r="H22" s="618"/>
      <c r="I22" s="619"/>
    </row>
    <row r="23" spans="1:9" ht="16" thickBot="1" x14ac:dyDescent="0.25">
      <c r="A23" s="637" t="s">
        <v>1270</v>
      </c>
      <c r="B23" s="57" t="s">
        <v>523</v>
      </c>
      <c r="C23" s="164" t="s">
        <v>524</v>
      </c>
      <c r="D23" s="112"/>
      <c r="E23" s="611"/>
      <c r="F23" s="611"/>
      <c r="G23" s="403"/>
      <c r="H23" s="26"/>
      <c r="I23" s="620"/>
    </row>
    <row r="24" spans="1:9" ht="16" thickBot="1" x14ac:dyDescent="0.25">
      <c r="A24" s="637" t="s">
        <v>1270</v>
      </c>
      <c r="B24" s="114" t="s">
        <v>525</v>
      </c>
      <c r="C24" s="115" t="s">
        <v>526</v>
      </c>
      <c r="D24" s="116"/>
      <c r="E24" s="612"/>
      <c r="F24" s="612"/>
      <c r="G24" s="403"/>
      <c r="H24" s="26"/>
      <c r="I24" s="620"/>
    </row>
    <row r="25" spans="1:9" ht="16" thickBot="1" x14ac:dyDescent="0.25">
      <c r="A25" s="637" t="s">
        <v>1270</v>
      </c>
      <c r="B25" s="627" t="s">
        <v>13</v>
      </c>
      <c r="C25" s="628" t="s">
        <v>527</v>
      </c>
      <c r="D25" s="629"/>
      <c r="E25" s="630"/>
      <c r="F25" s="630"/>
      <c r="G25" s="631"/>
      <c r="H25" s="632"/>
      <c r="I25" s="633"/>
    </row>
    <row r="26" spans="1:9" ht="16" thickBot="1" x14ac:dyDescent="0.25">
      <c r="A26" s="637" t="s">
        <v>1269</v>
      </c>
      <c r="B26" s="613" t="s">
        <v>9</v>
      </c>
      <c r="C26" s="614" t="s">
        <v>522</v>
      </c>
      <c r="D26" s="615"/>
      <c r="E26" s="616"/>
      <c r="F26" s="616"/>
      <c r="G26" s="617"/>
      <c r="H26" s="618"/>
      <c r="I26" s="619"/>
    </row>
    <row r="27" spans="1:9" ht="16" thickBot="1" x14ac:dyDescent="0.25">
      <c r="A27" s="637" t="s">
        <v>1269</v>
      </c>
      <c r="B27" s="57" t="s">
        <v>523</v>
      </c>
      <c r="C27" s="164" t="s">
        <v>524</v>
      </c>
      <c r="D27" s="112"/>
      <c r="E27" s="611"/>
      <c r="F27" s="611"/>
      <c r="G27" s="403"/>
      <c r="H27" s="26"/>
      <c r="I27" s="620"/>
    </row>
    <row r="28" spans="1:9" ht="16" thickBot="1" x14ac:dyDescent="0.25">
      <c r="A28" s="637" t="s">
        <v>1269</v>
      </c>
      <c r="B28" s="114" t="s">
        <v>525</v>
      </c>
      <c r="C28" s="115" t="s">
        <v>526</v>
      </c>
      <c r="D28" s="116"/>
      <c r="E28" s="612"/>
      <c r="F28" s="612"/>
      <c r="G28" s="403"/>
      <c r="H28" s="26"/>
      <c r="I28" s="620"/>
    </row>
    <row r="29" spans="1:9" ht="16" thickBot="1" x14ac:dyDescent="0.25">
      <c r="A29" s="637" t="s">
        <v>1269</v>
      </c>
      <c r="B29" s="627" t="s">
        <v>13</v>
      </c>
      <c r="C29" s="628" t="s">
        <v>527</v>
      </c>
      <c r="D29" s="629"/>
      <c r="E29" s="630"/>
      <c r="F29" s="630"/>
      <c r="G29" s="631"/>
      <c r="H29" s="632"/>
      <c r="I29" s="633"/>
    </row>
    <row r="30" spans="1:9" ht="16" thickBot="1" x14ac:dyDescent="0.25">
      <c r="A30" s="637" t="s">
        <v>1268</v>
      </c>
      <c r="B30" s="613" t="s">
        <v>9</v>
      </c>
      <c r="C30" s="614" t="s">
        <v>522</v>
      </c>
      <c r="D30" s="615"/>
      <c r="E30" s="616"/>
      <c r="F30" s="616"/>
      <c r="G30" s="617"/>
      <c r="H30" s="618"/>
      <c r="I30" s="619"/>
    </row>
    <row r="31" spans="1:9" ht="16" thickBot="1" x14ac:dyDescent="0.25">
      <c r="A31" s="637" t="s">
        <v>1268</v>
      </c>
      <c r="B31" s="57" t="s">
        <v>523</v>
      </c>
      <c r="C31" s="164" t="s">
        <v>524</v>
      </c>
      <c r="D31" s="112"/>
      <c r="E31" s="611"/>
      <c r="F31" s="611"/>
      <c r="G31" s="403"/>
      <c r="H31" s="26"/>
      <c r="I31" s="620"/>
    </row>
    <row r="32" spans="1:9" ht="16" thickBot="1" x14ac:dyDescent="0.25">
      <c r="A32" s="637" t="s">
        <v>1268</v>
      </c>
      <c r="B32" s="114" t="s">
        <v>525</v>
      </c>
      <c r="C32" s="115" t="s">
        <v>526</v>
      </c>
      <c r="D32" s="116"/>
      <c r="E32" s="612"/>
      <c r="F32" s="612"/>
      <c r="G32" s="403"/>
      <c r="H32" s="26"/>
      <c r="I32" s="620"/>
    </row>
    <row r="33" spans="1:9" ht="16" thickBot="1" x14ac:dyDescent="0.25">
      <c r="A33" s="637" t="s">
        <v>1268</v>
      </c>
      <c r="B33" s="627" t="s">
        <v>13</v>
      </c>
      <c r="C33" s="628" t="s">
        <v>527</v>
      </c>
      <c r="D33" s="629"/>
      <c r="E33" s="630"/>
      <c r="F33" s="630"/>
      <c r="G33" s="631"/>
      <c r="H33" s="632"/>
      <c r="I33" s="633"/>
    </row>
    <row r="34" spans="1:9" ht="16" thickBot="1" x14ac:dyDescent="0.25">
      <c r="A34" s="637" t="s">
        <v>1267</v>
      </c>
      <c r="B34" s="613" t="s">
        <v>9</v>
      </c>
      <c r="C34" s="614" t="s">
        <v>522</v>
      </c>
      <c r="D34" s="615"/>
      <c r="E34" s="616"/>
      <c r="F34" s="616"/>
      <c r="G34" s="617"/>
      <c r="H34" s="618"/>
      <c r="I34" s="619"/>
    </row>
    <row r="35" spans="1:9" ht="16" thickBot="1" x14ac:dyDescent="0.25">
      <c r="A35" s="637" t="s">
        <v>1267</v>
      </c>
      <c r="B35" s="57" t="s">
        <v>523</v>
      </c>
      <c r="C35" s="164" t="s">
        <v>524</v>
      </c>
      <c r="D35" s="112"/>
      <c r="E35" s="611"/>
      <c r="F35" s="611"/>
      <c r="G35" s="403"/>
      <c r="H35" s="26"/>
      <c r="I35" s="620"/>
    </row>
    <row r="36" spans="1:9" ht="16" thickBot="1" x14ac:dyDescent="0.25">
      <c r="A36" s="637" t="s">
        <v>1267</v>
      </c>
      <c r="B36" s="114" t="s">
        <v>525</v>
      </c>
      <c r="C36" s="115" t="s">
        <v>526</v>
      </c>
      <c r="D36" s="116"/>
      <c r="E36" s="612"/>
      <c r="F36" s="612"/>
      <c r="G36" s="403"/>
      <c r="H36" s="26"/>
      <c r="I36" s="620"/>
    </row>
    <row r="37" spans="1:9" ht="16" thickBot="1" x14ac:dyDescent="0.25">
      <c r="A37" s="637" t="s">
        <v>1267</v>
      </c>
      <c r="B37" s="621" t="s">
        <v>13</v>
      </c>
      <c r="C37" s="622" t="s">
        <v>527</v>
      </c>
      <c r="D37" s="629"/>
      <c r="E37" s="623"/>
      <c r="F37" s="623"/>
      <c r="G37" s="624"/>
      <c r="H37" s="625"/>
      <c r="I37" s="626"/>
    </row>
    <row r="38" spans="1:9" ht="16" thickBot="1" x14ac:dyDescent="0.25">
      <c r="A38" s="637" t="s">
        <v>521</v>
      </c>
      <c r="B38" s="613" t="s">
        <v>9</v>
      </c>
      <c r="C38" s="614" t="s">
        <v>522</v>
      </c>
      <c r="D38" s="615">
        <f>SUM('Scope 1 W'!K22:K24)+'Scope 1 W'!K25</f>
        <v>21851880.073791221</v>
      </c>
      <c r="E38" s="616">
        <f>D38/SUM($D$38:$D$41)</f>
        <v>0.90299919544223084</v>
      </c>
      <c r="F38" s="616">
        <f>D38/SUM($D$38:$D$40)</f>
        <v>0.90335954292938858</v>
      </c>
      <c r="G38" s="617"/>
      <c r="H38" s="618"/>
      <c r="I38" s="619"/>
    </row>
    <row r="39" spans="1:9" ht="16" thickBot="1" x14ac:dyDescent="0.25">
      <c r="A39" s="637" t="s">
        <v>521</v>
      </c>
      <c r="B39" s="57" t="s">
        <v>523</v>
      </c>
      <c r="C39" s="164" t="s">
        <v>524</v>
      </c>
      <c r="D39" s="112">
        <f>'Scope 2 W'!H62</f>
        <v>1267091.226834625</v>
      </c>
      <c r="E39" s="611">
        <f>D39/SUM($D$38:$D$41)</f>
        <v>5.2360819962392564E-2</v>
      </c>
      <c r="F39" s="611">
        <f>D39/SUM($D$38:$D$40)</f>
        <v>5.238171487569282E-2</v>
      </c>
      <c r="G39" s="403"/>
      <c r="H39" s="26"/>
      <c r="I39" s="620"/>
    </row>
    <row r="40" spans="1:9" ht="16" thickBot="1" x14ac:dyDescent="0.25">
      <c r="A40" s="637" t="s">
        <v>521</v>
      </c>
      <c r="B40" s="114" t="s">
        <v>525</v>
      </c>
      <c r="C40" s="115" t="s">
        <v>526</v>
      </c>
      <c r="D40" s="116">
        <f>'Scope 2 W'!I62</f>
        <v>1070600</v>
      </c>
      <c r="E40" s="612">
        <f>D40/SUM($D$38:$D$41)</f>
        <v>4.4241087511731191E-2</v>
      </c>
      <c r="F40" s="612">
        <f>D40/SUM($D$38:$D$40)</f>
        <v>4.425874219491855E-2</v>
      </c>
      <c r="G40" s="403"/>
      <c r="H40" s="26"/>
      <c r="I40" s="620"/>
    </row>
    <row r="41" spans="1:9" ht="16" thickBot="1" x14ac:dyDescent="0.25">
      <c r="A41" s="637" t="s">
        <v>521</v>
      </c>
      <c r="B41" s="627" t="s">
        <v>13</v>
      </c>
      <c r="C41" s="628" t="s">
        <v>527</v>
      </c>
      <c r="D41" s="629">
        <v>9653</v>
      </c>
      <c r="E41" s="630">
        <f>D41/SUM($D$38:$D$41)</f>
        <v>3.9889708364537752E-4</v>
      </c>
      <c r="F41" s="630"/>
      <c r="G41" s="631"/>
      <c r="H41" s="632"/>
      <c r="I41" s="633"/>
    </row>
    <row r="42" spans="1:9" ht="16" thickBot="1" x14ac:dyDescent="0.25">
      <c r="A42" s="637" t="s">
        <v>528</v>
      </c>
      <c r="B42" s="613" t="s">
        <v>9</v>
      </c>
      <c r="C42" s="614" t="s">
        <v>522</v>
      </c>
      <c r="D42" s="615">
        <f>2415000+4000000</f>
        <v>6415000</v>
      </c>
      <c r="E42" s="616">
        <f>D42/SUM($D$42:$D$45)</f>
        <v>0.93214181923859341</v>
      </c>
      <c r="F42" s="616">
        <f>D42/SUM($D$42:$D$44)</f>
        <v>0.93214181923859341</v>
      </c>
      <c r="G42" s="617"/>
      <c r="H42" s="618"/>
      <c r="I42" s="619"/>
    </row>
    <row r="43" spans="1:9" ht="16" thickBot="1" x14ac:dyDescent="0.25">
      <c r="A43" s="637" t="s">
        <v>528</v>
      </c>
      <c r="B43" s="57" t="s">
        <v>523</v>
      </c>
      <c r="C43" s="164" t="s">
        <v>524</v>
      </c>
      <c r="D43" s="112">
        <v>0</v>
      </c>
      <c r="E43" s="611">
        <f>D43/SUM($D$42:$D$45)</f>
        <v>0</v>
      </c>
      <c r="F43" s="611">
        <f>D43/SUM($D$42:$D$44)</f>
        <v>0</v>
      </c>
      <c r="G43" s="403"/>
      <c r="H43" s="26"/>
      <c r="I43" s="620"/>
    </row>
    <row r="44" spans="1:9" ht="16" thickBot="1" x14ac:dyDescent="0.25">
      <c r="A44" s="637" t="s">
        <v>528</v>
      </c>
      <c r="B44" s="114" t="s">
        <v>525</v>
      </c>
      <c r="C44" s="115" t="s">
        <v>526</v>
      </c>
      <c r="D44" s="116">
        <v>467000</v>
      </c>
      <c r="E44" s="612">
        <f>D44/SUM($D$42:$D$45)</f>
        <v>6.7858180761406567E-2</v>
      </c>
      <c r="F44" s="612">
        <f>D44/SUM($D$42:$D$44)</f>
        <v>6.7858180761406567E-2</v>
      </c>
      <c r="G44" s="403"/>
      <c r="H44" s="26"/>
      <c r="I44" s="620"/>
    </row>
    <row r="45" spans="1:9" ht="16" thickBot="1" x14ac:dyDescent="0.25">
      <c r="A45" s="637" t="s">
        <v>528</v>
      </c>
      <c r="B45" s="627" t="s">
        <v>13</v>
      </c>
      <c r="C45" s="628" t="s">
        <v>527</v>
      </c>
      <c r="D45" s="629">
        <v>0</v>
      </c>
      <c r="E45" s="630">
        <f>D45/SUM($D$42:$D$45)</f>
        <v>0</v>
      </c>
      <c r="F45" s="630"/>
      <c r="G45" s="631"/>
      <c r="H45" s="632"/>
      <c r="I45" s="633"/>
    </row>
    <row r="46" spans="1:9" ht="16" thickBot="1" x14ac:dyDescent="0.25">
      <c r="A46" s="637" t="s">
        <v>529</v>
      </c>
      <c r="B46" s="613" t="s">
        <v>9</v>
      </c>
      <c r="C46" s="614" t="s">
        <v>522</v>
      </c>
      <c r="D46" s="615">
        <f>SUM('Scope 1 W'!K26:K28)+'Scope 1 W'!K29</f>
        <v>16445257.604366248</v>
      </c>
      <c r="E46" s="616">
        <f>D46/SUM($D$46:$D$49)</f>
        <v>0.87641011978132177</v>
      </c>
      <c r="F46" s="616">
        <f>D46/SUM($D$46:$D$48)</f>
        <v>0.87685180881635905</v>
      </c>
      <c r="G46" s="617"/>
      <c r="H46" s="618"/>
      <c r="I46" s="619"/>
    </row>
    <row r="47" spans="1:9" ht="16" thickBot="1" x14ac:dyDescent="0.25">
      <c r="A47" s="637" t="s">
        <v>529</v>
      </c>
      <c r="B47" s="57" t="s">
        <v>523</v>
      </c>
      <c r="C47" s="164" t="s">
        <v>524</v>
      </c>
      <c r="D47" s="112">
        <f>'Scope 2 W'!H63</f>
        <v>1506680.5523512498</v>
      </c>
      <c r="E47" s="611">
        <f>D47/SUM($D$46:$D$49)</f>
        <v>8.0294885925518103E-2</v>
      </c>
      <c r="F47" s="611">
        <f>D47/SUM($D$46:$D$48)</f>
        <v>8.0335352563091517E-2</v>
      </c>
      <c r="G47" s="403"/>
      <c r="H47" s="26"/>
      <c r="I47" s="620"/>
    </row>
    <row r="48" spans="1:9" ht="16" thickBot="1" x14ac:dyDescent="0.25">
      <c r="A48" s="637" t="s">
        <v>529</v>
      </c>
      <c r="B48" s="114" t="s">
        <v>525</v>
      </c>
      <c r="C48" s="115" t="s">
        <v>526</v>
      </c>
      <c r="D48" s="116">
        <f>'Scope 2 W'!I63</f>
        <v>802950</v>
      </c>
      <c r="E48" s="612">
        <f>D48/SUM($D$46:$D$49)</f>
        <v>4.2791272876842923E-2</v>
      </c>
      <c r="F48" s="612">
        <f>D48/SUM($D$46:$D$48)</f>
        <v>4.281283862054943E-2</v>
      </c>
      <c r="G48" s="403"/>
      <c r="H48" s="26"/>
      <c r="I48" s="620"/>
    </row>
    <row r="49" spans="1:9" ht="16" thickBot="1" x14ac:dyDescent="0.25">
      <c r="A49" s="637" t="s">
        <v>529</v>
      </c>
      <c r="B49" s="627" t="s">
        <v>13</v>
      </c>
      <c r="C49" s="628" t="s">
        <v>527</v>
      </c>
      <c r="D49" s="629">
        <v>9452</v>
      </c>
      <c r="E49" s="630">
        <f>D49/SUM($D$46:$D$49)</f>
        <v>5.0372141631722933E-4</v>
      </c>
      <c r="F49" s="630"/>
      <c r="G49" s="631"/>
      <c r="H49" s="632"/>
      <c r="I49" s="633"/>
    </row>
    <row r="50" spans="1:9" ht="16" thickBot="1" x14ac:dyDescent="0.25">
      <c r="A50" s="637" t="s">
        <v>530</v>
      </c>
      <c r="B50" s="613" t="s">
        <v>9</v>
      </c>
      <c r="C50" s="614" t="s">
        <v>522</v>
      </c>
      <c r="D50" s="615">
        <f>2473000+3989000</f>
        <v>6462000</v>
      </c>
      <c r="E50" s="616">
        <f>D50/SUM($D$50:$D$53)</f>
        <v>0.93098977092637947</v>
      </c>
      <c r="F50" s="616">
        <f>D50/SUM($D$50:$D$52)</f>
        <v>0.93098977092637947</v>
      </c>
      <c r="G50" s="617"/>
      <c r="H50" s="618"/>
      <c r="I50" s="619"/>
    </row>
    <row r="51" spans="1:9" ht="16" thickBot="1" x14ac:dyDescent="0.25">
      <c r="A51" s="637" t="s">
        <v>530</v>
      </c>
      <c r="B51" s="57" t="s">
        <v>523</v>
      </c>
      <c r="C51" s="164" t="s">
        <v>524</v>
      </c>
      <c r="D51" s="112">
        <v>0</v>
      </c>
      <c r="E51" s="611">
        <f>D51/SUM($D$50:$D$53)</f>
        <v>0</v>
      </c>
      <c r="F51" s="611">
        <f>D51/SUM($D$50:$D$52)</f>
        <v>0</v>
      </c>
      <c r="G51" s="403"/>
      <c r="H51" s="26"/>
      <c r="I51" s="620"/>
    </row>
    <row r="52" spans="1:9" ht="16" thickBot="1" x14ac:dyDescent="0.25">
      <c r="A52" s="637" t="s">
        <v>530</v>
      </c>
      <c r="B52" s="114" t="s">
        <v>525</v>
      </c>
      <c r="C52" s="115" t="s">
        <v>526</v>
      </c>
      <c r="D52" s="116">
        <v>479000</v>
      </c>
      <c r="E52" s="612">
        <f>D52/SUM($D$50:$D$53)</f>
        <v>6.9010229073620519E-2</v>
      </c>
      <c r="F52" s="612">
        <f>D52/SUM($D$50:$D$52)</f>
        <v>6.9010229073620519E-2</v>
      </c>
      <c r="G52" s="403"/>
      <c r="H52" s="26"/>
      <c r="I52" s="620"/>
    </row>
    <row r="53" spans="1:9" ht="16" thickBot="1" x14ac:dyDescent="0.25">
      <c r="A53" s="637" t="s">
        <v>530</v>
      </c>
      <c r="B53" s="621" t="s">
        <v>13</v>
      </c>
      <c r="C53" s="622" t="s">
        <v>527</v>
      </c>
      <c r="D53" s="629">
        <v>0</v>
      </c>
      <c r="E53" s="623">
        <f>D53/SUM($D$50:$D$53)</f>
        <v>0</v>
      </c>
      <c r="F53" s="623"/>
      <c r="G53" s="624"/>
      <c r="H53" s="625"/>
      <c r="I53" s="626"/>
    </row>
    <row r="54" spans="1:9" ht="24" customHeight="1" x14ac:dyDescent="0.2">
      <c r="B54" s="680" t="s">
        <v>531</v>
      </c>
      <c r="C54" s="681"/>
      <c r="D54" s="634">
        <f>SUM(D38:D41)</f>
        <v>24199224.300625846</v>
      </c>
      <c r="E54" s="635"/>
      <c r="F54" s="635"/>
      <c r="G54" s="634"/>
      <c r="H54" s="635"/>
      <c r="I54" s="635"/>
    </row>
    <row r="55" spans="1:9" ht="21.75" customHeight="1" x14ac:dyDescent="0.2">
      <c r="B55" s="677" t="s">
        <v>532</v>
      </c>
      <c r="C55" s="678"/>
      <c r="D55" s="121">
        <f>SUM(D46:D49)</f>
        <v>18764340.156717498</v>
      </c>
      <c r="E55" s="122"/>
      <c r="F55" s="122"/>
      <c r="G55" s="121"/>
      <c r="H55" s="122"/>
      <c r="I55" s="122"/>
    </row>
    <row r="56" spans="1:9" ht="21.75" customHeight="1" x14ac:dyDescent="0.2">
      <c r="B56" s="680" t="s">
        <v>533</v>
      </c>
      <c r="C56" s="681"/>
      <c r="D56" s="634">
        <f>SUM(D42:D45)</f>
        <v>6882000</v>
      </c>
      <c r="E56" s="635"/>
      <c r="F56" s="635"/>
      <c r="G56" s="634"/>
      <c r="H56" s="635"/>
      <c r="I56" s="635"/>
    </row>
    <row r="57" spans="1:9" ht="21.75" customHeight="1" x14ac:dyDescent="0.2">
      <c r="B57" s="677" t="s">
        <v>534</v>
      </c>
      <c r="C57" s="678"/>
      <c r="D57" s="121">
        <f>SUM(D50:D53)</f>
        <v>6941000</v>
      </c>
      <c r="E57" s="122"/>
      <c r="F57" s="122"/>
      <c r="G57" s="121"/>
      <c r="H57" s="122"/>
      <c r="I57" s="122"/>
    </row>
    <row r="59" spans="1:9" ht="21.75" customHeight="1" x14ac:dyDescent="0.2">
      <c r="B59" s="653">
        <v>1</v>
      </c>
      <c r="C59" s="644"/>
      <c r="D59" s="644"/>
      <c r="E59" s="644"/>
      <c r="F59" s="644"/>
      <c r="G59" s="644"/>
      <c r="H59" s="644"/>
      <c r="I59" s="644"/>
    </row>
    <row r="60" spans="1:9" ht="27.75" customHeight="1" x14ac:dyDescent="0.2">
      <c r="B60" s="165" t="s">
        <v>535</v>
      </c>
      <c r="C60" s="165" t="s">
        <v>536</v>
      </c>
      <c r="D60" s="165" t="s">
        <v>537</v>
      </c>
      <c r="E60" s="165" t="s">
        <v>538</v>
      </c>
      <c r="F60" s="165" t="s">
        <v>539</v>
      </c>
      <c r="G60" s="165" t="s">
        <v>540</v>
      </c>
      <c r="H60" s="165" t="s">
        <v>541</v>
      </c>
      <c r="I60" s="165" t="s">
        <v>133</v>
      </c>
    </row>
    <row r="61" spans="1:9" ht="21.75" customHeight="1" x14ac:dyDescent="0.2">
      <c r="B61" s="13" t="s">
        <v>542</v>
      </c>
      <c r="C61" s="123" t="s">
        <v>543</v>
      </c>
      <c r="D61" s="124">
        <f>IFERROR(D54/Assumptions!B15,0)</f>
        <v>0</v>
      </c>
      <c r="E61" s="26">
        <f>G54/211915</f>
        <v>0</v>
      </c>
      <c r="F61" s="125">
        <f t="shared" ref="F61:F67" si="0">IFERROR((D61-E61)/ABS(E61),0)</f>
        <v>0</v>
      </c>
      <c r="G61" s="26" t="s">
        <v>544</v>
      </c>
      <c r="H61" s="125">
        <f t="shared" ref="H61:H67" si="1">IFERROR((D61-G61)/ABS(G61),0)</f>
        <v>0</v>
      </c>
      <c r="I61" s="99" t="s">
        <v>545</v>
      </c>
    </row>
    <row r="62" spans="1:9" ht="21.75" customHeight="1" x14ac:dyDescent="0.2">
      <c r="B62" s="16" t="s">
        <v>546</v>
      </c>
      <c r="C62" s="126" t="s">
        <v>547</v>
      </c>
      <c r="D62" s="124">
        <f>IFERROR(D54/Assumptions!B16,0)</f>
        <v>0</v>
      </c>
      <c r="E62" s="26">
        <f>G54/221000</f>
        <v>0</v>
      </c>
      <c r="F62" s="127">
        <f t="shared" si="0"/>
        <v>0</v>
      </c>
      <c r="G62" s="26" t="s">
        <v>544</v>
      </c>
      <c r="H62" s="127">
        <f t="shared" si="1"/>
        <v>0</v>
      </c>
      <c r="I62" s="99" t="s">
        <v>548</v>
      </c>
    </row>
    <row r="63" spans="1:9" ht="21.75" customHeight="1" x14ac:dyDescent="0.2">
      <c r="B63" s="13" t="s">
        <v>549</v>
      </c>
      <c r="C63" s="123" t="s">
        <v>550</v>
      </c>
      <c r="D63" s="124">
        <f>IFERROR(D54/Assumptions!B17,0)</f>
        <v>0</v>
      </c>
      <c r="E63" s="26">
        <v>0</v>
      </c>
      <c r="F63" s="125">
        <f t="shared" si="0"/>
        <v>0</v>
      </c>
      <c r="G63" s="26" t="s">
        <v>544</v>
      </c>
      <c r="H63" s="125">
        <f t="shared" si="1"/>
        <v>0</v>
      </c>
      <c r="I63" s="99" t="s">
        <v>551</v>
      </c>
    </row>
    <row r="64" spans="1:9" ht="21.75" customHeight="1" x14ac:dyDescent="0.2">
      <c r="B64" s="16" t="s">
        <v>552</v>
      </c>
      <c r="C64" s="126" t="s">
        <v>553</v>
      </c>
      <c r="D64" s="124">
        <f>IFERROR(#REF!/Assumptions!B15,0)</f>
        <v>0</v>
      </c>
      <c r="E64" s="26">
        <f>'Trend Analysis'!C7/211915</f>
        <v>0</v>
      </c>
      <c r="F64" s="127">
        <f t="shared" si="0"/>
        <v>0</v>
      </c>
      <c r="G64" s="26" t="s">
        <v>544</v>
      </c>
      <c r="H64" s="127">
        <f t="shared" si="1"/>
        <v>0</v>
      </c>
      <c r="I64" s="99" t="s">
        <v>545</v>
      </c>
    </row>
    <row r="65" spans="2:9" ht="21.75" customHeight="1" x14ac:dyDescent="0.2">
      <c r="B65" s="13" t="s">
        <v>554</v>
      </c>
      <c r="C65" s="123" t="s">
        <v>555</v>
      </c>
      <c r="D65" s="124">
        <f>IFERROR('Scope 2 W'!I59/Assumptions!B15,0)</f>
        <v>0</v>
      </c>
      <c r="E65" s="26">
        <f>'Reduction Trajectory'!F19/211915</f>
        <v>0</v>
      </c>
      <c r="F65" s="125">
        <f t="shared" si="0"/>
        <v>0</v>
      </c>
      <c r="G65" s="26" t="s">
        <v>544</v>
      </c>
      <c r="H65" s="125">
        <f t="shared" si="1"/>
        <v>0</v>
      </c>
      <c r="I65" s="99" t="s">
        <v>545</v>
      </c>
    </row>
    <row r="66" spans="2:9" ht="21.75" customHeight="1" x14ac:dyDescent="0.2">
      <c r="B66" s="16" t="s">
        <v>556</v>
      </c>
      <c r="C66" s="126" t="s">
        <v>557</v>
      </c>
      <c r="D66" s="124">
        <f>IFERROR('Scope 3 W'!J70/Assumptions!B15,0)</f>
        <v>0</v>
      </c>
      <c r="E66" s="26">
        <f>'Reduction Trajectory'!F21/211915</f>
        <v>0</v>
      </c>
      <c r="F66" s="127">
        <f t="shared" si="0"/>
        <v>0</v>
      </c>
      <c r="G66" s="26" t="s">
        <v>544</v>
      </c>
      <c r="H66" s="127">
        <f t="shared" si="1"/>
        <v>0</v>
      </c>
      <c r="I66" s="99" t="s">
        <v>545</v>
      </c>
    </row>
    <row r="67" spans="2:9" ht="21.75" customHeight="1" x14ac:dyDescent="0.2">
      <c r="B67" s="13" t="s">
        <v>558</v>
      </c>
      <c r="C67" s="123" t="s">
        <v>559</v>
      </c>
      <c r="D67" s="124" t="e">
        <f>'Scope 2 W'!F46/'Scope 2 W'!C46</f>
        <v>#DIV/0!</v>
      </c>
      <c r="E67" s="26">
        <f>23567502/24007868</f>
        <v>0.98165742997254068</v>
      </c>
      <c r="F67" s="125">
        <f t="shared" si="0"/>
        <v>0</v>
      </c>
      <c r="G67" s="26" t="s">
        <v>544</v>
      </c>
      <c r="H67" s="125">
        <f t="shared" si="1"/>
        <v>0</v>
      </c>
      <c r="I67" s="99" t="s">
        <v>560</v>
      </c>
    </row>
    <row r="69" spans="2:9" ht="21.75" customHeight="1" x14ac:dyDescent="0.2">
      <c r="B69" s="679" t="s">
        <v>561</v>
      </c>
      <c r="C69" s="644"/>
      <c r="D69" s="644"/>
      <c r="E69" s="644"/>
      <c r="F69" s="644"/>
      <c r="G69" s="644"/>
      <c r="H69" s="644"/>
      <c r="I69" s="644"/>
    </row>
    <row r="70" spans="2:9" ht="21.75" customHeight="1" x14ac:dyDescent="0.2">
      <c r="B70" s="21" t="s">
        <v>516</v>
      </c>
      <c r="C70" s="21" t="s">
        <v>421</v>
      </c>
      <c r="D70" s="21" t="s">
        <v>562</v>
      </c>
      <c r="E70" s="21" t="s">
        <v>563</v>
      </c>
      <c r="F70" s="21" t="s">
        <v>564</v>
      </c>
      <c r="G70" s="21"/>
      <c r="H70" s="21"/>
      <c r="I70" s="21"/>
    </row>
    <row r="71" spans="2:9" ht="21.75" customHeight="1" x14ac:dyDescent="0.2">
      <c r="B71" s="163" t="s">
        <v>9</v>
      </c>
      <c r="C71" s="128"/>
      <c r="D71" s="111">
        <f>IFERROR(C71/C74,0)</f>
        <v>0</v>
      </c>
      <c r="E71" s="676" t="s">
        <v>565</v>
      </c>
      <c r="F71" s="642"/>
      <c r="G71" s="642"/>
      <c r="H71" s="642"/>
      <c r="I71" s="659"/>
    </row>
    <row r="72" spans="2:9" ht="21.75" customHeight="1" x14ac:dyDescent="0.2">
      <c r="B72" s="57" t="s">
        <v>523</v>
      </c>
      <c r="C72" s="129"/>
      <c r="D72" s="113">
        <f>IFERROR(C72/C74,0)</f>
        <v>0</v>
      </c>
      <c r="E72" s="683" t="s">
        <v>566</v>
      </c>
      <c r="F72" s="642"/>
      <c r="G72" s="642"/>
      <c r="H72" s="642"/>
      <c r="I72" s="659"/>
    </row>
    <row r="73" spans="2:9" ht="21.75" customHeight="1" x14ac:dyDescent="0.2">
      <c r="B73" s="86" t="s">
        <v>13</v>
      </c>
      <c r="C73" s="130"/>
      <c r="D73" s="118">
        <f>IFERROR(C73/C74,0)</f>
        <v>0</v>
      </c>
      <c r="E73" s="682" t="s">
        <v>567</v>
      </c>
      <c r="F73" s="642"/>
      <c r="G73" s="642"/>
      <c r="H73" s="642"/>
      <c r="I73" s="659"/>
    </row>
    <row r="74" spans="2:9" ht="24" customHeight="1" x14ac:dyDescent="0.2">
      <c r="B74" s="131" t="s">
        <v>568</v>
      </c>
      <c r="C74" s="119">
        <f>C71+C72+C73</f>
        <v>0</v>
      </c>
      <c r="D74" s="132" t="s">
        <v>569</v>
      </c>
      <c r="E74" s="120"/>
      <c r="F74" s="120"/>
      <c r="G74" s="120"/>
      <c r="H74" s="120"/>
      <c r="I74" s="120"/>
    </row>
    <row r="78" spans="2:9" x14ac:dyDescent="0.2">
      <c r="D78" s="414"/>
    </row>
    <row r="79" spans="2:9" x14ac:dyDescent="0.2">
      <c r="D79" s="414"/>
    </row>
    <row r="80" spans="2:9" x14ac:dyDescent="0.2">
      <c r="D80" s="414"/>
    </row>
  </sheetData>
  <mergeCells count="12">
    <mergeCell ref="E73:I73"/>
    <mergeCell ref="E72:I72"/>
    <mergeCell ref="B59:I59"/>
    <mergeCell ref="A4:I4"/>
    <mergeCell ref="B1:I1"/>
    <mergeCell ref="E71:I71"/>
    <mergeCell ref="B55:C55"/>
    <mergeCell ref="B69:I69"/>
    <mergeCell ref="B2:I2"/>
    <mergeCell ref="B54:C54"/>
    <mergeCell ref="B56:C56"/>
    <mergeCell ref="B57:C57"/>
  </mergeCells>
  <phoneticPr fontId="105" type="noConversion"/>
  <conditionalFormatting sqref="F54:F57">
    <cfRule type="cellIs" dxfId="7" priority="2" operator="greaterThan">
      <formula>0</formula>
    </cfRule>
    <cfRule type="cellIs" dxfId="6" priority="3" operator="lessThan">
      <formula>0</formula>
    </cfRule>
  </conditionalFormatting>
  <conditionalFormatting sqref="F61:F67">
    <cfRule type="cellIs" dxfId="5" priority="4" operator="greaterThan">
      <formula>0</formula>
    </cfRule>
    <cfRule type="cellIs" dxfId="4" priority="5" operator="lessThan">
      <formula>0</formula>
    </cfRule>
  </conditionalFormatting>
  <conditionalFormatting sqref="H61:H67">
    <cfRule type="cellIs" dxfId="3" priority="6" operator="greaterThan">
      <formula>0</formula>
    </cfRule>
    <cfRule type="cellIs" dxfId="2" priority="7" operator="lessThan">
      <formula>0</formula>
    </cfRule>
  </conditionalFormatting>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A3D2B"/>
  </sheetPr>
  <dimension ref="A1:K22"/>
  <sheetViews>
    <sheetView showGridLines="0" zoomScale="87" zoomScaleNormal="100" workbookViewId="0">
      <pane xSplit="1" ySplit="6" topLeftCell="B7" activePane="bottomRight" state="frozen"/>
      <selection pane="topRight" activeCell="B1" sqref="B1"/>
      <selection pane="bottomLeft" activeCell="A7" sqref="A7"/>
      <selection pane="bottomRight" activeCell="D11" sqref="D11"/>
    </sheetView>
  </sheetViews>
  <sheetFormatPr baseColWidth="10" defaultColWidth="8.6640625" defaultRowHeight="15" x14ac:dyDescent="0.2"/>
  <cols>
    <col min="1" max="1" width="37.83203125" bestFit="1" customWidth="1"/>
    <col min="2" max="2" width="13.83203125" bestFit="1" customWidth="1"/>
    <col min="3" max="6" width="18" customWidth="1"/>
    <col min="7" max="7" width="22.83203125" customWidth="1"/>
    <col min="8" max="8" width="29" customWidth="1"/>
    <col min="9" max="10" width="18" customWidth="1"/>
    <col min="11" max="11" width="26" customWidth="1"/>
  </cols>
  <sheetData>
    <row r="1" spans="1:11" ht="48" customHeight="1" x14ac:dyDescent="0.2">
      <c r="A1" s="660" t="s">
        <v>570</v>
      </c>
      <c r="B1" s="644"/>
      <c r="C1" s="644"/>
      <c r="D1" s="644"/>
      <c r="E1" s="644"/>
      <c r="F1" s="644"/>
      <c r="G1" s="644"/>
      <c r="H1" s="644"/>
      <c r="I1" s="644"/>
      <c r="J1" s="644"/>
      <c r="K1" s="644"/>
    </row>
    <row r="2" spans="1:11" ht="19.5" customHeight="1" x14ac:dyDescent="0.2">
      <c r="A2" s="657" t="s">
        <v>571</v>
      </c>
      <c r="B2" s="644"/>
      <c r="C2" s="644"/>
      <c r="D2" s="644"/>
      <c r="E2" s="644"/>
      <c r="F2" s="644"/>
      <c r="G2" s="644"/>
      <c r="H2" s="644"/>
      <c r="I2" s="644"/>
      <c r="J2" s="644"/>
      <c r="K2" s="644"/>
    </row>
    <row r="4" spans="1:11" ht="21.75" customHeight="1" x14ac:dyDescent="0.2">
      <c r="A4" s="679" t="s">
        <v>572</v>
      </c>
      <c r="B4" s="644"/>
      <c r="C4" s="644"/>
      <c r="D4" s="644"/>
      <c r="E4" s="644"/>
      <c r="F4" s="644"/>
      <c r="G4" s="644"/>
      <c r="H4" s="644"/>
      <c r="I4" s="644"/>
    </row>
    <row r="5" spans="1:11" ht="27.75" customHeight="1" x14ac:dyDescent="0.2">
      <c r="A5" s="21" t="s">
        <v>573</v>
      </c>
      <c r="B5" s="21" t="s">
        <v>574</v>
      </c>
      <c r="C5" s="21" t="s">
        <v>575</v>
      </c>
      <c r="D5" s="21" t="s">
        <v>576</v>
      </c>
      <c r="E5" s="21" t="s">
        <v>577</v>
      </c>
      <c r="F5" s="21" t="s">
        <v>578</v>
      </c>
      <c r="G5" s="21" t="s">
        <v>579</v>
      </c>
      <c r="H5" s="21" t="s">
        <v>580</v>
      </c>
    </row>
    <row r="6" spans="1:11" ht="19.5" customHeight="1" x14ac:dyDescent="0.2">
      <c r="A6" s="133" t="s">
        <v>581</v>
      </c>
      <c r="B6" s="437">
        <v>2022</v>
      </c>
      <c r="C6" s="437">
        <v>2023</v>
      </c>
      <c r="D6" s="438">
        <v>2024</v>
      </c>
      <c r="E6" s="41"/>
      <c r="F6" s="41"/>
      <c r="G6" s="41"/>
      <c r="H6" s="41"/>
    </row>
    <row r="7" spans="1:11" ht="21.75" customHeight="1" x14ac:dyDescent="0.2">
      <c r="A7" s="134" t="s">
        <v>582</v>
      </c>
      <c r="B7" s="110">
        <f>'Reduction Trajectory'!E17</f>
        <v>0</v>
      </c>
      <c r="C7" s="110">
        <f>'Reduction Trajectory'!F17</f>
        <v>0</v>
      </c>
      <c r="D7" s="110">
        <f>'Scope 1 W'!K53</f>
        <v>38297137.678157471</v>
      </c>
      <c r="E7" s="111">
        <f t="shared" ref="E7:F9" si="0">IFERROR((C7-B7)/ABS(B7),0)</f>
        <v>0</v>
      </c>
      <c r="F7" s="111">
        <f t="shared" si="0"/>
        <v>0</v>
      </c>
      <c r="G7" s="111">
        <f t="shared" ref="G7:G14" si="1">IFERROR((D7-B7)/ABS(B7),0)</f>
        <v>0</v>
      </c>
      <c r="H7" s="14" t="s">
        <v>583</v>
      </c>
    </row>
    <row r="8" spans="1:11" ht="21.75" customHeight="1" x14ac:dyDescent="0.2">
      <c r="A8" s="439" t="s">
        <v>584</v>
      </c>
      <c r="B8" s="112">
        <f>'Reduction Trajectory'!E18</f>
        <v>0</v>
      </c>
      <c r="C8" s="112">
        <f>'Reduction Trajectory'!F18</f>
        <v>0</v>
      </c>
      <c r="D8" s="112">
        <f>'Scope 2 W'!H58</f>
        <v>0</v>
      </c>
      <c r="E8" s="113">
        <f t="shared" si="0"/>
        <v>0</v>
      </c>
      <c r="F8" s="113">
        <f t="shared" si="0"/>
        <v>0</v>
      </c>
      <c r="G8" s="113">
        <f t="shared" si="1"/>
        <v>0</v>
      </c>
      <c r="H8" s="14" t="s">
        <v>583</v>
      </c>
    </row>
    <row r="9" spans="1:11" ht="21.75" customHeight="1" x14ac:dyDescent="0.2">
      <c r="A9" s="440" t="s">
        <v>585</v>
      </c>
      <c r="B9" s="116">
        <f>'Reduction Trajectory'!E19</f>
        <v>0</v>
      </c>
      <c r="C9" s="116">
        <f>'Reduction Trajectory'!F19</f>
        <v>0</v>
      </c>
      <c r="D9" s="116">
        <f>'Scope 2 W'!I59</f>
        <v>0</v>
      </c>
      <c r="E9" s="135">
        <f t="shared" si="0"/>
        <v>0</v>
      </c>
      <c r="F9" s="135">
        <f t="shared" si="0"/>
        <v>0</v>
      </c>
      <c r="G9" s="135">
        <f t="shared" si="1"/>
        <v>0</v>
      </c>
      <c r="H9" s="14" t="s">
        <v>583</v>
      </c>
    </row>
    <row r="10" spans="1:11" ht="21.75" customHeight="1" x14ac:dyDescent="0.2">
      <c r="A10" s="136" t="s">
        <v>586</v>
      </c>
      <c r="B10" s="117">
        <f>'Reduction Trajectory'!E21</f>
        <v>0</v>
      </c>
      <c r="C10" s="117">
        <f>'Reduction Trajectory'!F21</f>
        <v>0</v>
      </c>
      <c r="D10" s="117">
        <f>'Scope 3 W'!J70</f>
        <v>0</v>
      </c>
      <c r="E10" s="118">
        <f t="shared" ref="E10:F14" si="2">IFERROR((C10-B10)/ABS(B10),0)</f>
        <v>0</v>
      </c>
      <c r="F10" s="118">
        <f t="shared" si="2"/>
        <v>0</v>
      </c>
      <c r="G10" s="118">
        <f t="shared" si="1"/>
        <v>0</v>
      </c>
      <c r="H10" s="14" t="s">
        <v>583</v>
      </c>
    </row>
    <row r="11" spans="1:11" ht="21.75" customHeight="1" x14ac:dyDescent="0.2">
      <c r="A11" s="137" t="s">
        <v>587</v>
      </c>
      <c r="B11" s="138">
        <f>'Reduction Trajectory'!E22</f>
        <v>16343000</v>
      </c>
      <c r="C11" s="138">
        <f>'Reduction Trajectory'!F22</f>
        <v>16935000</v>
      </c>
      <c r="D11" s="138">
        <f>'Scope 1 W'!K53+'Scope 2 W'!I59+'Scope 3 W'!J70</f>
        <v>38297137.678157471</v>
      </c>
      <c r="E11" s="127">
        <f t="shared" si="2"/>
        <v>3.6223459585143489E-2</v>
      </c>
      <c r="F11" s="127">
        <f t="shared" si="2"/>
        <v>1.2614194082171521</v>
      </c>
      <c r="G11" s="127">
        <f t="shared" si="1"/>
        <v>1.3433358427557651</v>
      </c>
      <c r="H11" s="14" t="s">
        <v>583</v>
      </c>
    </row>
    <row r="12" spans="1:11" ht="21.75" customHeight="1" x14ac:dyDescent="0.2">
      <c r="A12" s="139" t="s">
        <v>588</v>
      </c>
      <c r="B12" s="26">
        <f>B11/Assumptions!B35</f>
        <v>82.428002219196046</v>
      </c>
      <c r="C12" s="26">
        <f>C11/Assumptions!B34</f>
        <v>79.889612227568634</v>
      </c>
      <c r="D12" s="138">
        <f>IFERROR((#REF!+'Scope 2 W'!I59+'Scope 3 W'!J70)/Assumptions!B15,0)</f>
        <v>0</v>
      </c>
      <c r="E12" s="127">
        <f>IFERROR((C12-B12)/ABS(B12),0)</f>
        <v>-3.0795238551059593E-2</v>
      </c>
      <c r="F12" s="127">
        <f>IFERROR((D12-C12)/ABS(C12),0)</f>
        <v>-1</v>
      </c>
      <c r="G12" s="127">
        <f>IFERROR((D12-B12)/ABS(B12),0)</f>
        <v>-1</v>
      </c>
      <c r="H12" s="14" t="s">
        <v>583</v>
      </c>
    </row>
    <row r="13" spans="1:11" ht="21.75" customHeight="1" x14ac:dyDescent="0.2">
      <c r="A13" s="139" t="s">
        <v>589</v>
      </c>
      <c r="B13" s="26">
        <f>B11/Assumptions!C35</f>
        <v>73.950226244343895</v>
      </c>
      <c r="C13" s="26">
        <f>C11/Assumptions!C34</f>
        <v>76.628959276018094</v>
      </c>
      <c r="D13" s="138">
        <f>IFERROR((#REF!+'Scope 2 W'!I59+'Scope 3 W'!J70)/Assumptions!B16,0)</f>
        <v>0</v>
      </c>
      <c r="E13" s="127">
        <f t="shared" si="2"/>
        <v>3.6223459585143357E-2</v>
      </c>
      <c r="F13" s="127">
        <f t="shared" si="2"/>
        <v>-1</v>
      </c>
      <c r="G13" s="127">
        <f t="shared" si="1"/>
        <v>-1</v>
      </c>
      <c r="H13" s="14" t="s">
        <v>583</v>
      </c>
    </row>
    <row r="14" spans="1:11" ht="21.75" customHeight="1" x14ac:dyDescent="0.2">
      <c r="A14" s="140" t="s">
        <v>590</v>
      </c>
      <c r="B14" s="26">
        <v>0</v>
      </c>
      <c r="C14" s="26">
        <v>0</v>
      </c>
      <c r="D14" s="141">
        <f>IFERROR(SUM('Scope 2 W'!F36:F40)/SUM('Scope 2 W'!C36:C40),0)</f>
        <v>0</v>
      </c>
      <c r="E14" s="142">
        <f t="shared" si="2"/>
        <v>0</v>
      </c>
      <c r="F14" s="142">
        <f t="shared" si="2"/>
        <v>0</v>
      </c>
      <c r="G14" s="142">
        <f t="shared" si="1"/>
        <v>0</v>
      </c>
      <c r="H14" s="14" t="s">
        <v>583</v>
      </c>
    </row>
    <row r="16" spans="1:11" ht="21.75" customHeight="1" x14ac:dyDescent="0.2">
      <c r="A16" s="653" t="s">
        <v>591</v>
      </c>
      <c r="B16" s="644"/>
      <c r="C16" s="644"/>
      <c r="D16" s="644"/>
      <c r="E16" s="644"/>
      <c r="F16" s="644"/>
      <c r="G16" s="644"/>
      <c r="H16" s="644"/>
      <c r="I16" s="644"/>
    </row>
    <row r="17" spans="1:9" ht="24" customHeight="1" x14ac:dyDescent="0.2">
      <c r="A17" s="165" t="s">
        <v>520</v>
      </c>
      <c r="B17" s="165" t="s">
        <v>592</v>
      </c>
      <c r="C17" s="165" t="s">
        <v>593</v>
      </c>
      <c r="D17" s="165" t="s">
        <v>594</v>
      </c>
      <c r="E17" s="165" t="s">
        <v>595</v>
      </c>
      <c r="F17" s="165" t="s">
        <v>596</v>
      </c>
      <c r="G17" s="165" t="s">
        <v>597</v>
      </c>
      <c r="H17" s="165" t="s">
        <v>598</v>
      </c>
      <c r="I17" s="165" t="s">
        <v>110</v>
      </c>
    </row>
    <row r="18" spans="1:9" ht="21.75" customHeight="1" x14ac:dyDescent="0.2">
      <c r="A18" s="143" t="s">
        <v>599</v>
      </c>
      <c r="B18" s="144">
        <v>2030</v>
      </c>
      <c r="C18" s="144">
        <v>2019</v>
      </c>
      <c r="D18" s="441">
        <f>6411167+1863185+2968004</f>
        <v>11242356</v>
      </c>
      <c r="E18" s="125">
        <v>0.27500000000000002</v>
      </c>
      <c r="F18" s="442">
        <f>D18*(1-E18)</f>
        <v>8150708.0999999996</v>
      </c>
      <c r="G18" s="442">
        <f>(D18-F18)/(B18-C18)</f>
        <v>281058.90000000002</v>
      </c>
      <c r="H18" s="145" t="s">
        <v>600</v>
      </c>
      <c r="I18" s="145" t="s">
        <v>601</v>
      </c>
    </row>
    <row r="19" spans="1:9" ht="21.75" customHeight="1" x14ac:dyDescent="0.2">
      <c r="A19" s="143" t="s">
        <v>602</v>
      </c>
      <c r="B19" s="144">
        <v>2030</v>
      </c>
      <c r="C19" s="144">
        <v>2019</v>
      </c>
      <c r="D19" s="441">
        <v>11399031</v>
      </c>
      <c r="E19" s="125">
        <v>0.27500000000000002</v>
      </c>
      <c r="F19" s="442">
        <f t="shared" ref="F19" si="3">D19*(1-E19)</f>
        <v>8264297.4749999996</v>
      </c>
      <c r="G19" s="442">
        <f>(D19-F19)/(B19-C19)</f>
        <v>284975.77500000002</v>
      </c>
      <c r="H19" s="145" t="s">
        <v>603</v>
      </c>
      <c r="I19" s="145" t="s">
        <v>601</v>
      </c>
    </row>
    <row r="20" spans="1:9" x14ac:dyDescent="0.2">
      <c r="E20" s="399"/>
    </row>
    <row r="21" spans="1:9" x14ac:dyDescent="0.2">
      <c r="H21" s="399"/>
      <c r="I21" s="399"/>
    </row>
    <row r="22" spans="1:9" ht="48" customHeight="1" x14ac:dyDescent="0.2">
      <c r="A22" s="684"/>
      <c r="B22" s="644"/>
      <c r="C22" s="644"/>
      <c r="D22" s="644"/>
      <c r="E22" s="644"/>
      <c r="F22" s="644"/>
      <c r="G22" s="644"/>
      <c r="H22" s="644"/>
      <c r="I22" s="644"/>
    </row>
  </sheetData>
  <mergeCells count="5">
    <mergeCell ref="A2:K2"/>
    <mergeCell ref="A22:I22"/>
    <mergeCell ref="A4:I4"/>
    <mergeCell ref="A1:K1"/>
    <mergeCell ref="A16:I16"/>
  </mergeCells>
  <conditionalFormatting sqref="E7:G14">
    <cfRule type="cellIs" dxfId="1" priority="6" operator="greaterThan">
      <formula>0</formula>
    </cfRule>
    <cfRule type="cellIs" dxfId="0" priority="7" operator="lessThan">
      <formula>0</formula>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37"/>
  <sheetViews>
    <sheetView showGridLines="0" zoomScale="84" zoomScaleNormal="84" workbookViewId="0">
      <pane xSplit="1" ySplit="7" topLeftCell="B8" activePane="bottomRight" state="frozen"/>
      <selection pane="topRight"/>
      <selection pane="bottomLeft"/>
      <selection pane="bottomRight" activeCell="B10" sqref="B10"/>
    </sheetView>
  </sheetViews>
  <sheetFormatPr baseColWidth="10" defaultColWidth="8.83203125" defaultRowHeight="15" x14ac:dyDescent="0.2"/>
  <cols>
    <col min="1" max="1" width="1.83203125" customWidth="1"/>
    <col min="2" max="2" width="41.5" customWidth="1"/>
    <col min="3" max="3" width="22.6640625" bestFit="1" customWidth="1"/>
    <col min="4" max="4" width="17.33203125" bestFit="1" customWidth="1"/>
    <col min="5" max="5" width="14.1640625" bestFit="1" customWidth="1"/>
    <col min="6" max="7" width="14" bestFit="1" customWidth="1"/>
    <col min="8" max="8" width="16.1640625" bestFit="1" customWidth="1"/>
    <col min="9" max="9" width="14" bestFit="1" customWidth="1"/>
    <col min="10" max="10" width="30.6640625" bestFit="1" customWidth="1"/>
    <col min="11" max="11" width="12.5" bestFit="1" customWidth="1"/>
    <col min="12" max="13" width="12.33203125" bestFit="1" customWidth="1"/>
  </cols>
  <sheetData>
    <row r="1" spans="1:13" ht="8" customHeight="1" x14ac:dyDescent="0.2">
      <c r="A1" s="298"/>
      <c r="B1" s="298"/>
      <c r="C1" s="298"/>
      <c r="D1" s="298"/>
      <c r="E1" s="298"/>
      <c r="F1" s="298"/>
      <c r="G1" s="298"/>
      <c r="H1" s="298"/>
      <c r="I1" s="298"/>
      <c r="J1" s="298"/>
      <c r="K1" s="298"/>
      <c r="L1" s="298"/>
      <c r="M1" s="298"/>
    </row>
    <row r="2" spans="1:13" ht="46" customHeight="1" x14ac:dyDescent="0.2">
      <c r="A2" s="298"/>
      <c r="B2" s="690" t="s">
        <v>604</v>
      </c>
      <c r="C2" s="688"/>
      <c r="D2" s="688"/>
      <c r="E2" s="688"/>
      <c r="F2" s="688"/>
      <c r="G2" s="688"/>
      <c r="H2" s="688"/>
      <c r="I2" s="688"/>
      <c r="J2" s="688"/>
      <c r="K2" s="688"/>
      <c r="L2" s="298"/>
      <c r="M2" s="298"/>
    </row>
    <row r="3" spans="1:13" ht="20" customHeight="1" x14ac:dyDescent="0.2">
      <c r="A3" s="298"/>
      <c r="B3" s="687" t="s">
        <v>605</v>
      </c>
      <c r="C3" s="688"/>
      <c r="D3" s="688"/>
      <c r="E3" s="688"/>
      <c r="F3" s="688"/>
      <c r="G3" s="688"/>
      <c r="H3" s="688"/>
      <c r="I3" s="688"/>
      <c r="J3" s="688"/>
      <c r="K3" s="688"/>
      <c r="L3" s="298"/>
      <c r="M3" s="298"/>
    </row>
    <row r="4" spans="1:13" ht="14" customHeight="1" x14ac:dyDescent="0.2">
      <c r="A4" s="298"/>
      <c r="B4" s="298"/>
      <c r="C4" s="298"/>
      <c r="D4" s="298"/>
      <c r="E4" s="298"/>
      <c r="F4" s="298"/>
      <c r="G4" s="298"/>
      <c r="H4" s="298"/>
      <c r="I4" s="298"/>
      <c r="J4" s="298"/>
      <c r="K4" s="298"/>
      <c r="L4" s="298"/>
      <c r="M4" s="298"/>
    </row>
    <row r="5" spans="1:13" ht="24" customHeight="1" x14ac:dyDescent="0.2">
      <c r="A5" s="298"/>
      <c r="B5" s="685" t="s">
        <v>606</v>
      </c>
      <c r="C5" s="686"/>
      <c r="D5" s="686"/>
      <c r="E5" s="686"/>
      <c r="F5" s="686"/>
      <c r="G5" s="686"/>
      <c r="H5" s="686"/>
      <c r="I5" s="686"/>
      <c r="J5" s="686"/>
      <c r="K5" s="686"/>
      <c r="L5" s="298"/>
    </row>
    <row r="6" spans="1:13" ht="20" customHeight="1" x14ac:dyDescent="0.2">
      <c r="A6" s="298"/>
      <c r="B6" s="691" t="s">
        <v>607</v>
      </c>
      <c r="C6" s="644"/>
      <c r="D6" s="644"/>
      <c r="E6" s="692" t="s">
        <v>608</v>
      </c>
      <c r="F6" s="644"/>
      <c r="G6" s="644"/>
      <c r="H6" s="443" t="s">
        <v>609</v>
      </c>
      <c r="I6" s="411" t="s">
        <v>610</v>
      </c>
      <c r="J6" t="s">
        <v>611</v>
      </c>
      <c r="L6" s="298"/>
      <c r="M6" s="298"/>
    </row>
    <row r="7" spans="1:13" ht="22" customHeight="1" x14ac:dyDescent="0.2">
      <c r="A7" s="298"/>
      <c r="B7" s="383" t="s">
        <v>612</v>
      </c>
      <c r="C7" s="299">
        <v>2024</v>
      </c>
      <c r="D7" s="299">
        <v>2025</v>
      </c>
      <c r="E7" s="299">
        <v>2026</v>
      </c>
      <c r="F7" s="299">
        <v>2027</v>
      </c>
      <c r="G7" s="299">
        <v>2028</v>
      </c>
      <c r="H7" s="299">
        <v>2029</v>
      </c>
      <c r="I7" s="299">
        <v>2030</v>
      </c>
      <c r="J7" s="299"/>
      <c r="K7" s="299"/>
      <c r="L7" s="298"/>
      <c r="M7" s="298"/>
    </row>
    <row r="8" spans="1:13" ht="22" customHeight="1" x14ac:dyDescent="0.2">
      <c r="A8" s="298"/>
      <c r="B8" s="444" t="s">
        <v>613</v>
      </c>
      <c r="C8" s="445">
        <f>C9</f>
        <v>11242356</v>
      </c>
      <c r="D8" s="401">
        <f>H22</f>
        <v>16456070</v>
      </c>
      <c r="E8" s="401">
        <f t="shared" ref="E8:I8" si="0">I22</f>
        <v>17422778</v>
      </c>
      <c r="F8" s="401">
        <f t="shared" si="0"/>
        <v>18446275</v>
      </c>
      <c r="G8" s="401">
        <f t="shared" si="0"/>
        <v>19529898</v>
      </c>
      <c r="H8" s="401">
        <f t="shared" si="0"/>
        <v>20677178</v>
      </c>
      <c r="I8" s="401">
        <f t="shared" si="0"/>
        <v>21891855</v>
      </c>
      <c r="J8" s="299"/>
      <c r="K8" s="299"/>
      <c r="L8" s="298"/>
      <c r="M8" s="298"/>
    </row>
    <row r="9" spans="1:13" ht="32" customHeight="1" x14ac:dyDescent="0.2">
      <c r="A9" s="298"/>
      <c r="B9" s="385" t="str">
        <f>'Trend Analysis'!A18</f>
        <v xml:space="preserve">Socpe 1 and 2 - 27.5% Reduction </v>
      </c>
      <c r="C9" s="445">
        <f>'Trend Analysis'!D18</f>
        <v>11242356</v>
      </c>
      <c r="D9" s="386">
        <f>C9-'Trend Analysis'!G18</f>
        <v>10961297.1</v>
      </c>
      <c r="E9" s="386">
        <f>D9-'Trend Analysis'!G18</f>
        <v>10680238.199999999</v>
      </c>
      <c r="F9" s="386">
        <f>E9-'Trend Analysis'!G18</f>
        <v>10399179.299999999</v>
      </c>
      <c r="G9" s="386">
        <f>F9-'Trend Analysis'!G18</f>
        <v>10118120.399999999</v>
      </c>
      <c r="H9" s="386">
        <f>G9-'Trend Analysis'!G18</f>
        <v>9837061.4999999981</v>
      </c>
      <c r="I9" s="386">
        <f>H9-'Trend Analysis'!G18</f>
        <v>9556002.5999999978</v>
      </c>
      <c r="J9" s="384"/>
      <c r="K9" s="384"/>
      <c r="L9" s="298"/>
      <c r="M9" s="298"/>
    </row>
    <row r="10" spans="1:13" ht="32" customHeight="1" x14ac:dyDescent="0.2">
      <c r="A10" s="298"/>
      <c r="B10" s="387" t="e">
        <f>'Trend Analysis'!#REF!</f>
        <v>#REF!</v>
      </c>
      <c r="C10" s="445" t="e">
        <f>'Trend Analysis'!#REF!</f>
        <v>#REF!</v>
      </c>
      <c r="D10" s="386" t="e">
        <f>C10-'Trend Analysis'!#REF!</f>
        <v>#REF!</v>
      </c>
      <c r="E10" s="386" t="e">
        <f>D10-'Trend Analysis'!#REF!</f>
        <v>#REF!</v>
      </c>
      <c r="F10" s="386" t="e">
        <f>E10-'Trend Analysis'!#REF!</f>
        <v>#REF!</v>
      </c>
      <c r="G10" s="386" t="e">
        <f>F10-'Trend Analysis'!#REF!</f>
        <v>#REF!</v>
      </c>
      <c r="H10" s="386" t="e">
        <f>G10-'Trend Analysis'!#REF!</f>
        <v>#REF!</v>
      </c>
      <c r="I10" s="386" t="e">
        <f>H10-'Trend Analysis'!#REF!</f>
        <v>#REF!</v>
      </c>
      <c r="J10" s="384"/>
      <c r="K10" s="384"/>
      <c r="L10" s="298"/>
      <c r="M10" s="298"/>
    </row>
    <row r="11" spans="1:13" ht="32" customHeight="1" x14ac:dyDescent="0.2">
      <c r="A11" s="298"/>
      <c r="B11" s="388" t="str">
        <f>'Trend Analysis'!A19</f>
        <v>Scope 3 Reduction Target</v>
      </c>
      <c r="C11" s="445">
        <f>'Trend Analysis'!D19</f>
        <v>11399031</v>
      </c>
      <c r="D11" s="386">
        <f>C11-'Trend Analysis'!G19</f>
        <v>11114055.225</v>
      </c>
      <c r="E11" s="386">
        <f>D11-'Trend Analysis'!G19</f>
        <v>10829079.449999999</v>
      </c>
      <c r="F11" s="386">
        <f>E11-'Trend Analysis'!G19</f>
        <v>10544103.674999999</v>
      </c>
      <c r="G11" s="386">
        <f>F11-'Trend Analysis'!G19</f>
        <v>10259127.899999999</v>
      </c>
      <c r="H11" s="386">
        <f>G11-'Trend Analysis'!G19</f>
        <v>9974152.1249999981</v>
      </c>
      <c r="I11" s="386">
        <f>H11-'Trend Analysis'!G19</f>
        <v>9689176.3499999978</v>
      </c>
      <c r="J11" s="384"/>
      <c r="K11" s="384"/>
      <c r="L11" s="298"/>
      <c r="M11" s="298"/>
    </row>
    <row r="12" spans="1:13" ht="8" customHeight="1" x14ac:dyDescent="0.2">
      <c r="A12" s="298"/>
      <c r="B12" s="298"/>
      <c r="C12" s="298"/>
      <c r="D12" s="298"/>
      <c r="E12" s="298"/>
      <c r="F12" s="298"/>
      <c r="G12" s="298"/>
      <c r="H12" s="298"/>
      <c r="I12" s="298"/>
      <c r="J12" s="298"/>
      <c r="K12" s="298"/>
      <c r="L12" s="298"/>
      <c r="M12" s="298"/>
    </row>
    <row r="13" spans="1:13" ht="10" customHeight="1" x14ac:dyDescent="0.2">
      <c r="A13" s="298"/>
      <c r="B13" s="298"/>
      <c r="C13" s="298"/>
      <c r="D13" s="298"/>
      <c r="E13" s="298"/>
      <c r="F13" s="298"/>
      <c r="G13" s="298"/>
      <c r="H13" s="298"/>
      <c r="I13" s="298"/>
      <c r="J13" s="298"/>
      <c r="K13" s="298"/>
      <c r="L13" s="298"/>
      <c r="M13" s="298"/>
    </row>
    <row r="14" spans="1:13" ht="16" customHeight="1" x14ac:dyDescent="0.2">
      <c r="A14" s="298"/>
      <c r="B14" s="298"/>
      <c r="C14" s="298"/>
      <c r="D14" s="298"/>
      <c r="E14" s="298"/>
      <c r="F14" s="298"/>
      <c r="G14" s="298"/>
      <c r="H14" s="298"/>
      <c r="I14" s="298"/>
      <c r="J14" s="298"/>
      <c r="K14" s="298"/>
      <c r="L14" s="298"/>
      <c r="M14" s="298"/>
    </row>
    <row r="15" spans="1:13" ht="24" customHeight="1" x14ac:dyDescent="0.2">
      <c r="A15" s="298"/>
      <c r="B15" s="693" t="s">
        <v>614</v>
      </c>
      <c r="C15" s="693"/>
      <c r="D15" s="693"/>
      <c r="E15" s="693"/>
      <c r="F15" s="693"/>
      <c r="G15" s="693"/>
      <c r="H15" s="693"/>
      <c r="I15" s="693"/>
      <c r="J15" s="693"/>
      <c r="K15" s="693"/>
      <c r="L15" s="693"/>
      <c r="M15" s="693"/>
    </row>
    <row r="16" spans="1:13" ht="22" customHeight="1" x14ac:dyDescent="0.2">
      <c r="A16" s="298"/>
      <c r="B16" s="383" t="s">
        <v>615</v>
      </c>
      <c r="C16" s="299">
        <v>2020</v>
      </c>
      <c r="D16" s="299">
        <v>2021</v>
      </c>
      <c r="E16" s="299">
        <v>2022</v>
      </c>
      <c r="F16" s="299">
        <v>2023</v>
      </c>
      <c r="G16" s="299">
        <v>2024</v>
      </c>
      <c r="H16" s="299">
        <v>2025</v>
      </c>
      <c r="I16" s="409">
        <v>2026</v>
      </c>
      <c r="J16" s="409">
        <v>2027</v>
      </c>
      <c r="K16" s="409">
        <v>2028</v>
      </c>
      <c r="L16" s="409">
        <v>2029</v>
      </c>
      <c r="M16" s="409">
        <v>2030</v>
      </c>
    </row>
    <row r="17" spans="1:13" ht="22" customHeight="1" x14ac:dyDescent="0.2">
      <c r="A17" s="298"/>
      <c r="B17" s="389" t="s">
        <v>616</v>
      </c>
      <c r="C17" s="390"/>
      <c r="D17" s="390"/>
      <c r="E17" s="390"/>
      <c r="F17" s="390"/>
      <c r="G17" s="390"/>
      <c r="H17" s="390"/>
      <c r="I17" s="412">
        <v>158197</v>
      </c>
      <c r="J17" s="412">
        <v>166095</v>
      </c>
      <c r="K17" s="412">
        <v>174387</v>
      </c>
      <c r="L17" s="412">
        <v>183093</v>
      </c>
      <c r="M17" s="412">
        <v>192234</v>
      </c>
    </row>
    <row r="18" spans="1:13" ht="22" customHeight="1" x14ac:dyDescent="0.2">
      <c r="A18" s="298"/>
      <c r="B18" s="446" t="s">
        <v>617</v>
      </c>
      <c r="C18" s="390"/>
      <c r="D18" s="390"/>
      <c r="E18" s="390"/>
      <c r="F18" s="390"/>
      <c r="G18" s="390"/>
      <c r="H18" s="390"/>
      <c r="I18" s="412">
        <f>('Trend Analysis'!F8+1)*H18</f>
        <v>0</v>
      </c>
      <c r="J18" s="412">
        <f>('Trend Analysis'!F8+1)*I18</f>
        <v>0</v>
      </c>
      <c r="K18" s="412">
        <f>('Trend Analysis'!F8+1)*J18</f>
        <v>0</v>
      </c>
      <c r="L18" s="412">
        <f>('Trend Analysis'!F8+1)*K18</f>
        <v>0</v>
      </c>
      <c r="M18" s="412">
        <f>('Trend Analysis'!F8+1)*L18</f>
        <v>0</v>
      </c>
    </row>
    <row r="19" spans="1:13" ht="22" customHeight="1" x14ac:dyDescent="0.2">
      <c r="A19" s="298"/>
      <c r="B19" s="446" t="s">
        <v>618</v>
      </c>
      <c r="C19" s="390"/>
      <c r="D19" s="390"/>
      <c r="E19" s="390"/>
      <c r="F19" s="390"/>
      <c r="G19" s="390"/>
      <c r="H19" s="390"/>
      <c r="I19" s="412">
        <v>195271</v>
      </c>
      <c r="J19" s="412">
        <v>169524</v>
      </c>
      <c r="K19" s="412">
        <v>147172</v>
      </c>
      <c r="L19" s="412">
        <v>127767</v>
      </c>
      <c r="M19" s="412">
        <v>110921</v>
      </c>
    </row>
    <row r="20" spans="1:13" ht="21.5" customHeight="1" x14ac:dyDescent="0.2">
      <c r="A20" s="298"/>
      <c r="B20" s="406" t="s">
        <v>619</v>
      </c>
      <c r="C20" s="390"/>
      <c r="D20" s="390"/>
      <c r="E20" s="390"/>
      <c r="F20" s="390"/>
      <c r="G20" s="390"/>
      <c r="H20" s="390"/>
      <c r="I20" s="412">
        <v>337110</v>
      </c>
      <c r="J20" s="412">
        <v>308476</v>
      </c>
      <c r="K20" s="412">
        <v>282274</v>
      </c>
      <c r="L20" s="412">
        <v>258297</v>
      </c>
      <c r="M20" s="412">
        <v>236357</v>
      </c>
    </row>
    <row r="21" spans="1:13" ht="22" customHeight="1" x14ac:dyDescent="0.2">
      <c r="A21" s="298"/>
      <c r="B21" s="391" t="s">
        <v>620</v>
      </c>
      <c r="C21" s="390"/>
      <c r="D21" s="390"/>
      <c r="E21" s="390"/>
      <c r="F21" s="390"/>
      <c r="G21" s="390"/>
      <c r="H21" s="390"/>
      <c r="I21" s="412">
        <v>17152263</v>
      </c>
      <c r="J21" s="412">
        <v>18256571</v>
      </c>
      <c r="K21" s="412">
        <v>19431977</v>
      </c>
      <c r="L21" s="412">
        <v>20683059</v>
      </c>
      <c r="M21" s="412">
        <v>22014689</v>
      </c>
    </row>
    <row r="22" spans="1:13" ht="22" customHeight="1" x14ac:dyDescent="0.2">
      <c r="A22" s="298"/>
      <c r="B22" s="392" t="s">
        <v>621</v>
      </c>
      <c r="C22" s="403">
        <v>12370000</v>
      </c>
      <c r="D22" s="403">
        <v>14129000</v>
      </c>
      <c r="E22" s="403">
        <v>16343000</v>
      </c>
      <c r="F22" s="403">
        <v>16935000</v>
      </c>
      <c r="G22" s="403">
        <v>15543000</v>
      </c>
      <c r="H22" s="403">
        <v>16456070</v>
      </c>
      <c r="I22" s="410">
        <v>17422778</v>
      </c>
      <c r="J22" s="410">
        <v>18446275</v>
      </c>
      <c r="K22" s="410">
        <v>19529898</v>
      </c>
      <c r="L22" s="410">
        <v>20677178</v>
      </c>
      <c r="M22" s="410">
        <v>21891855</v>
      </c>
    </row>
    <row r="23" spans="1:13" ht="10" customHeight="1" x14ac:dyDescent="0.2">
      <c r="A23" s="298"/>
      <c r="B23" s="298"/>
      <c r="C23" s="298"/>
      <c r="D23" s="298"/>
      <c r="E23" s="298"/>
      <c r="F23" s="298"/>
      <c r="G23" s="298"/>
      <c r="H23" s="298"/>
      <c r="I23" s="298"/>
      <c r="J23" s="298"/>
      <c r="K23" s="298"/>
      <c r="L23" s="298"/>
      <c r="M23" s="298"/>
    </row>
    <row r="24" spans="1:13" ht="24" customHeight="1" x14ac:dyDescent="0.2">
      <c r="A24" s="298"/>
      <c r="B24" s="685" t="s">
        <v>622</v>
      </c>
      <c r="C24" s="686"/>
      <c r="D24" s="686"/>
      <c r="E24" s="686"/>
      <c r="F24" s="686"/>
      <c r="G24" s="686"/>
      <c r="H24" s="686"/>
      <c r="I24" s="686"/>
      <c r="J24" s="686"/>
      <c r="K24" s="686"/>
      <c r="L24" s="298"/>
      <c r="M24" s="298"/>
    </row>
    <row r="25" spans="1:13" ht="20" customHeight="1" x14ac:dyDescent="0.2">
      <c r="A25" s="298"/>
      <c r="B25" s="299" t="s">
        <v>174</v>
      </c>
      <c r="C25" s="299" t="s">
        <v>623</v>
      </c>
      <c r="D25" s="299" t="s">
        <v>596</v>
      </c>
      <c r="E25" s="299" t="s">
        <v>175</v>
      </c>
      <c r="F25" s="298"/>
      <c r="G25" s="298"/>
      <c r="H25" s="298"/>
      <c r="I25" s="298"/>
      <c r="J25" s="298"/>
      <c r="K25" s="298"/>
      <c r="L25" s="298"/>
      <c r="M25" s="298"/>
    </row>
    <row r="26" spans="1:13" ht="20" customHeight="1" x14ac:dyDescent="0.2">
      <c r="A26" s="298"/>
      <c r="B26" s="393">
        <v>2030</v>
      </c>
      <c r="C26" s="394" t="s">
        <v>624</v>
      </c>
      <c r="D26" s="386">
        <f>'Trend Analysis'!F18</f>
        <v>8150708.0999999996</v>
      </c>
      <c r="E26" s="395" t="str">
        <f>'Trend Analysis'!H18</f>
        <v>Target scope 1+2</v>
      </c>
      <c r="F26" s="298"/>
      <c r="G26" s="298"/>
      <c r="H26" s="298"/>
      <c r="I26" s="298"/>
      <c r="J26" s="298"/>
      <c r="K26" s="298"/>
      <c r="L26" s="298"/>
      <c r="M26" s="298"/>
    </row>
    <row r="27" spans="1:13" ht="20" customHeight="1" x14ac:dyDescent="0.2">
      <c r="A27" s="298"/>
      <c r="B27" s="393">
        <v>2030</v>
      </c>
      <c r="C27" s="394" t="s">
        <v>625</v>
      </c>
      <c r="D27" s="386" t="e">
        <f>'Trend Analysis'!#REF!</f>
        <v>#REF!</v>
      </c>
      <c r="E27" s="395" t="e">
        <f>'Trend Analysis'!#REF!</f>
        <v>#REF!</v>
      </c>
      <c r="F27" s="298"/>
      <c r="G27" s="298"/>
      <c r="H27" s="298"/>
      <c r="I27" s="298"/>
      <c r="J27" s="298"/>
      <c r="K27" s="298"/>
      <c r="L27" s="298"/>
      <c r="M27" s="298"/>
    </row>
    <row r="28" spans="1:13" ht="20" customHeight="1" x14ac:dyDescent="0.2">
      <c r="A28" s="298"/>
      <c r="B28" s="393">
        <v>2030</v>
      </c>
      <c r="C28" s="394" t="s">
        <v>602</v>
      </c>
      <c r="D28" s="386">
        <f>'Trend Analysis'!F19</f>
        <v>8264297.4749999996</v>
      </c>
      <c r="E28" s="395" t="str">
        <f>'Trend Analysis'!H19</f>
        <v>Target scope 3</v>
      </c>
      <c r="F28" s="298"/>
      <c r="G28" s="298"/>
      <c r="H28" s="298"/>
      <c r="I28" s="298"/>
      <c r="J28" s="298"/>
      <c r="K28" s="298"/>
      <c r="L28" s="298"/>
      <c r="M28" s="298"/>
    </row>
    <row r="29" spans="1:13" ht="20" customHeight="1" x14ac:dyDescent="0.2">
      <c r="A29" s="298"/>
      <c r="B29" s="396"/>
      <c r="C29" s="397" t="s">
        <v>626</v>
      </c>
      <c r="D29" s="384"/>
      <c r="E29" s="398" t="s">
        <v>627</v>
      </c>
      <c r="F29" s="298"/>
      <c r="G29" s="298"/>
      <c r="H29" s="298"/>
      <c r="I29" s="298"/>
      <c r="J29" s="298"/>
      <c r="K29" s="298"/>
      <c r="L29" s="298"/>
      <c r="M29" s="298"/>
    </row>
    <row r="30" spans="1:13" ht="20" customHeight="1" x14ac:dyDescent="0.2">
      <c r="A30" s="298"/>
      <c r="B30" s="396"/>
      <c r="C30" s="397" t="s">
        <v>626</v>
      </c>
      <c r="D30" s="384"/>
      <c r="E30" s="398" t="s">
        <v>627</v>
      </c>
      <c r="F30" s="298"/>
      <c r="G30" s="298"/>
      <c r="H30" s="298"/>
      <c r="I30" s="298"/>
      <c r="J30" s="298"/>
      <c r="K30" s="298"/>
      <c r="L30" s="298"/>
      <c r="M30" s="298"/>
    </row>
    <row r="31" spans="1:13" ht="14" customHeight="1" x14ac:dyDescent="0.2">
      <c r="A31" s="298"/>
      <c r="B31" s="298"/>
      <c r="C31" s="298"/>
      <c r="D31" s="298"/>
      <c r="E31" s="298"/>
      <c r="F31" s="298"/>
      <c r="G31" s="298"/>
      <c r="H31" s="298"/>
      <c r="I31" s="298"/>
      <c r="J31" s="298"/>
      <c r="K31" s="298"/>
      <c r="L31" s="298"/>
      <c r="M31" s="298"/>
    </row>
    <row r="32" spans="1:13" ht="16" customHeight="1" x14ac:dyDescent="0.2">
      <c r="A32" s="298"/>
      <c r="B32" s="298"/>
      <c r="C32" s="298"/>
      <c r="D32" s="298"/>
      <c r="E32" s="298"/>
      <c r="F32" s="298"/>
      <c r="G32" s="298"/>
      <c r="H32" s="298"/>
      <c r="I32" s="298"/>
      <c r="J32" s="298"/>
      <c r="K32" s="298"/>
      <c r="L32" s="298"/>
      <c r="M32" s="298"/>
    </row>
    <row r="33" spans="1:13" ht="24" customHeight="1" x14ac:dyDescent="0.2">
      <c r="A33" s="298"/>
      <c r="B33" s="685" t="s">
        <v>628</v>
      </c>
      <c r="C33" s="686"/>
      <c r="D33" s="686"/>
      <c r="E33" s="686"/>
      <c r="F33" s="686"/>
      <c r="G33" s="686"/>
      <c r="H33" s="686"/>
      <c r="I33" s="686"/>
      <c r="J33" s="686"/>
      <c r="K33" s="686"/>
      <c r="L33" s="298"/>
      <c r="M33" s="298"/>
    </row>
    <row r="34" spans="1:13" ht="16" customHeight="1" x14ac:dyDescent="0.2">
      <c r="A34" s="298"/>
      <c r="B34" s="298"/>
      <c r="C34" s="298"/>
      <c r="D34" s="298"/>
      <c r="E34" s="298"/>
      <c r="F34" s="298"/>
      <c r="G34" s="298"/>
      <c r="H34" s="298"/>
      <c r="I34" s="298"/>
      <c r="J34" s="298"/>
      <c r="K34" s="298"/>
      <c r="L34" s="298"/>
      <c r="M34" s="298"/>
    </row>
    <row r="35" spans="1:13" ht="16" customHeight="1" x14ac:dyDescent="0.2">
      <c r="A35" s="298"/>
      <c r="B35" s="298"/>
      <c r="C35" s="298"/>
      <c r="D35" s="298"/>
      <c r="E35" s="298"/>
      <c r="F35" s="298"/>
      <c r="G35" s="298"/>
      <c r="H35" s="298"/>
      <c r="I35" s="298"/>
      <c r="J35" s="298"/>
      <c r="K35" s="298"/>
      <c r="L35" s="298"/>
      <c r="M35" s="298"/>
    </row>
    <row r="36" spans="1:13" ht="16" customHeight="1" x14ac:dyDescent="0.2">
      <c r="A36" s="298"/>
      <c r="B36" s="298"/>
      <c r="C36" s="298"/>
      <c r="D36" s="298"/>
      <c r="E36" s="298"/>
      <c r="F36" s="298"/>
      <c r="G36" s="298"/>
      <c r="H36" s="298"/>
      <c r="I36" s="298"/>
      <c r="J36" s="298"/>
      <c r="K36" s="298"/>
      <c r="L36" s="298"/>
      <c r="M36" s="298"/>
    </row>
    <row r="37" spans="1:13" ht="16" customHeight="1" x14ac:dyDescent="0.2">
      <c r="A37" s="298"/>
      <c r="B37" s="298"/>
      <c r="C37" s="298"/>
      <c r="D37" s="298"/>
      <c r="E37" s="298"/>
      <c r="F37" s="298"/>
      <c r="G37" s="298"/>
      <c r="H37" s="298"/>
      <c r="I37" s="298"/>
      <c r="J37" s="298"/>
      <c r="K37" s="298"/>
      <c r="L37" s="298"/>
      <c r="M37" s="298"/>
    </row>
    <row r="38" spans="1:13" ht="16" customHeight="1" x14ac:dyDescent="0.2">
      <c r="A38" s="298"/>
      <c r="B38" s="298"/>
      <c r="C38" s="298"/>
      <c r="D38" s="298"/>
      <c r="E38" s="298"/>
      <c r="F38" s="298"/>
      <c r="G38" s="298"/>
      <c r="H38" s="298"/>
      <c r="I38" s="298"/>
      <c r="J38" s="298"/>
      <c r="K38" s="298"/>
      <c r="L38" s="298"/>
      <c r="M38" s="298"/>
    </row>
    <row r="39" spans="1:13" ht="16" customHeight="1" x14ac:dyDescent="0.2">
      <c r="A39" s="298"/>
      <c r="B39" s="298"/>
      <c r="C39" s="298"/>
      <c r="D39" s="298"/>
      <c r="E39" s="298"/>
      <c r="F39" s="298"/>
      <c r="G39" s="298"/>
      <c r="H39" s="298"/>
      <c r="I39" s="298"/>
      <c r="J39" s="298"/>
      <c r="K39" s="298"/>
      <c r="L39" s="298"/>
      <c r="M39" s="298"/>
    </row>
    <row r="40" spans="1:13" ht="16" customHeight="1" x14ac:dyDescent="0.2">
      <c r="A40" s="298"/>
      <c r="B40" s="298"/>
      <c r="C40" s="298"/>
      <c r="D40" s="298"/>
      <c r="E40" s="298"/>
      <c r="F40" s="298"/>
      <c r="G40" s="298"/>
      <c r="H40" s="298"/>
      <c r="I40" s="298"/>
      <c r="J40" s="298"/>
      <c r="K40" s="298"/>
      <c r="L40" s="298"/>
      <c r="M40" s="298"/>
    </row>
    <row r="41" spans="1:13" ht="16" customHeight="1" x14ac:dyDescent="0.2">
      <c r="A41" s="298"/>
      <c r="B41" s="298"/>
      <c r="C41" s="298"/>
      <c r="D41" s="298"/>
      <c r="E41" s="298"/>
      <c r="F41" s="298"/>
      <c r="G41" s="298"/>
      <c r="H41" s="298"/>
      <c r="I41" s="298"/>
      <c r="J41" s="298"/>
      <c r="K41" s="298"/>
      <c r="L41" s="298"/>
      <c r="M41" s="298"/>
    </row>
    <row r="42" spans="1:13" ht="16" customHeight="1" x14ac:dyDescent="0.2">
      <c r="A42" s="298"/>
      <c r="B42" s="298"/>
      <c r="C42" s="298"/>
      <c r="D42" s="298"/>
      <c r="E42" s="298"/>
      <c r="F42" s="298"/>
      <c r="G42" s="298"/>
      <c r="H42" s="298"/>
      <c r="I42" s="298"/>
      <c r="J42" s="298"/>
      <c r="K42" s="298"/>
      <c r="L42" s="298"/>
      <c r="M42" s="298"/>
    </row>
    <row r="43" spans="1:13" ht="16" customHeight="1" x14ac:dyDescent="0.2">
      <c r="A43" s="298"/>
      <c r="B43" s="298"/>
      <c r="C43" s="298"/>
      <c r="D43" s="298"/>
      <c r="E43" s="298"/>
      <c r="F43" s="298"/>
      <c r="G43" s="298"/>
      <c r="H43" s="298"/>
      <c r="I43" s="298"/>
      <c r="J43" s="298"/>
      <c r="K43" s="298"/>
      <c r="L43" s="298"/>
      <c r="M43" s="298"/>
    </row>
    <row r="44" spans="1:13" ht="16" customHeight="1" x14ac:dyDescent="0.2">
      <c r="A44" s="298"/>
      <c r="B44" s="298"/>
      <c r="C44" s="298"/>
      <c r="D44" s="298"/>
      <c r="E44" s="298"/>
      <c r="F44" s="298"/>
      <c r="G44" s="298"/>
      <c r="H44" s="298"/>
      <c r="I44" s="298"/>
      <c r="J44" s="298"/>
      <c r="K44" s="298"/>
      <c r="L44" s="298"/>
      <c r="M44" s="298"/>
    </row>
    <row r="45" spans="1:13" ht="16" customHeight="1" x14ac:dyDescent="0.2">
      <c r="A45" s="298"/>
      <c r="B45" s="298"/>
      <c r="C45" s="298"/>
      <c r="D45" s="298"/>
      <c r="E45" s="298"/>
      <c r="F45" s="298"/>
      <c r="G45" s="298"/>
      <c r="H45" s="298"/>
      <c r="I45" s="298"/>
      <c r="J45" s="298"/>
      <c r="K45" s="298"/>
      <c r="L45" s="298"/>
      <c r="M45" s="298"/>
    </row>
    <row r="46" spans="1:13" ht="16" customHeight="1" x14ac:dyDescent="0.2">
      <c r="A46" s="298"/>
      <c r="B46" s="298"/>
      <c r="C46" s="298"/>
      <c r="D46" s="298"/>
      <c r="E46" s="298"/>
      <c r="F46" s="298"/>
      <c r="G46" s="298"/>
      <c r="H46" s="298"/>
      <c r="I46" s="298"/>
      <c r="J46" s="298"/>
      <c r="K46" s="298"/>
      <c r="L46" s="298"/>
      <c r="M46" s="298"/>
    </row>
    <row r="47" spans="1:13" ht="16" customHeight="1" x14ac:dyDescent="0.2">
      <c r="A47" s="298"/>
      <c r="B47" s="298"/>
      <c r="C47" s="298"/>
      <c r="D47" s="298"/>
      <c r="E47" s="298"/>
      <c r="F47" s="298"/>
      <c r="G47" s="298"/>
      <c r="H47" s="298"/>
      <c r="I47" s="298"/>
      <c r="J47" s="298"/>
      <c r="K47" s="298"/>
      <c r="L47" s="298"/>
      <c r="M47" s="298"/>
    </row>
    <row r="48" spans="1:13" ht="16" customHeight="1" x14ac:dyDescent="0.2">
      <c r="A48" s="298"/>
      <c r="B48" s="298"/>
      <c r="C48" s="298"/>
      <c r="D48" s="298"/>
      <c r="E48" s="298"/>
      <c r="F48" s="298"/>
      <c r="G48" s="298"/>
      <c r="H48" s="298"/>
      <c r="I48" s="298"/>
      <c r="J48" s="298"/>
      <c r="K48" s="298"/>
      <c r="L48" s="298"/>
      <c r="M48" s="298"/>
    </row>
    <row r="49" spans="1:13" ht="16" customHeight="1" x14ac:dyDescent="0.2">
      <c r="A49" s="298"/>
      <c r="B49" s="298"/>
      <c r="C49" s="298"/>
      <c r="D49" s="298"/>
      <c r="E49" s="298"/>
      <c r="F49" s="298"/>
      <c r="G49" s="298"/>
      <c r="H49" s="298"/>
      <c r="I49" s="298"/>
      <c r="J49" s="298"/>
      <c r="K49" s="298"/>
      <c r="L49" s="298"/>
      <c r="M49" s="298"/>
    </row>
    <row r="50" spans="1:13" ht="16" customHeight="1" x14ac:dyDescent="0.2">
      <c r="A50" s="298"/>
      <c r="B50" s="298"/>
      <c r="C50" s="298"/>
      <c r="D50" s="298"/>
      <c r="E50" s="298"/>
      <c r="F50" s="298"/>
      <c r="G50" s="298"/>
      <c r="H50" s="298"/>
      <c r="I50" s="298"/>
      <c r="J50" s="298"/>
      <c r="K50" s="298"/>
      <c r="L50" s="298"/>
      <c r="M50" s="298"/>
    </row>
    <row r="51" spans="1:13" ht="16" customHeight="1" x14ac:dyDescent="0.2">
      <c r="A51" s="298"/>
      <c r="B51" s="298"/>
      <c r="C51" s="298"/>
      <c r="D51" s="298"/>
      <c r="E51" s="298"/>
      <c r="F51" s="298"/>
      <c r="G51" s="298"/>
      <c r="H51" s="298"/>
      <c r="I51" s="298"/>
      <c r="J51" s="298"/>
      <c r="K51" s="298"/>
      <c r="L51" s="298"/>
      <c r="M51" s="298"/>
    </row>
    <row r="52" spans="1:13" ht="16" customHeight="1" x14ac:dyDescent="0.2">
      <c r="A52" s="298"/>
      <c r="B52" s="298"/>
      <c r="C52" s="298"/>
      <c r="D52" s="298"/>
      <c r="E52" s="298"/>
      <c r="F52" s="298"/>
      <c r="G52" s="298"/>
      <c r="H52" s="298"/>
      <c r="I52" s="298"/>
      <c r="J52" s="298"/>
      <c r="K52" s="298"/>
      <c r="L52" s="298"/>
      <c r="M52" s="298"/>
    </row>
    <row r="53" spans="1:13" ht="16" customHeight="1" x14ac:dyDescent="0.2">
      <c r="A53" s="298"/>
      <c r="B53" s="298"/>
      <c r="C53" s="298"/>
      <c r="D53" s="298"/>
      <c r="E53" s="298"/>
      <c r="F53" s="298"/>
      <c r="G53" s="298"/>
      <c r="H53" s="298"/>
      <c r="I53" s="298"/>
      <c r="J53" s="298"/>
      <c r="K53" s="298"/>
      <c r="L53" s="298"/>
      <c r="M53" s="298"/>
    </row>
    <row r="54" spans="1:13" ht="16" customHeight="1" x14ac:dyDescent="0.2">
      <c r="A54" s="298"/>
      <c r="B54" s="298"/>
      <c r="C54" s="298"/>
      <c r="D54" s="298"/>
      <c r="E54" s="298"/>
      <c r="F54" s="298"/>
      <c r="G54" s="298"/>
      <c r="H54" s="298"/>
      <c r="I54" s="298"/>
      <c r="J54" s="298"/>
      <c r="K54" s="298"/>
      <c r="L54" s="298"/>
      <c r="M54" s="298"/>
    </row>
    <row r="55" spans="1:13" ht="16" customHeight="1" x14ac:dyDescent="0.2">
      <c r="A55" s="298"/>
      <c r="B55" s="298"/>
      <c r="C55" s="298"/>
      <c r="D55" s="298"/>
      <c r="E55" s="298"/>
      <c r="F55" s="298"/>
      <c r="G55" s="298"/>
      <c r="H55" s="298"/>
      <c r="I55" s="298"/>
      <c r="J55" s="298"/>
      <c r="K55" s="298"/>
      <c r="L55" s="298"/>
      <c r="M55" s="298"/>
    </row>
    <row r="56" spans="1:13" ht="16" customHeight="1" x14ac:dyDescent="0.2">
      <c r="A56" s="298"/>
      <c r="B56" s="298"/>
      <c r="C56" s="298"/>
      <c r="D56" s="298"/>
      <c r="E56" s="298"/>
      <c r="F56" s="298"/>
      <c r="G56" s="298"/>
      <c r="H56" s="298"/>
      <c r="I56" s="298"/>
      <c r="J56" s="298"/>
      <c r="K56" s="298"/>
      <c r="L56" s="298"/>
      <c r="M56" s="298"/>
    </row>
    <row r="57" spans="1:13" ht="16" customHeight="1" x14ac:dyDescent="0.2">
      <c r="A57" s="298"/>
      <c r="B57" s="298"/>
      <c r="C57" s="298"/>
      <c r="D57" s="298"/>
      <c r="E57" s="298"/>
      <c r="F57" s="298"/>
      <c r="G57" s="298"/>
      <c r="H57" s="298"/>
      <c r="I57" s="298"/>
      <c r="J57" s="298"/>
      <c r="K57" s="298"/>
      <c r="L57" s="298"/>
      <c r="M57" s="298"/>
    </row>
    <row r="58" spans="1:13" ht="16" customHeight="1" x14ac:dyDescent="0.2">
      <c r="A58" s="298"/>
      <c r="B58" s="400" t="s">
        <v>629</v>
      </c>
      <c r="C58" s="298"/>
      <c r="D58" s="298"/>
      <c r="E58" s="298"/>
      <c r="F58" s="298"/>
      <c r="G58" s="298"/>
      <c r="H58" s="298"/>
      <c r="I58" s="298"/>
      <c r="J58" s="298"/>
      <c r="K58" s="298"/>
      <c r="L58" s="298"/>
      <c r="M58" s="298"/>
    </row>
    <row r="59" spans="1:13" ht="24" customHeight="1" x14ac:dyDescent="0.2">
      <c r="A59" s="298"/>
      <c r="B59" s="685" t="s">
        <v>630</v>
      </c>
      <c r="C59" s="686"/>
      <c r="D59" s="686"/>
      <c r="E59" s="686"/>
      <c r="F59" s="686"/>
      <c r="G59" s="686"/>
      <c r="H59" s="686"/>
      <c r="I59" s="686"/>
      <c r="J59" s="686"/>
      <c r="K59" s="686"/>
      <c r="L59" s="298"/>
      <c r="M59" s="298"/>
    </row>
    <row r="60" spans="1:13" ht="30" customHeight="1" x14ac:dyDescent="0.2">
      <c r="A60" s="298"/>
      <c r="B60" s="689"/>
      <c r="C60" s="644"/>
      <c r="D60" s="644"/>
      <c r="E60" s="644"/>
      <c r="F60" s="644"/>
      <c r="G60" s="644"/>
      <c r="H60" s="644"/>
      <c r="I60" s="644"/>
      <c r="J60" s="644"/>
      <c r="K60" s="644"/>
      <c r="L60" s="298"/>
      <c r="M60" s="298"/>
    </row>
    <row r="61" spans="1:13" ht="16" customHeight="1" x14ac:dyDescent="0.2">
      <c r="A61" s="298"/>
      <c r="B61" s="298"/>
      <c r="C61" s="298"/>
      <c r="D61" s="298"/>
      <c r="E61" s="298"/>
      <c r="F61" s="298"/>
      <c r="G61" s="298"/>
      <c r="H61" s="298"/>
      <c r="I61" s="298"/>
      <c r="J61" s="298"/>
      <c r="K61" s="298"/>
      <c r="L61" s="298"/>
      <c r="M61" s="298"/>
    </row>
    <row r="62" spans="1:13" ht="16" customHeight="1" x14ac:dyDescent="0.2">
      <c r="A62" s="298"/>
      <c r="B62" s="298"/>
      <c r="C62" s="298"/>
      <c r="D62" s="298"/>
      <c r="E62" s="298"/>
      <c r="F62" s="298"/>
      <c r="G62" s="298"/>
      <c r="H62" s="298"/>
      <c r="I62" s="298"/>
      <c r="J62" s="298"/>
      <c r="K62" s="298"/>
      <c r="L62" s="298"/>
      <c r="M62" s="298"/>
    </row>
    <row r="63" spans="1:13" ht="16" customHeight="1" x14ac:dyDescent="0.2">
      <c r="A63" s="298"/>
      <c r="B63" s="298"/>
      <c r="C63" s="298"/>
      <c r="D63" s="298"/>
      <c r="E63" s="298"/>
      <c r="F63" s="298"/>
      <c r="G63" s="298"/>
      <c r="H63" s="298"/>
      <c r="I63" s="298"/>
      <c r="J63" s="298"/>
      <c r="K63" s="298"/>
      <c r="L63" s="298"/>
      <c r="M63" s="298"/>
    </row>
    <row r="64" spans="1:13" ht="16" customHeight="1" x14ac:dyDescent="0.2">
      <c r="A64" s="298"/>
      <c r="B64" s="298"/>
      <c r="C64" s="298"/>
      <c r="D64" s="298"/>
      <c r="E64" s="298"/>
      <c r="F64" s="298"/>
      <c r="G64" s="298"/>
      <c r="H64" s="298"/>
      <c r="I64" s="298"/>
      <c r="J64" s="298"/>
      <c r="K64" s="298"/>
      <c r="L64" s="298"/>
      <c r="M64" s="298"/>
    </row>
    <row r="65" spans="1:13" ht="16" customHeight="1" x14ac:dyDescent="0.2">
      <c r="A65" s="298"/>
      <c r="B65" s="298"/>
      <c r="C65" s="298"/>
      <c r="D65" s="298"/>
      <c r="E65" s="298"/>
      <c r="F65" s="298"/>
      <c r="G65" s="298"/>
      <c r="H65" s="298"/>
      <c r="I65" s="298"/>
      <c r="J65" s="298"/>
      <c r="K65" s="298"/>
      <c r="L65" s="298"/>
      <c r="M65" s="298"/>
    </row>
    <row r="66" spans="1:13" ht="16" customHeight="1" x14ac:dyDescent="0.2">
      <c r="A66" s="298"/>
      <c r="B66" s="298"/>
      <c r="C66" s="298"/>
      <c r="D66" s="298"/>
      <c r="E66" s="298"/>
      <c r="F66" s="298"/>
      <c r="G66" s="298"/>
      <c r="H66" s="298"/>
      <c r="I66" s="298"/>
      <c r="J66" s="298"/>
      <c r="K66" s="298"/>
      <c r="L66" s="298"/>
      <c r="M66" s="298"/>
    </row>
    <row r="67" spans="1:13" ht="16" customHeight="1" x14ac:dyDescent="0.2">
      <c r="A67" s="298"/>
      <c r="B67" s="298"/>
      <c r="C67" s="298"/>
      <c r="D67" s="298"/>
      <c r="E67" s="298"/>
      <c r="F67" s="298"/>
      <c r="G67" s="298"/>
      <c r="H67" s="298"/>
      <c r="I67" s="298"/>
      <c r="J67" s="298"/>
      <c r="K67" s="298"/>
      <c r="L67" s="298"/>
      <c r="M67" s="298"/>
    </row>
    <row r="68" spans="1:13" ht="16" customHeight="1" x14ac:dyDescent="0.2">
      <c r="A68" s="298"/>
      <c r="B68" s="298"/>
      <c r="C68" s="298"/>
      <c r="D68" s="298"/>
      <c r="E68" s="298"/>
      <c r="F68" s="298"/>
      <c r="G68" s="298"/>
      <c r="H68" s="298"/>
      <c r="I68" s="298"/>
      <c r="J68" s="298"/>
      <c r="K68" s="298"/>
      <c r="L68" s="298"/>
      <c r="M68" s="298"/>
    </row>
    <row r="69" spans="1:13" ht="16" customHeight="1" x14ac:dyDescent="0.2">
      <c r="A69" s="298"/>
      <c r="B69" s="298"/>
      <c r="C69" s="298"/>
      <c r="D69" s="298"/>
      <c r="E69" s="298"/>
      <c r="F69" s="298"/>
      <c r="G69" s="298"/>
      <c r="H69" s="298"/>
      <c r="I69" s="298"/>
      <c r="J69" s="298"/>
      <c r="K69" s="298"/>
      <c r="L69" s="298"/>
      <c r="M69" s="298"/>
    </row>
    <row r="70" spans="1:13" ht="16" customHeight="1" x14ac:dyDescent="0.2">
      <c r="A70" s="298"/>
      <c r="B70" s="298"/>
      <c r="C70" s="298"/>
      <c r="D70" s="298"/>
      <c r="E70" s="298"/>
      <c r="F70" s="298"/>
      <c r="G70" s="298"/>
      <c r="H70" s="298"/>
      <c r="I70" s="298"/>
      <c r="J70" s="298"/>
      <c r="K70" s="298"/>
      <c r="L70" s="298"/>
      <c r="M70" s="298"/>
    </row>
    <row r="71" spans="1:13" ht="16" customHeight="1" x14ac:dyDescent="0.2">
      <c r="A71" s="298"/>
      <c r="B71" s="298"/>
      <c r="C71" s="298"/>
      <c r="D71" s="298"/>
      <c r="E71" s="298"/>
      <c r="F71" s="298"/>
      <c r="G71" s="298"/>
      <c r="H71" s="298"/>
      <c r="I71" s="298"/>
      <c r="J71" s="298"/>
      <c r="K71" s="298"/>
      <c r="L71" s="298"/>
      <c r="M71" s="298"/>
    </row>
    <row r="72" spans="1:13" ht="16" customHeight="1" x14ac:dyDescent="0.2">
      <c r="A72" s="298"/>
      <c r="B72" s="298"/>
      <c r="C72" s="298"/>
      <c r="D72" s="298"/>
      <c r="E72" s="298"/>
      <c r="F72" s="298"/>
      <c r="G72" s="298"/>
      <c r="H72" s="298"/>
      <c r="I72" s="298"/>
      <c r="J72" s="298"/>
      <c r="K72" s="298"/>
      <c r="L72" s="298"/>
      <c r="M72" s="298"/>
    </row>
    <row r="73" spans="1:13" ht="16" customHeight="1" x14ac:dyDescent="0.2">
      <c r="A73" s="298"/>
      <c r="B73" s="298"/>
      <c r="C73" s="298"/>
      <c r="D73" s="298"/>
      <c r="E73" s="298"/>
      <c r="F73" s="298"/>
      <c r="G73" s="298"/>
      <c r="H73" s="298"/>
      <c r="I73" s="298"/>
      <c r="J73" s="298"/>
      <c r="K73" s="298"/>
      <c r="L73" s="298"/>
      <c r="M73" s="298"/>
    </row>
    <row r="74" spans="1:13" ht="16" customHeight="1" x14ac:dyDescent="0.2">
      <c r="A74" s="298"/>
      <c r="B74" s="298"/>
      <c r="C74" s="298"/>
      <c r="D74" s="298"/>
      <c r="E74" s="298"/>
      <c r="F74" s="298"/>
      <c r="G74" s="298"/>
      <c r="H74" s="298"/>
      <c r="I74" s="298"/>
      <c r="J74" s="298"/>
      <c r="K74" s="298"/>
      <c r="L74" s="298"/>
      <c r="M74" s="298"/>
    </row>
    <row r="75" spans="1:13" ht="16" customHeight="1" x14ac:dyDescent="0.2">
      <c r="A75" s="298"/>
      <c r="B75" s="298"/>
      <c r="C75" s="298"/>
      <c r="D75" s="298"/>
      <c r="E75" s="298"/>
      <c r="F75" s="298"/>
      <c r="G75" s="298"/>
      <c r="H75" s="298"/>
      <c r="I75" s="298"/>
      <c r="J75" s="298"/>
      <c r="K75" s="298"/>
      <c r="L75" s="298"/>
      <c r="M75" s="298"/>
    </row>
    <row r="76" spans="1:13" ht="16" customHeight="1" x14ac:dyDescent="0.2">
      <c r="A76" s="298"/>
      <c r="B76" s="298"/>
      <c r="C76" s="298"/>
      <c r="D76" s="298"/>
      <c r="E76" s="298"/>
      <c r="F76" s="298"/>
      <c r="G76" s="298"/>
      <c r="H76" s="298"/>
      <c r="I76" s="298"/>
      <c r="J76" s="298"/>
      <c r="K76" s="298"/>
      <c r="L76" s="298"/>
      <c r="M76" s="298"/>
    </row>
    <row r="77" spans="1:13" ht="16" customHeight="1" x14ac:dyDescent="0.2">
      <c r="A77" s="298"/>
      <c r="B77" s="298"/>
      <c r="C77" s="298"/>
      <c r="D77" s="298"/>
      <c r="E77" s="298"/>
      <c r="F77" s="298"/>
      <c r="G77" s="298"/>
      <c r="H77" s="298"/>
      <c r="I77" s="298"/>
      <c r="J77" s="298"/>
      <c r="K77" s="298"/>
      <c r="L77" s="298"/>
      <c r="M77" s="298"/>
    </row>
    <row r="78" spans="1:13" ht="16" customHeight="1" x14ac:dyDescent="0.2">
      <c r="A78" s="298"/>
      <c r="B78" s="298"/>
      <c r="C78" s="298"/>
      <c r="D78" s="298"/>
      <c r="E78" s="298"/>
      <c r="F78" s="298"/>
      <c r="G78" s="298"/>
      <c r="H78" s="298"/>
      <c r="I78" s="298"/>
      <c r="J78" s="298"/>
      <c r="K78" s="298"/>
      <c r="L78" s="298"/>
      <c r="M78" s="298"/>
    </row>
    <row r="79" spans="1:13" ht="16" customHeight="1" x14ac:dyDescent="0.2">
      <c r="A79" s="298"/>
      <c r="B79" s="298"/>
      <c r="C79" s="298"/>
      <c r="D79" s="298"/>
      <c r="E79" s="298"/>
      <c r="F79" s="298"/>
      <c r="G79" s="298"/>
      <c r="H79" s="298"/>
      <c r="I79" s="298"/>
      <c r="J79" s="298"/>
      <c r="K79" s="298"/>
      <c r="L79" s="298"/>
      <c r="M79" s="298"/>
    </row>
    <row r="80" spans="1:13" ht="16" customHeight="1" x14ac:dyDescent="0.2">
      <c r="A80" s="298"/>
      <c r="B80" s="298"/>
      <c r="C80" s="298"/>
      <c r="D80" s="298"/>
      <c r="E80" s="298"/>
      <c r="F80" s="298"/>
      <c r="G80" s="298"/>
      <c r="H80" s="298"/>
      <c r="I80" s="298"/>
      <c r="J80" s="298"/>
      <c r="K80" s="298"/>
      <c r="L80" s="298"/>
      <c r="M80" s="298"/>
    </row>
    <row r="81" spans="1:13" ht="16" customHeight="1" x14ac:dyDescent="0.2">
      <c r="A81" s="298"/>
      <c r="B81" s="298"/>
      <c r="C81" s="298"/>
      <c r="D81" s="298"/>
      <c r="E81" s="298"/>
      <c r="F81" s="298"/>
      <c r="G81" s="298"/>
      <c r="H81" s="298"/>
      <c r="I81" s="298"/>
      <c r="J81" s="298"/>
      <c r="K81" s="298"/>
      <c r="L81" s="298"/>
      <c r="M81" s="298"/>
    </row>
    <row r="82" spans="1:13" ht="16" customHeight="1" x14ac:dyDescent="0.2">
      <c r="A82" s="298"/>
      <c r="B82" s="298"/>
      <c r="C82" s="298"/>
      <c r="D82" s="298"/>
      <c r="E82" s="298"/>
      <c r="F82" s="298"/>
      <c r="G82" s="298"/>
      <c r="H82" s="298"/>
      <c r="I82" s="298"/>
      <c r="J82" s="298"/>
      <c r="K82" s="298"/>
      <c r="L82" s="298"/>
      <c r="M82" s="298"/>
    </row>
    <row r="83" spans="1:13" ht="16" customHeight="1" x14ac:dyDescent="0.2">
      <c r="A83" s="298"/>
      <c r="B83" s="298"/>
      <c r="C83" s="298"/>
      <c r="D83" s="298"/>
      <c r="E83" s="298"/>
      <c r="F83" s="298"/>
      <c r="G83" s="298"/>
      <c r="H83" s="298"/>
      <c r="I83" s="298"/>
      <c r="J83" s="298"/>
      <c r="K83" s="298"/>
      <c r="L83" s="298"/>
      <c r="M83" s="298"/>
    </row>
    <row r="84" spans="1:13" ht="16" customHeight="1" x14ac:dyDescent="0.2">
      <c r="A84" s="298"/>
      <c r="B84" s="298"/>
      <c r="C84" s="298"/>
      <c r="D84" s="298"/>
      <c r="E84" s="298"/>
      <c r="F84" s="298"/>
      <c r="G84" s="298"/>
      <c r="H84" s="298"/>
      <c r="I84" s="298"/>
      <c r="J84" s="298"/>
      <c r="K84" s="298"/>
      <c r="L84" s="298"/>
      <c r="M84" s="298"/>
    </row>
    <row r="85" spans="1:13" ht="16" customHeight="1" x14ac:dyDescent="0.2">
      <c r="A85" s="298"/>
      <c r="B85" s="298"/>
      <c r="C85" s="298"/>
      <c r="D85" s="298"/>
      <c r="E85" s="298"/>
      <c r="F85" s="298"/>
      <c r="G85" s="298"/>
      <c r="H85" s="298"/>
      <c r="I85" s="298"/>
      <c r="J85" s="298"/>
      <c r="K85" s="298"/>
      <c r="L85" s="298"/>
      <c r="M85" s="298"/>
    </row>
    <row r="86" spans="1:13" ht="16" customHeight="1" x14ac:dyDescent="0.2">
      <c r="A86" s="298"/>
      <c r="B86" s="298"/>
      <c r="C86" s="298"/>
      <c r="D86" s="298"/>
      <c r="E86" s="298"/>
      <c r="F86" s="298"/>
      <c r="G86" s="298"/>
      <c r="H86" s="298"/>
      <c r="I86" s="298"/>
      <c r="J86" s="298"/>
      <c r="K86" s="298"/>
      <c r="L86" s="298"/>
      <c r="M86" s="298"/>
    </row>
    <row r="87" spans="1:13" ht="16" customHeight="1" x14ac:dyDescent="0.2">
      <c r="A87" s="298"/>
      <c r="B87" s="298"/>
      <c r="C87" s="298"/>
      <c r="D87" s="298"/>
      <c r="E87" s="298"/>
      <c r="F87" s="298"/>
      <c r="G87" s="298"/>
      <c r="H87" s="298"/>
      <c r="I87" s="298"/>
      <c r="J87" s="298"/>
      <c r="K87" s="298"/>
      <c r="L87" s="298"/>
      <c r="M87" s="298"/>
    </row>
    <row r="88" spans="1:13" ht="16" customHeight="1" x14ac:dyDescent="0.2">
      <c r="A88" s="298"/>
      <c r="B88" s="298"/>
      <c r="C88" s="298"/>
      <c r="D88" s="298"/>
      <c r="E88" s="298"/>
      <c r="F88" s="298"/>
      <c r="G88" s="298"/>
      <c r="H88" s="298"/>
      <c r="I88" s="298"/>
      <c r="J88" s="298"/>
      <c r="K88" s="298"/>
      <c r="L88" s="298"/>
      <c r="M88" s="298"/>
    </row>
    <row r="89" spans="1:13" ht="16" customHeight="1" x14ac:dyDescent="0.2">
      <c r="A89" s="298"/>
      <c r="B89" s="298"/>
      <c r="C89" s="298"/>
      <c r="D89" s="298"/>
      <c r="E89" s="298"/>
      <c r="F89" s="298"/>
      <c r="G89" s="298"/>
      <c r="H89" s="298"/>
      <c r="I89" s="298"/>
      <c r="J89" s="298"/>
      <c r="K89" s="298"/>
      <c r="L89" s="298"/>
      <c r="M89" s="298"/>
    </row>
    <row r="90" spans="1:13" ht="16" customHeight="1" x14ac:dyDescent="0.2">
      <c r="A90" s="298"/>
      <c r="B90" s="298"/>
      <c r="C90" s="298"/>
      <c r="D90" s="298"/>
      <c r="E90" s="298"/>
      <c r="F90" s="298"/>
      <c r="G90" s="298"/>
      <c r="H90" s="298"/>
      <c r="I90" s="298"/>
      <c r="J90" s="298"/>
      <c r="K90" s="298"/>
      <c r="L90" s="298"/>
      <c r="M90" s="298"/>
    </row>
    <row r="91" spans="1:13" ht="16" customHeight="1" x14ac:dyDescent="0.2">
      <c r="A91" s="298"/>
      <c r="B91" s="298"/>
      <c r="C91" s="298"/>
      <c r="D91" s="298"/>
      <c r="E91" s="298"/>
      <c r="F91" s="298"/>
      <c r="G91" s="298"/>
      <c r="H91" s="298"/>
      <c r="I91" s="298"/>
      <c r="J91" s="298"/>
      <c r="K91" s="298"/>
      <c r="L91" s="298"/>
      <c r="M91" s="298"/>
    </row>
    <row r="92" spans="1:13" ht="16" customHeight="1" x14ac:dyDescent="0.2">
      <c r="A92" s="298"/>
      <c r="B92" s="298"/>
      <c r="C92" s="298"/>
      <c r="D92" s="298"/>
      <c r="E92" s="298"/>
      <c r="F92" s="298"/>
      <c r="G92" s="298"/>
      <c r="H92" s="298"/>
      <c r="I92" s="298"/>
      <c r="J92" s="298"/>
      <c r="K92" s="298"/>
      <c r="L92" s="298"/>
      <c r="M92" s="298"/>
    </row>
    <row r="93" spans="1:13" ht="16" customHeight="1" x14ac:dyDescent="0.2">
      <c r="A93" s="298"/>
      <c r="B93" s="298"/>
      <c r="C93" s="298"/>
      <c r="D93" s="298"/>
      <c r="E93" s="298"/>
      <c r="F93" s="298"/>
      <c r="G93" s="298"/>
      <c r="H93" s="298"/>
      <c r="I93" s="298"/>
      <c r="J93" s="298"/>
      <c r="K93" s="298"/>
      <c r="L93" s="298"/>
      <c r="M93" s="298"/>
    </row>
    <row r="94" spans="1:13" ht="16" customHeight="1" x14ac:dyDescent="0.2">
      <c r="A94" s="298"/>
      <c r="B94" s="298"/>
      <c r="C94" s="298"/>
      <c r="D94" s="298"/>
      <c r="E94" s="298"/>
      <c r="F94" s="298"/>
      <c r="G94" s="298"/>
      <c r="H94" s="298"/>
      <c r="I94" s="298"/>
      <c r="J94" s="298"/>
      <c r="K94" s="298"/>
      <c r="L94" s="298"/>
      <c r="M94" s="298"/>
    </row>
    <row r="95" spans="1:13" ht="16" customHeight="1" x14ac:dyDescent="0.2">
      <c r="A95" s="298"/>
      <c r="B95" s="298"/>
      <c r="C95" s="298"/>
      <c r="D95" s="298"/>
      <c r="E95" s="298"/>
      <c r="F95" s="298"/>
      <c r="G95" s="298"/>
      <c r="H95" s="298"/>
      <c r="I95" s="298"/>
      <c r="J95" s="298"/>
      <c r="K95" s="298"/>
      <c r="L95" s="298"/>
      <c r="M95" s="298"/>
    </row>
    <row r="96" spans="1:13" ht="16" customHeight="1" x14ac:dyDescent="0.2">
      <c r="A96" s="298"/>
      <c r="B96" s="298"/>
      <c r="C96" s="298"/>
      <c r="D96" s="298"/>
      <c r="E96" s="298"/>
      <c r="F96" s="298"/>
      <c r="G96" s="298"/>
      <c r="H96" s="298"/>
      <c r="I96" s="298"/>
      <c r="J96" s="298"/>
      <c r="K96" s="298"/>
      <c r="L96" s="298"/>
      <c r="M96" s="298"/>
    </row>
    <row r="97" spans="1:13" ht="16" customHeight="1" x14ac:dyDescent="0.2">
      <c r="A97" s="298"/>
      <c r="B97" s="298"/>
      <c r="C97" s="298"/>
      <c r="D97" s="298"/>
      <c r="E97" s="298"/>
      <c r="F97" s="298"/>
      <c r="G97" s="298"/>
      <c r="H97" s="298"/>
      <c r="I97" s="298"/>
      <c r="J97" s="298"/>
      <c r="K97" s="298"/>
      <c r="L97" s="298"/>
      <c r="M97" s="298"/>
    </row>
    <row r="98" spans="1:13" ht="16" customHeight="1" x14ac:dyDescent="0.2">
      <c r="A98" s="298"/>
      <c r="B98" s="298"/>
      <c r="C98" s="298"/>
      <c r="D98" s="298"/>
      <c r="E98" s="298"/>
      <c r="F98" s="298"/>
      <c r="G98" s="298"/>
      <c r="H98" s="298"/>
      <c r="I98" s="298"/>
      <c r="J98" s="298"/>
      <c r="K98" s="298"/>
      <c r="L98" s="298"/>
      <c r="M98" s="298"/>
    </row>
    <row r="99" spans="1:13" ht="16" customHeight="1" x14ac:dyDescent="0.2">
      <c r="A99" s="298"/>
      <c r="B99" s="298"/>
      <c r="C99" s="298"/>
      <c r="D99" s="298"/>
      <c r="E99" s="298"/>
      <c r="F99" s="298"/>
      <c r="G99" s="298"/>
      <c r="H99" s="298"/>
      <c r="I99" s="298"/>
      <c r="J99" s="298"/>
      <c r="K99" s="298"/>
      <c r="L99" s="298"/>
      <c r="M99" s="298"/>
    </row>
    <row r="100" spans="1:13" ht="16" customHeight="1" x14ac:dyDescent="0.2">
      <c r="A100" s="298"/>
      <c r="B100" s="298"/>
      <c r="C100" s="298"/>
      <c r="D100" s="298"/>
      <c r="E100" s="298"/>
      <c r="F100" s="298"/>
      <c r="G100" s="298"/>
      <c r="H100" s="298"/>
      <c r="I100" s="298"/>
      <c r="J100" s="298"/>
      <c r="K100" s="298"/>
      <c r="L100" s="298"/>
      <c r="M100" s="298"/>
    </row>
    <row r="101" spans="1:13" ht="16" customHeight="1" x14ac:dyDescent="0.2">
      <c r="A101" s="298"/>
      <c r="B101" s="298"/>
      <c r="C101" s="298"/>
      <c r="D101" s="298"/>
      <c r="E101" s="298"/>
      <c r="F101" s="298"/>
      <c r="G101" s="298"/>
      <c r="H101" s="298"/>
      <c r="I101" s="298"/>
      <c r="J101" s="298"/>
      <c r="K101" s="298"/>
      <c r="L101" s="298"/>
      <c r="M101" s="298"/>
    </row>
    <row r="102" spans="1:13" ht="16" customHeight="1" x14ac:dyDescent="0.2">
      <c r="A102" s="298"/>
      <c r="B102" s="298"/>
      <c r="C102" s="298"/>
      <c r="D102" s="298"/>
      <c r="E102" s="298"/>
      <c r="F102" s="298"/>
      <c r="G102" s="298"/>
      <c r="H102" s="298"/>
      <c r="I102" s="298"/>
      <c r="J102" s="298"/>
      <c r="K102" s="298"/>
      <c r="L102" s="298"/>
      <c r="M102" s="298"/>
    </row>
    <row r="103" spans="1:13" ht="16" customHeight="1" x14ac:dyDescent="0.2">
      <c r="A103" s="298"/>
      <c r="B103" s="298"/>
      <c r="C103" s="298"/>
      <c r="D103" s="298"/>
      <c r="E103" s="298"/>
      <c r="F103" s="298"/>
      <c r="G103" s="298"/>
      <c r="H103" s="298"/>
      <c r="I103" s="298"/>
      <c r="J103" s="298"/>
      <c r="K103" s="298"/>
      <c r="L103" s="298"/>
      <c r="M103" s="298"/>
    </row>
    <row r="104" spans="1:13" ht="16" customHeight="1" x14ac:dyDescent="0.2">
      <c r="A104" s="298"/>
      <c r="B104" s="298"/>
      <c r="C104" s="298"/>
      <c r="D104" s="298"/>
      <c r="E104" s="298"/>
      <c r="F104" s="298"/>
      <c r="G104" s="298"/>
      <c r="H104" s="298"/>
      <c r="I104" s="298"/>
      <c r="J104" s="298"/>
      <c r="K104" s="298"/>
      <c r="L104" s="298"/>
      <c r="M104" s="298"/>
    </row>
    <row r="105" spans="1:13" ht="16" customHeight="1" x14ac:dyDescent="0.2">
      <c r="A105" s="298"/>
      <c r="B105" s="298"/>
      <c r="C105" s="298"/>
      <c r="D105" s="298"/>
      <c r="E105" s="298"/>
      <c r="F105" s="298"/>
      <c r="G105" s="298"/>
      <c r="H105" s="298"/>
      <c r="I105" s="298"/>
      <c r="J105" s="298"/>
      <c r="K105" s="298"/>
      <c r="L105" s="298"/>
      <c r="M105" s="298"/>
    </row>
    <row r="106" spans="1:13" ht="16" customHeight="1" x14ac:dyDescent="0.2">
      <c r="A106" s="298"/>
      <c r="B106" s="298"/>
      <c r="C106" s="298"/>
      <c r="D106" s="298"/>
      <c r="E106" s="298"/>
      <c r="F106" s="298"/>
      <c r="G106" s="298"/>
      <c r="H106" s="298"/>
      <c r="I106" s="298"/>
      <c r="J106" s="298"/>
      <c r="K106" s="298"/>
      <c r="L106" s="298"/>
      <c r="M106" s="298"/>
    </row>
    <row r="107" spans="1:13" ht="16" customHeight="1" x14ac:dyDescent="0.2">
      <c r="A107" s="298"/>
      <c r="B107" s="298"/>
      <c r="C107" s="298"/>
      <c r="D107" s="298"/>
      <c r="E107" s="298"/>
      <c r="F107" s="298"/>
      <c r="G107" s="298"/>
      <c r="H107" s="298"/>
      <c r="I107" s="298"/>
      <c r="J107" s="298"/>
      <c r="K107" s="298"/>
      <c r="L107" s="298"/>
      <c r="M107" s="298"/>
    </row>
    <row r="108" spans="1:13" ht="16" customHeight="1" x14ac:dyDescent="0.2">
      <c r="A108" s="298"/>
      <c r="B108" s="298"/>
      <c r="C108" s="298"/>
      <c r="D108" s="298"/>
      <c r="E108" s="298"/>
      <c r="F108" s="298"/>
      <c r="G108" s="298"/>
      <c r="H108" s="298"/>
      <c r="I108" s="298"/>
      <c r="J108" s="298"/>
      <c r="K108" s="298"/>
      <c r="L108" s="298"/>
      <c r="M108" s="298"/>
    </row>
    <row r="109" spans="1:13" ht="16" customHeight="1" x14ac:dyDescent="0.2">
      <c r="A109" s="298"/>
      <c r="B109" s="298"/>
      <c r="C109" s="298"/>
      <c r="D109" s="298"/>
      <c r="E109" s="298"/>
      <c r="F109" s="298"/>
      <c r="G109" s="298"/>
      <c r="H109" s="298"/>
      <c r="I109" s="298"/>
      <c r="J109" s="298"/>
      <c r="K109" s="298"/>
      <c r="L109" s="298"/>
      <c r="M109" s="298"/>
    </row>
    <row r="110" spans="1:13" ht="16" customHeight="1" x14ac:dyDescent="0.2">
      <c r="A110" s="298"/>
      <c r="B110" s="298"/>
      <c r="C110" s="298"/>
      <c r="D110" s="298"/>
      <c r="E110" s="298"/>
      <c r="F110" s="298"/>
      <c r="G110" s="298"/>
      <c r="H110" s="298"/>
      <c r="I110" s="298"/>
      <c r="J110" s="298"/>
      <c r="K110" s="298"/>
      <c r="L110" s="298"/>
      <c r="M110" s="298"/>
    </row>
    <row r="111" spans="1:13" ht="16" customHeight="1" x14ac:dyDescent="0.2">
      <c r="A111" s="298"/>
      <c r="B111" s="298"/>
      <c r="C111" s="298"/>
      <c r="D111" s="298"/>
      <c r="E111" s="298"/>
      <c r="F111" s="298"/>
      <c r="G111" s="298"/>
      <c r="H111" s="298"/>
      <c r="I111" s="298"/>
      <c r="J111" s="298"/>
      <c r="K111" s="298"/>
      <c r="L111" s="298"/>
      <c r="M111" s="298"/>
    </row>
    <row r="112" spans="1:13" ht="16" customHeight="1" x14ac:dyDescent="0.2">
      <c r="A112" s="298"/>
      <c r="B112" s="298"/>
      <c r="C112" s="298"/>
      <c r="D112" s="298"/>
      <c r="E112" s="298"/>
      <c r="F112" s="298"/>
      <c r="G112" s="298"/>
      <c r="H112" s="298"/>
      <c r="I112" s="298"/>
      <c r="J112" s="298"/>
      <c r="K112" s="298"/>
      <c r="L112" s="298"/>
      <c r="M112" s="298"/>
    </row>
    <row r="113" spans="1:13" ht="16" customHeight="1" x14ac:dyDescent="0.2">
      <c r="A113" s="298"/>
      <c r="B113" s="298"/>
      <c r="C113" s="298"/>
      <c r="D113" s="298"/>
      <c r="E113" s="298"/>
      <c r="F113" s="298"/>
      <c r="G113" s="298"/>
      <c r="H113" s="298"/>
      <c r="I113" s="298"/>
      <c r="J113" s="298"/>
      <c r="K113" s="298"/>
      <c r="L113" s="298"/>
      <c r="M113" s="298"/>
    </row>
    <row r="114" spans="1:13" ht="16" customHeight="1" x14ac:dyDescent="0.2">
      <c r="A114" s="298"/>
      <c r="B114" s="298"/>
      <c r="C114" s="298"/>
      <c r="D114" s="298"/>
      <c r="E114" s="298"/>
      <c r="F114" s="298"/>
      <c r="G114" s="298"/>
      <c r="H114" s="298"/>
      <c r="I114" s="298"/>
      <c r="J114" s="298"/>
      <c r="K114" s="298"/>
      <c r="L114" s="298"/>
      <c r="M114" s="298"/>
    </row>
    <row r="115" spans="1:13" ht="16" customHeight="1" x14ac:dyDescent="0.2">
      <c r="A115" s="298"/>
      <c r="B115" s="298"/>
      <c r="C115" s="298"/>
      <c r="D115" s="298"/>
      <c r="E115" s="298"/>
      <c r="F115" s="298"/>
      <c r="G115" s="298"/>
      <c r="H115" s="298"/>
      <c r="I115" s="298"/>
      <c r="J115" s="298"/>
      <c r="K115" s="298"/>
      <c r="L115" s="298"/>
      <c r="M115" s="298"/>
    </row>
    <row r="116" spans="1:13" ht="16" customHeight="1" x14ac:dyDescent="0.2">
      <c r="A116" s="298"/>
      <c r="B116" s="298"/>
      <c r="C116" s="298"/>
      <c r="D116" s="298"/>
      <c r="E116" s="298"/>
      <c r="F116" s="298"/>
      <c r="G116" s="298"/>
      <c r="H116" s="298"/>
      <c r="I116" s="298"/>
      <c r="J116" s="298"/>
      <c r="K116" s="298"/>
      <c r="L116" s="298"/>
      <c r="M116" s="298"/>
    </row>
    <row r="117" spans="1:13" ht="16" customHeight="1" x14ac:dyDescent="0.2">
      <c r="A117" s="298"/>
      <c r="B117" s="298"/>
      <c r="C117" s="298"/>
      <c r="D117" s="298"/>
      <c r="E117" s="298"/>
      <c r="F117" s="298"/>
      <c r="G117" s="298"/>
      <c r="H117" s="298"/>
      <c r="I117" s="298"/>
      <c r="J117" s="298"/>
      <c r="K117" s="298"/>
      <c r="L117" s="298"/>
      <c r="M117" s="298"/>
    </row>
    <row r="118" spans="1:13" ht="16" customHeight="1" x14ac:dyDescent="0.2">
      <c r="A118" s="298"/>
      <c r="B118" s="298"/>
      <c r="C118" s="298"/>
      <c r="D118" s="298"/>
      <c r="E118" s="298"/>
      <c r="F118" s="298"/>
      <c r="G118" s="298"/>
      <c r="H118" s="298"/>
      <c r="I118" s="298"/>
      <c r="J118" s="298"/>
      <c r="K118" s="298"/>
      <c r="L118" s="298"/>
      <c r="M118" s="298"/>
    </row>
    <row r="119" spans="1:13" ht="16" customHeight="1" x14ac:dyDescent="0.2">
      <c r="A119" s="298"/>
      <c r="B119" s="298"/>
      <c r="C119" s="298"/>
      <c r="D119" s="298"/>
      <c r="E119" s="298"/>
      <c r="F119" s="298"/>
      <c r="G119" s="298"/>
      <c r="H119" s="298"/>
      <c r="I119" s="298"/>
      <c r="J119" s="298"/>
      <c r="K119" s="298"/>
      <c r="L119" s="298"/>
      <c r="M119" s="298"/>
    </row>
    <row r="120" spans="1:13" ht="16" customHeight="1" x14ac:dyDescent="0.2">
      <c r="A120" s="298"/>
      <c r="B120" s="298"/>
      <c r="C120" s="298"/>
      <c r="D120" s="298"/>
      <c r="E120" s="298"/>
      <c r="F120" s="298"/>
      <c r="G120" s="298"/>
      <c r="H120" s="298"/>
      <c r="I120" s="298"/>
      <c r="J120" s="298"/>
      <c r="K120" s="298"/>
      <c r="L120" s="298"/>
      <c r="M120" s="298"/>
    </row>
    <row r="121" spans="1:13" ht="16" customHeight="1" x14ac:dyDescent="0.2">
      <c r="A121" s="298"/>
      <c r="B121" s="298"/>
      <c r="C121" s="298"/>
      <c r="D121" s="298"/>
      <c r="E121" s="298"/>
      <c r="F121" s="298"/>
      <c r="G121" s="298"/>
      <c r="H121" s="298"/>
      <c r="I121" s="298"/>
      <c r="J121" s="298"/>
      <c r="K121" s="298"/>
      <c r="L121" s="298"/>
      <c r="M121" s="298"/>
    </row>
    <row r="122" spans="1:13" ht="16" customHeight="1" x14ac:dyDescent="0.2">
      <c r="A122" s="298"/>
      <c r="B122" s="298"/>
      <c r="C122" s="298"/>
      <c r="D122" s="298"/>
      <c r="E122" s="298"/>
      <c r="F122" s="298"/>
      <c r="G122" s="298"/>
      <c r="H122" s="298"/>
      <c r="I122" s="298"/>
      <c r="J122" s="298"/>
      <c r="K122" s="298"/>
      <c r="L122" s="298"/>
      <c r="M122" s="298"/>
    </row>
    <row r="123" spans="1:13" ht="16" customHeight="1" x14ac:dyDescent="0.2">
      <c r="A123" s="298"/>
      <c r="B123" s="298"/>
      <c r="C123" s="298"/>
      <c r="D123" s="298"/>
      <c r="E123" s="298"/>
      <c r="F123" s="298"/>
      <c r="G123" s="298"/>
      <c r="H123" s="298"/>
      <c r="I123" s="298"/>
      <c r="J123" s="298"/>
      <c r="K123" s="298"/>
      <c r="L123" s="298"/>
      <c r="M123" s="298"/>
    </row>
    <row r="124" spans="1:13" ht="16" customHeight="1" x14ac:dyDescent="0.2">
      <c r="A124" s="298"/>
      <c r="B124" s="298"/>
      <c r="C124" s="298"/>
      <c r="D124" s="298"/>
      <c r="E124" s="298"/>
      <c r="F124" s="298"/>
      <c r="G124" s="298"/>
      <c r="H124" s="298"/>
      <c r="I124" s="298"/>
      <c r="J124" s="298"/>
      <c r="K124" s="298"/>
      <c r="L124" s="298"/>
      <c r="M124" s="298"/>
    </row>
    <row r="125" spans="1:13" ht="16" customHeight="1" x14ac:dyDescent="0.2">
      <c r="A125" s="298"/>
      <c r="B125" s="298"/>
      <c r="C125" s="298"/>
      <c r="D125" s="298"/>
      <c r="E125" s="298"/>
      <c r="F125" s="298"/>
      <c r="G125" s="298"/>
      <c r="H125" s="298"/>
      <c r="I125" s="298"/>
      <c r="J125" s="298"/>
      <c r="K125" s="298"/>
      <c r="L125" s="298"/>
      <c r="M125" s="298"/>
    </row>
    <row r="126" spans="1:13" ht="16" customHeight="1" x14ac:dyDescent="0.2">
      <c r="A126" s="298"/>
      <c r="B126" s="298"/>
      <c r="C126" s="298"/>
      <c r="D126" s="298"/>
      <c r="E126" s="298"/>
      <c r="F126" s="298"/>
      <c r="G126" s="298"/>
      <c r="H126" s="298"/>
      <c r="I126" s="298"/>
      <c r="J126" s="298"/>
      <c r="K126" s="298"/>
      <c r="L126" s="298"/>
      <c r="M126" s="298"/>
    </row>
    <row r="127" spans="1:13" ht="16" customHeight="1" x14ac:dyDescent="0.2">
      <c r="A127" s="298"/>
      <c r="B127" s="298"/>
      <c r="C127" s="298"/>
      <c r="D127" s="298"/>
      <c r="E127" s="298"/>
      <c r="F127" s="298"/>
      <c r="G127" s="298"/>
      <c r="H127" s="298"/>
      <c r="I127" s="298"/>
      <c r="J127" s="298"/>
      <c r="K127" s="298"/>
      <c r="L127" s="298"/>
      <c r="M127" s="298"/>
    </row>
    <row r="128" spans="1:13" ht="16" customHeight="1" x14ac:dyDescent="0.2">
      <c r="A128" s="298"/>
      <c r="B128" s="298"/>
      <c r="C128" s="298"/>
      <c r="D128" s="298"/>
      <c r="E128" s="298"/>
      <c r="F128" s="298"/>
      <c r="G128" s="298"/>
      <c r="H128" s="298"/>
      <c r="I128" s="298"/>
      <c r="J128" s="298"/>
      <c r="K128" s="298"/>
      <c r="L128" s="298"/>
      <c r="M128" s="298"/>
    </row>
    <row r="129" spans="1:13" ht="16" customHeight="1" x14ac:dyDescent="0.2">
      <c r="A129" s="298"/>
      <c r="B129" s="298"/>
      <c r="C129" s="298"/>
      <c r="D129" s="298"/>
      <c r="E129" s="298"/>
      <c r="F129" s="298"/>
      <c r="G129" s="298"/>
      <c r="H129" s="298"/>
      <c r="I129" s="298"/>
      <c r="J129" s="298"/>
      <c r="K129" s="298"/>
      <c r="L129" s="298"/>
      <c r="M129" s="298"/>
    </row>
    <row r="130" spans="1:13" ht="16" customHeight="1" x14ac:dyDescent="0.2">
      <c r="A130" s="298"/>
      <c r="B130" s="298"/>
      <c r="C130" s="298"/>
      <c r="D130" s="298"/>
      <c r="E130" s="298"/>
      <c r="F130" s="298"/>
      <c r="G130" s="298"/>
      <c r="H130" s="298"/>
      <c r="I130" s="298"/>
      <c r="J130" s="298"/>
      <c r="K130" s="298"/>
      <c r="L130" s="298"/>
      <c r="M130" s="298"/>
    </row>
    <row r="131" spans="1:13" ht="16" customHeight="1" x14ac:dyDescent="0.2">
      <c r="A131" s="298"/>
      <c r="B131" s="298"/>
      <c r="C131" s="298"/>
      <c r="D131" s="298"/>
      <c r="E131" s="298"/>
      <c r="F131" s="298"/>
      <c r="G131" s="298"/>
      <c r="H131" s="298"/>
      <c r="I131" s="298"/>
      <c r="J131" s="298"/>
      <c r="K131" s="298"/>
      <c r="L131" s="298"/>
      <c r="M131" s="298"/>
    </row>
    <row r="132" spans="1:13" ht="16" customHeight="1" x14ac:dyDescent="0.2">
      <c r="A132" s="298"/>
      <c r="B132" s="298"/>
      <c r="C132" s="298"/>
      <c r="D132" s="298"/>
      <c r="E132" s="298"/>
      <c r="F132" s="298"/>
      <c r="G132" s="298"/>
      <c r="H132" s="298"/>
      <c r="I132" s="298"/>
      <c r="J132" s="298"/>
      <c r="K132" s="298"/>
      <c r="L132" s="298"/>
      <c r="M132" s="298"/>
    </row>
    <row r="133" spans="1:13" ht="16" customHeight="1" x14ac:dyDescent="0.2">
      <c r="A133" s="298"/>
      <c r="B133" s="298"/>
      <c r="C133" s="298"/>
      <c r="D133" s="298"/>
      <c r="E133" s="298"/>
      <c r="F133" s="298"/>
      <c r="G133" s="298"/>
      <c r="H133" s="298"/>
      <c r="I133" s="298"/>
      <c r="J133" s="298"/>
      <c r="K133" s="298"/>
      <c r="L133" s="298"/>
      <c r="M133" s="298"/>
    </row>
    <row r="134" spans="1:13" ht="16" customHeight="1" x14ac:dyDescent="0.2">
      <c r="A134" s="298"/>
      <c r="B134" s="298"/>
      <c r="C134" s="298"/>
      <c r="D134" s="298"/>
      <c r="E134" s="298"/>
      <c r="F134" s="298"/>
      <c r="G134" s="298"/>
      <c r="H134" s="298"/>
      <c r="I134" s="298"/>
      <c r="J134" s="298"/>
      <c r="K134" s="298"/>
      <c r="L134" s="298"/>
      <c r="M134" s="298"/>
    </row>
    <row r="135" spans="1:13" ht="16" customHeight="1" x14ac:dyDescent="0.2">
      <c r="A135" s="298"/>
      <c r="B135" s="298"/>
      <c r="C135" s="298"/>
      <c r="D135" s="298"/>
      <c r="E135" s="298"/>
      <c r="F135" s="298"/>
      <c r="G135" s="298"/>
      <c r="H135" s="298"/>
      <c r="I135" s="298"/>
      <c r="J135" s="298"/>
      <c r="K135" s="298"/>
      <c r="L135" s="298"/>
      <c r="M135" s="298"/>
    </row>
    <row r="136" spans="1:13" ht="16" customHeight="1" x14ac:dyDescent="0.2">
      <c r="A136" s="298"/>
      <c r="B136" s="298"/>
      <c r="C136" s="298"/>
      <c r="D136" s="298"/>
      <c r="E136" s="298"/>
      <c r="F136" s="298"/>
      <c r="G136" s="298"/>
      <c r="H136" s="298"/>
      <c r="I136" s="298"/>
      <c r="J136" s="298"/>
      <c r="K136" s="298"/>
      <c r="L136" s="298"/>
      <c r="M136" s="298"/>
    </row>
    <row r="137" spans="1:13" ht="16" customHeight="1" x14ac:dyDescent="0.2">
      <c r="A137" s="298"/>
      <c r="B137" s="298"/>
      <c r="C137" s="298"/>
      <c r="D137" s="298"/>
      <c r="E137" s="298"/>
      <c r="F137" s="298"/>
      <c r="G137" s="298"/>
      <c r="H137" s="298"/>
      <c r="I137" s="298"/>
      <c r="J137" s="298"/>
      <c r="K137" s="298"/>
      <c r="L137" s="298"/>
      <c r="M137" s="298"/>
    </row>
  </sheetData>
  <mergeCells count="10">
    <mergeCell ref="B59:K59"/>
    <mergeCell ref="B3:K3"/>
    <mergeCell ref="B60:K60"/>
    <mergeCell ref="B24:K24"/>
    <mergeCell ref="B2:K2"/>
    <mergeCell ref="B33:K33"/>
    <mergeCell ref="B6:D6"/>
    <mergeCell ref="E6:G6"/>
    <mergeCell ref="B5:K5"/>
    <mergeCell ref="B15:M15"/>
  </mergeCell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8A020"/>
  </sheetPr>
  <dimension ref="A1:H33"/>
  <sheetViews>
    <sheetView showGridLines="0" zoomScale="125" zoomScaleNormal="100" workbookViewId="0">
      <pane xSplit="1" ySplit="5" topLeftCell="B6" activePane="bottomRight" state="frozen"/>
      <selection pane="topRight" activeCell="B1" sqref="B1"/>
      <selection pane="bottomLeft" activeCell="A6" sqref="A6"/>
      <selection pane="bottomRight" activeCell="E15" sqref="E15"/>
    </sheetView>
  </sheetViews>
  <sheetFormatPr baseColWidth="10" defaultColWidth="8.6640625" defaultRowHeight="15" x14ac:dyDescent="0.2"/>
  <cols>
    <col min="1" max="1" width="30.1640625" bestFit="1" customWidth="1"/>
    <col min="2" max="2" width="24" customWidth="1"/>
    <col min="3" max="3" width="14" customWidth="1"/>
    <col min="4" max="4" width="22" customWidth="1"/>
    <col min="5" max="5" width="20" customWidth="1"/>
    <col min="6" max="6" width="14" customWidth="1"/>
    <col min="7" max="7" width="20" customWidth="1"/>
    <col min="8" max="8" width="30" customWidth="1"/>
  </cols>
  <sheetData>
    <row r="1" spans="1:8" ht="48" customHeight="1" x14ac:dyDescent="0.2">
      <c r="A1" s="660" t="s">
        <v>631</v>
      </c>
      <c r="B1" s="644"/>
      <c r="C1" s="644"/>
      <c r="D1" s="644"/>
      <c r="E1" s="644"/>
      <c r="F1" s="644"/>
      <c r="G1" s="644"/>
      <c r="H1" s="644"/>
    </row>
    <row r="2" spans="1:8" ht="19.5" customHeight="1" x14ac:dyDescent="0.2">
      <c r="A2" s="657" t="s">
        <v>632</v>
      </c>
      <c r="B2" s="644"/>
      <c r="C2" s="644"/>
      <c r="D2" s="644"/>
      <c r="E2" s="644"/>
      <c r="F2" s="644"/>
      <c r="G2" s="644"/>
      <c r="H2" s="644"/>
    </row>
    <row r="4" spans="1:8" ht="21.75" customHeight="1" x14ac:dyDescent="0.2">
      <c r="A4" s="679" t="s">
        <v>633</v>
      </c>
      <c r="B4" s="644"/>
      <c r="C4" s="644"/>
      <c r="D4" s="644"/>
      <c r="E4" s="644"/>
      <c r="F4" s="644"/>
      <c r="G4" s="644"/>
      <c r="H4" s="644"/>
    </row>
    <row r="5" spans="1:8" ht="30" customHeight="1" x14ac:dyDescent="0.2">
      <c r="A5" s="21" t="s">
        <v>131</v>
      </c>
      <c r="B5" s="21" t="s">
        <v>634</v>
      </c>
      <c r="C5" s="21" t="s">
        <v>635</v>
      </c>
      <c r="D5" s="21" t="s">
        <v>636</v>
      </c>
      <c r="E5" s="21" t="s">
        <v>637</v>
      </c>
      <c r="F5" s="21" t="s">
        <v>478</v>
      </c>
      <c r="G5" s="21" t="s">
        <v>638</v>
      </c>
      <c r="H5" s="21" t="s">
        <v>639</v>
      </c>
    </row>
    <row r="6" spans="1:8" ht="30" customHeight="1" x14ac:dyDescent="0.2">
      <c r="A6" s="156">
        <v>1</v>
      </c>
      <c r="B6" s="157" t="s">
        <v>640</v>
      </c>
      <c r="C6" s="157" t="s">
        <v>137</v>
      </c>
      <c r="D6" s="158" t="s">
        <v>641</v>
      </c>
      <c r="E6" s="157" t="s">
        <v>642</v>
      </c>
      <c r="F6" s="158" t="s">
        <v>643</v>
      </c>
      <c r="G6" s="158" t="s">
        <v>644</v>
      </c>
      <c r="H6" s="158" t="s">
        <v>645</v>
      </c>
    </row>
    <row r="7" spans="1:8" ht="30" customHeight="1" x14ac:dyDescent="0.2">
      <c r="A7" s="156">
        <v>2</v>
      </c>
      <c r="B7" s="159" t="s">
        <v>640</v>
      </c>
      <c r="C7" s="159" t="s">
        <v>646</v>
      </c>
      <c r="D7" s="160" t="s">
        <v>647</v>
      </c>
      <c r="E7" s="159" t="s">
        <v>648</v>
      </c>
      <c r="F7" s="160" t="s">
        <v>643</v>
      </c>
      <c r="G7" s="160" t="s">
        <v>644</v>
      </c>
      <c r="H7" s="160" t="s">
        <v>649</v>
      </c>
    </row>
    <row r="8" spans="1:8" ht="30" customHeight="1" x14ac:dyDescent="0.2">
      <c r="A8" s="156">
        <v>3</v>
      </c>
      <c r="B8" s="157" t="s">
        <v>650</v>
      </c>
      <c r="C8" s="157" t="s">
        <v>651</v>
      </c>
      <c r="D8" s="158" t="s">
        <v>652</v>
      </c>
      <c r="E8" s="157" t="s">
        <v>648</v>
      </c>
      <c r="F8" s="158" t="s">
        <v>164</v>
      </c>
      <c r="G8" s="158" t="s">
        <v>644</v>
      </c>
      <c r="H8" s="158" t="s">
        <v>653</v>
      </c>
    </row>
    <row r="9" spans="1:8" ht="30" customHeight="1" x14ac:dyDescent="0.2">
      <c r="A9" s="156">
        <v>4</v>
      </c>
      <c r="B9" s="159" t="s">
        <v>654</v>
      </c>
      <c r="C9" s="159" t="s">
        <v>655</v>
      </c>
      <c r="D9" s="160" t="s">
        <v>656</v>
      </c>
      <c r="E9" s="159" t="s">
        <v>657</v>
      </c>
      <c r="F9" s="160" t="s">
        <v>658</v>
      </c>
      <c r="G9" s="160" t="s">
        <v>659</v>
      </c>
      <c r="H9" s="160" t="s">
        <v>660</v>
      </c>
    </row>
    <row r="10" spans="1:8" ht="30" customHeight="1" x14ac:dyDescent="0.2">
      <c r="A10" s="156">
        <v>5</v>
      </c>
      <c r="B10" s="157" t="s">
        <v>661</v>
      </c>
      <c r="C10" s="157" t="s">
        <v>662</v>
      </c>
      <c r="D10" s="166" t="s">
        <v>663</v>
      </c>
      <c r="E10" s="157" t="s">
        <v>664</v>
      </c>
      <c r="F10" s="166" t="s">
        <v>665</v>
      </c>
      <c r="G10" s="166" t="s">
        <v>666</v>
      </c>
      <c r="H10" s="166" t="s">
        <v>667</v>
      </c>
    </row>
    <row r="11" spans="1:8" ht="30" customHeight="1" x14ac:dyDescent="0.2">
      <c r="A11" s="156">
        <v>6</v>
      </c>
      <c r="B11" s="159" t="s">
        <v>668</v>
      </c>
      <c r="C11" s="159" t="s">
        <v>669</v>
      </c>
      <c r="D11" s="166" t="s">
        <v>663</v>
      </c>
      <c r="E11" s="159" t="s">
        <v>664</v>
      </c>
      <c r="F11" s="166" t="s">
        <v>464</v>
      </c>
      <c r="G11" s="166" t="s">
        <v>666</v>
      </c>
      <c r="H11" s="160" t="s">
        <v>670</v>
      </c>
    </row>
    <row r="12" spans="1:8" ht="30" customHeight="1" x14ac:dyDescent="0.2">
      <c r="A12" s="156">
        <v>7</v>
      </c>
      <c r="B12" s="157" t="s">
        <v>671</v>
      </c>
      <c r="C12" s="157" t="s">
        <v>672</v>
      </c>
      <c r="D12" s="166" t="s">
        <v>673</v>
      </c>
      <c r="E12" s="157" t="s">
        <v>674</v>
      </c>
      <c r="F12" s="158" t="s">
        <v>425</v>
      </c>
      <c r="G12" s="158" t="s">
        <v>675</v>
      </c>
      <c r="H12" s="158" t="s">
        <v>676</v>
      </c>
    </row>
    <row r="13" spans="1:8" ht="30" customHeight="1" x14ac:dyDescent="0.2">
      <c r="A13" s="156">
        <v>8</v>
      </c>
      <c r="B13" s="159" t="s">
        <v>677</v>
      </c>
      <c r="C13" s="159" t="s">
        <v>678</v>
      </c>
      <c r="D13" s="160" t="s">
        <v>679</v>
      </c>
      <c r="E13" s="159" t="s">
        <v>560</v>
      </c>
      <c r="F13" s="160" t="s">
        <v>680</v>
      </c>
      <c r="G13" s="166" t="s">
        <v>666</v>
      </c>
      <c r="H13" s="160" t="s">
        <v>681</v>
      </c>
    </row>
    <row r="14" spans="1:8" ht="30" customHeight="1" x14ac:dyDescent="0.2">
      <c r="A14" s="156">
        <v>9</v>
      </c>
      <c r="B14" s="157" t="s">
        <v>682</v>
      </c>
      <c r="C14" s="157" t="s">
        <v>683</v>
      </c>
      <c r="D14" s="158" t="s">
        <v>684</v>
      </c>
      <c r="E14" s="157" t="s">
        <v>685</v>
      </c>
      <c r="F14" s="158" t="s">
        <v>164</v>
      </c>
      <c r="G14" s="158" t="s">
        <v>644</v>
      </c>
      <c r="H14" s="158" t="s">
        <v>686</v>
      </c>
    </row>
    <row r="15" spans="1:8" ht="25.5" customHeight="1" x14ac:dyDescent="0.2">
      <c r="A15" s="161">
        <v>10</v>
      </c>
      <c r="B15" s="14" t="s">
        <v>687</v>
      </c>
      <c r="C15" s="14" t="s">
        <v>687</v>
      </c>
      <c r="D15" s="14" t="s">
        <v>687</v>
      </c>
      <c r="E15" s="14" t="s">
        <v>687</v>
      </c>
      <c r="F15" s="14" t="s">
        <v>687</v>
      </c>
      <c r="G15" s="14" t="s">
        <v>687</v>
      </c>
      <c r="H15" s="14" t="s">
        <v>687</v>
      </c>
    </row>
    <row r="16" spans="1:8" ht="25.5" customHeight="1" x14ac:dyDescent="0.2">
      <c r="A16" s="161">
        <v>11</v>
      </c>
      <c r="B16" s="14" t="s">
        <v>687</v>
      </c>
      <c r="C16" s="14" t="s">
        <v>687</v>
      </c>
      <c r="D16" s="14" t="s">
        <v>687</v>
      </c>
      <c r="E16" s="14" t="s">
        <v>687</v>
      </c>
      <c r="F16" s="14" t="s">
        <v>687</v>
      </c>
      <c r="G16" s="14" t="s">
        <v>687</v>
      </c>
      <c r="H16" s="14" t="s">
        <v>687</v>
      </c>
    </row>
    <row r="17" spans="1:8" ht="25.5" customHeight="1" x14ac:dyDescent="0.2">
      <c r="A17" s="161">
        <v>12</v>
      </c>
      <c r="B17" s="14" t="s">
        <v>687</v>
      </c>
      <c r="C17" s="14" t="s">
        <v>687</v>
      </c>
      <c r="D17" s="14" t="s">
        <v>687</v>
      </c>
      <c r="E17" s="14" t="s">
        <v>687</v>
      </c>
      <c r="F17" s="14" t="s">
        <v>687</v>
      </c>
      <c r="G17" s="14" t="s">
        <v>687</v>
      </c>
      <c r="H17" s="14" t="s">
        <v>687</v>
      </c>
    </row>
    <row r="18" spans="1:8" ht="25.5" customHeight="1" x14ac:dyDescent="0.2">
      <c r="A18" s="161">
        <v>13</v>
      </c>
      <c r="B18" s="14" t="s">
        <v>687</v>
      </c>
      <c r="C18" s="14" t="s">
        <v>687</v>
      </c>
      <c r="D18" s="14" t="s">
        <v>687</v>
      </c>
      <c r="E18" s="14" t="s">
        <v>687</v>
      </c>
      <c r="F18" s="14" t="s">
        <v>687</v>
      </c>
      <c r="G18" s="14" t="s">
        <v>687</v>
      </c>
      <c r="H18" s="14" t="s">
        <v>687</v>
      </c>
    </row>
    <row r="19" spans="1:8" ht="25.5" customHeight="1" x14ac:dyDescent="0.2">
      <c r="A19" s="161">
        <v>14</v>
      </c>
      <c r="B19" s="14" t="s">
        <v>687</v>
      </c>
      <c r="C19" s="14" t="s">
        <v>687</v>
      </c>
      <c r="D19" s="14" t="s">
        <v>687</v>
      </c>
      <c r="E19" s="14" t="s">
        <v>687</v>
      </c>
      <c r="F19" s="14" t="s">
        <v>687</v>
      </c>
      <c r="G19" s="14" t="s">
        <v>687</v>
      </c>
      <c r="H19" s="14" t="s">
        <v>687</v>
      </c>
    </row>
    <row r="20" spans="1:8" ht="25.5" customHeight="1" x14ac:dyDescent="0.2">
      <c r="A20" s="161">
        <v>15</v>
      </c>
      <c r="B20" s="14" t="s">
        <v>687</v>
      </c>
      <c r="C20" s="14" t="s">
        <v>687</v>
      </c>
      <c r="D20" s="14" t="s">
        <v>687</v>
      </c>
      <c r="E20" s="14" t="s">
        <v>687</v>
      </c>
      <c r="F20" s="14" t="s">
        <v>687</v>
      </c>
      <c r="G20" s="14" t="s">
        <v>687</v>
      </c>
      <c r="H20" s="14" t="s">
        <v>687</v>
      </c>
    </row>
    <row r="21" spans="1:8" ht="25.5" customHeight="1" x14ac:dyDescent="0.2">
      <c r="A21" s="161">
        <v>16</v>
      </c>
      <c r="B21" s="14" t="s">
        <v>687</v>
      </c>
      <c r="C21" s="14" t="s">
        <v>687</v>
      </c>
      <c r="D21" s="14" t="s">
        <v>687</v>
      </c>
      <c r="E21" s="14" t="s">
        <v>687</v>
      </c>
      <c r="F21" s="14" t="s">
        <v>687</v>
      </c>
      <c r="G21" s="14" t="s">
        <v>687</v>
      </c>
      <c r="H21" s="14" t="s">
        <v>687</v>
      </c>
    </row>
    <row r="22" spans="1:8" ht="25.5" customHeight="1" x14ac:dyDescent="0.2">
      <c r="A22" s="161">
        <v>17</v>
      </c>
      <c r="B22" s="14" t="s">
        <v>687</v>
      </c>
      <c r="C22" s="14" t="s">
        <v>687</v>
      </c>
      <c r="D22" s="14" t="s">
        <v>687</v>
      </c>
      <c r="E22" s="14" t="s">
        <v>687</v>
      </c>
      <c r="F22" s="14" t="s">
        <v>687</v>
      </c>
      <c r="G22" s="14" t="s">
        <v>687</v>
      </c>
      <c r="H22" s="14" t="s">
        <v>687</v>
      </c>
    </row>
    <row r="25" spans="1:8" ht="21.75" customHeight="1" x14ac:dyDescent="0.2">
      <c r="A25" s="653" t="s">
        <v>688</v>
      </c>
      <c r="B25" s="644"/>
      <c r="C25" s="644"/>
      <c r="D25" s="644"/>
      <c r="E25" s="644"/>
      <c r="F25" s="644"/>
      <c r="G25" s="644"/>
      <c r="H25" s="644"/>
    </row>
    <row r="26" spans="1:8" ht="27.75" customHeight="1" x14ac:dyDescent="0.2">
      <c r="A26" s="165" t="s">
        <v>689</v>
      </c>
      <c r="B26" s="695" t="s">
        <v>690</v>
      </c>
      <c r="C26" s="642"/>
      <c r="D26" s="642"/>
      <c r="E26" s="659"/>
      <c r="F26" s="644"/>
      <c r="G26" s="644"/>
    </row>
    <row r="27" spans="1:8" ht="30" customHeight="1" x14ac:dyDescent="0.2">
      <c r="A27" s="133" t="s">
        <v>691</v>
      </c>
      <c r="B27" s="694" t="s">
        <v>692</v>
      </c>
      <c r="C27" s="642"/>
      <c r="D27" s="659"/>
      <c r="E27" s="644"/>
      <c r="F27" s="644"/>
    </row>
    <row r="28" spans="1:8" ht="30" customHeight="1" x14ac:dyDescent="0.2">
      <c r="A28" s="143" t="s">
        <v>693</v>
      </c>
      <c r="B28" s="694" t="s">
        <v>694</v>
      </c>
      <c r="C28" s="642"/>
      <c r="D28" s="659"/>
      <c r="E28" s="644"/>
      <c r="F28" s="644"/>
    </row>
    <row r="29" spans="1:8" ht="52.25" customHeight="1" x14ac:dyDescent="0.2">
      <c r="A29" s="133" t="s">
        <v>695</v>
      </c>
      <c r="B29" s="694" t="s">
        <v>696</v>
      </c>
      <c r="C29" s="642"/>
      <c r="D29" s="659"/>
      <c r="E29" s="644"/>
      <c r="F29" s="644"/>
    </row>
    <row r="30" spans="1:8" ht="30" customHeight="1" x14ac:dyDescent="0.2">
      <c r="A30" s="143" t="s">
        <v>697</v>
      </c>
      <c r="B30" s="694" t="s">
        <v>698</v>
      </c>
      <c r="C30" s="642"/>
      <c r="D30" s="659"/>
      <c r="E30" s="644"/>
      <c r="F30" s="644"/>
    </row>
    <row r="31" spans="1:8" ht="30" customHeight="1" x14ac:dyDescent="0.2">
      <c r="A31" s="133" t="s">
        <v>699</v>
      </c>
      <c r="B31" s="694" t="s">
        <v>700</v>
      </c>
      <c r="C31" s="642"/>
      <c r="D31" s="659"/>
      <c r="E31" s="644"/>
      <c r="F31" s="644"/>
    </row>
    <row r="32" spans="1:8" ht="30" customHeight="1" x14ac:dyDescent="0.2">
      <c r="A32" s="143" t="s">
        <v>701</v>
      </c>
      <c r="B32" s="694" t="s">
        <v>702</v>
      </c>
      <c r="C32" s="642"/>
      <c r="D32" s="659"/>
      <c r="E32" s="644"/>
      <c r="F32" s="644"/>
    </row>
    <row r="33" spans="1:6" ht="30" customHeight="1" x14ac:dyDescent="0.2">
      <c r="A33" s="133" t="s">
        <v>703</v>
      </c>
      <c r="B33" s="694" t="s">
        <v>704</v>
      </c>
      <c r="C33" s="642"/>
      <c r="D33" s="659"/>
      <c r="E33" s="644"/>
      <c r="F33" s="644"/>
    </row>
  </sheetData>
  <mergeCells count="20">
    <mergeCell ref="A1:H1"/>
    <mergeCell ref="B29:D29"/>
    <mergeCell ref="B28:D28"/>
    <mergeCell ref="B26:E26"/>
    <mergeCell ref="E29:F29"/>
    <mergeCell ref="A25:H25"/>
    <mergeCell ref="E28:F28"/>
    <mergeCell ref="F26:G26"/>
    <mergeCell ref="A2:H2"/>
    <mergeCell ref="E27:F27"/>
    <mergeCell ref="A4:H4"/>
    <mergeCell ref="B31:D31"/>
    <mergeCell ref="E32:F32"/>
    <mergeCell ref="B27:D27"/>
    <mergeCell ref="E33:F33"/>
    <mergeCell ref="B30:D30"/>
    <mergeCell ref="E31:F31"/>
    <mergeCell ref="B33:D33"/>
    <mergeCell ref="E30:F30"/>
    <mergeCell ref="B32:D3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T593"/>
  <sheetViews>
    <sheetView topLeftCell="A374" zoomScale="89" workbookViewId="0">
      <selection activeCell="D410" sqref="D410:F410"/>
    </sheetView>
  </sheetViews>
  <sheetFormatPr baseColWidth="10" defaultColWidth="10.6640625" defaultRowHeight="13" x14ac:dyDescent="0.15"/>
  <cols>
    <col min="1" max="1" width="3.33203125" style="178" customWidth="1"/>
    <col min="2" max="2" width="16.1640625" style="179" customWidth="1"/>
    <col min="3" max="3" width="35.1640625" style="178" customWidth="1"/>
    <col min="4" max="4" width="34.83203125" style="178" customWidth="1"/>
    <col min="5" max="5" width="23.5" style="178" customWidth="1"/>
    <col min="6" max="7" width="24" style="178" customWidth="1"/>
    <col min="8" max="9" width="24.5" style="178" customWidth="1"/>
    <col min="10" max="10" width="16.83203125" style="178" customWidth="1"/>
    <col min="11" max="11" width="24.83203125" style="178" customWidth="1"/>
    <col min="12" max="12" width="15.5" style="178" customWidth="1"/>
    <col min="13" max="13" width="13.1640625" style="178" customWidth="1"/>
    <col min="14" max="17" width="16.83203125" style="178" customWidth="1"/>
    <col min="18" max="18" width="17.1640625" style="178" customWidth="1"/>
    <col min="19" max="19" width="10.6640625" style="178" customWidth="1"/>
    <col min="20" max="16384" width="10.6640625" style="178"/>
  </cols>
  <sheetData>
    <row r="1" spans="2:19" ht="80.25" customHeight="1" x14ac:dyDescent="0.15">
      <c r="B1" s="447"/>
      <c r="C1" s="448"/>
      <c r="D1" s="448"/>
      <c r="E1" s="448"/>
      <c r="F1" s="448"/>
      <c r="G1" s="448"/>
      <c r="H1" s="448"/>
      <c r="I1" s="448"/>
      <c r="J1" s="448"/>
      <c r="K1" s="448"/>
      <c r="L1" s="448"/>
      <c r="M1" s="448"/>
      <c r="N1" s="448"/>
      <c r="O1" s="448"/>
      <c r="P1" s="448"/>
      <c r="Q1" s="448"/>
      <c r="R1" s="448"/>
      <c r="S1" s="448"/>
    </row>
    <row r="2" spans="2:19" ht="21" customHeight="1" x14ac:dyDescent="0.2">
      <c r="B2" s="711" t="s">
        <v>705</v>
      </c>
      <c r="C2" s="709"/>
      <c r="D2" s="709"/>
      <c r="E2" s="709"/>
      <c r="F2" s="709"/>
      <c r="G2" s="709"/>
      <c r="H2" s="709"/>
      <c r="I2" s="709"/>
      <c r="J2" s="709"/>
      <c r="K2" s="709"/>
      <c r="L2" s="710"/>
      <c r="M2" s="448"/>
      <c r="N2" s="448"/>
      <c r="O2" s="448"/>
      <c r="P2" s="448"/>
      <c r="Q2" s="448"/>
      <c r="R2" s="448"/>
      <c r="S2" s="448"/>
    </row>
    <row r="3" spans="2:19" x14ac:dyDescent="0.15">
      <c r="B3" s="447"/>
      <c r="C3" s="448"/>
      <c r="D3" s="448"/>
      <c r="E3" s="180"/>
      <c r="F3" s="181" t="s">
        <v>706</v>
      </c>
      <c r="G3" s="181"/>
      <c r="H3" s="448"/>
      <c r="I3" s="448"/>
      <c r="J3" s="448"/>
      <c r="K3" s="448"/>
      <c r="L3" s="448"/>
      <c r="M3" s="448"/>
      <c r="N3" s="448"/>
      <c r="O3" s="448"/>
      <c r="P3" s="448"/>
      <c r="Q3" s="448"/>
      <c r="R3" s="448"/>
      <c r="S3" s="448"/>
    </row>
    <row r="4" spans="2:19" ht="17.5" customHeight="1" x14ac:dyDescent="0.15">
      <c r="B4" s="447"/>
      <c r="C4" s="182" t="s">
        <v>707</v>
      </c>
      <c r="D4" s="448"/>
      <c r="E4" s="448"/>
      <c r="F4" s="448"/>
      <c r="G4" s="183"/>
      <c r="H4" s="448"/>
      <c r="I4" s="448"/>
      <c r="J4" s="448"/>
      <c r="K4" s="448"/>
      <c r="L4" s="448"/>
      <c r="M4" s="448"/>
      <c r="N4" s="448"/>
      <c r="O4" s="448"/>
      <c r="P4" s="448"/>
      <c r="Q4" s="448"/>
      <c r="R4" s="448"/>
      <c r="S4" s="448"/>
    </row>
    <row r="5" spans="2:19" ht="36.75" customHeight="1" x14ac:dyDescent="0.15">
      <c r="B5" s="447"/>
      <c r="C5" s="718" t="s">
        <v>708</v>
      </c>
      <c r="D5" s="699"/>
      <c r="E5" s="699"/>
      <c r="F5" s="699"/>
      <c r="G5" s="699"/>
      <c r="H5" s="699"/>
      <c r="I5" s="699"/>
      <c r="J5" s="699"/>
      <c r="K5" s="699"/>
      <c r="L5" s="699"/>
      <c r="M5" s="448"/>
      <c r="N5" s="448"/>
      <c r="O5" s="448"/>
      <c r="P5" s="448"/>
      <c r="Q5" s="448"/>
      <c r="R5" s="448"/>
      <c r="S5" s="448"/>
    </row>
    <row r="6" spans="2:19" ht="13.75" customHeight="1" thickBot="1" x14ac:dyDescent="0.2">
      <c r="B6" s="447"/>
      <c r="C6" s="180"/>
      <c r="D6" s="449"/>
      <c r="E6" s="449"/>
      <c r="F6" s="449"/>
      <c r="G6" s="449"/>
      <c r="H6" s="449"/>
      <c r="I6" s="449"/>
      <c r="J6" s="449"/>
      <c r="K6" s="449"/>
      <c r="L6" s="449"/>
      <c r="M6" s="448"/>
      <c r="N6" s="448"/>
      <c r="O6" s="448"/>
      <c r="P6" s="448"/>
      <c r="Q6" s="448"/>
      <c r="R6" s="448"/>
      <c r="S6" s="448"/>
    </row>
    <row r="7" spans="2:19" ht="13.75" customHeight="1" thickBot="1" x14ac:dyDescent="0.2">
      <c r="B7" s="447"/>
      <c r="C7" s="184" t="s">
        <v>105</v>
      </c>
      <c r="D7" s="185" t="s">
        <v>709</v>
      </c>
      <c r="E7" s="449"/>
      <c r="F7" s="449"/>
      <c r="G7" s="186"/>
      <c r="H7" s="449"/>
      <c r="I7" s="449"/>
      <c r="J7" s="449"/>
      <c r="K7" s="449"/>
      <c r="L7" s="448"/>
      <c r="M7" s="448"/>
      <c r="N7" s="448"/>
      <c r="O7" s="448"/>
      <c r="P7" s="448"/>
      <c r="Q7" s="448"/>
      <c r="R7" s="448"/>
      <c r="S7" s="448"/>
    </row>
    <row r="8" spans="2:19" ht="15.5" customHeight="1" x14ac:dyDescent="0.15">
      <c r="B8" s="447"/>
      <c r="C8" s="450" t="s">
        <v>710</v>
      </c>
      <c r="D8" s="451">
        <v>28</v>
      </c>
      <c r="E8" s="180"/>
      <c r="F8" s="180"/>
      <c r="G8" s="448"/>
      <c r="H8" s="448"/>
      <c r="I8" s="448"/>
      <c r="J8" s="448"/>
      <c r="K8" s="448"/>
      <c r="L8" s="448"/>
      <c r="M8" s="448"/>
      <c r="N8" s="448"/>
      <c r="O8" s="187"/>
      <c r="P8" s="448"/>
      <c r="Q8" s="448"/>
      <c r="R8" s="448"/>
      <c r="S8" s="448"/>
    </row>
    <row r="9" spans="2:19" ht="16.25" customHeight="1" thickBot="1" x14ac:dyDescent="0.2">
      <c r="B9" s="447"/>
      <c r="C9" s="452" t="s">
        <v>711</v>
      </c>
      <c r="D9" s="453">
        <v>265</v>
      </c>
      <c r="E9" s="448"/>
      <c r="F9" s="448"/>
      <c r="G9" s="448"/>
      <c r="H9" s="448"/>
      <c r="I9" s="448"/>
      <c r="J9" s="448"/>
      <c r="K9" s="448"/>
      <c r="L9" s="448"/>
      <c r="M9" s="448"/>
      <c r="N9" s="188"/>
      <c r="O9" s="188"/>
      <c r="P9" s="448"/>
      <c r="Q9" s="448"/>
      <c r="R9" s="448"/>
      <c r="S9" s="448"/>
    </row>
    <row r="10" spans="2:19" ht="40.5" customHeight="1" x14ac:dyDescent="0.15">
      <c r="B10" s="447"/>
      <c r="C10" s="696" t="s">
        <v>712</v>
      </c>
      <c r="D10" s="699"/>
      <c r="E10" s="699"/>
      <c r="F10" s="699"/>
      <c r="G10" s="699"/>
      <c r="H10" s="448"/>
      <c r="I10" s="448"/>
      <c r="J10" s="448"/>
      <c r="K10" s="448"/>
      <c r="L10" s="448"/>
      <c r="M10" s="448"/>
      <c r="N10" s="188"/>
      <c r="O10" s="188"/>
      <c r="P10" s="448"/>
      <c r="Q10" s="448"/>
      <c r="R10" s="448"/>
      <c r="S10" s="448"/>
    </row>
    <row r="11" spans="2:19" x14ac:dyDescent="0.15">
      <c r="B11" s="447"/>
      <c r="C11" s="448"/>
      <c r="D11" s="448"/>
      <c r="E11" s="448"/>
      <c r="F11" s="448"/>
      <c r="G11" s="448"/>
      <c r="H11" s="448"/>
      <c r="I11" s="448"/>
      <c r="J11" s="448"/>
      <c r="K11" s="448"/>
      <c r="L11" s="448"/>
      <c r="M11" s="448"/>
      <c r="N11" s="448"/>
      <c r="O11" s="188"/>
      <c r="P11" s="188"/>
      <c r="Q11" s="448"/>
      <c r="R11" s="448"/>
      <c r="S11" s="448"/>
    </row>
    <row r="12" spans="2:19" s="189" customFormat="1" ht="15.5" customHeight="1" x14ac:dyDescent="0.2">
      <c r="B12" s="190" t="s">
        <v>713</v>
      </c>
      <c r="C12" s="191" t="s">
        <v>714</v>
      </c>
      <c r="D12" s="192"/>
      <c r="E12" s="192"/>
      <c r="F12" s="454"/>
      <c r="G12" s="454"/>
      <c r="H12" s="454"/>
      <c r="I12" s="454"/>
      <c r="J12" s="454"/>
      <c r="K12" s="454"/>
      <c r="L12" s="455"/>
      <c r="M12" s="456"/>
      <c r="N12" s="456"/>
      <c r="O12" s="193"/>
      <c r="P12" s="193"/>
      <c r="Q12" s="456"/>
      <c r="R12" s="456"/>
      <c r="S12" s="456"/>
    </row>
    <row r="13" spans="2:19" ht="13.75" customHeight="1" thickBot="1" x14ac:dyDescent="0.2">
      <c r="B13" s="447"/>
      <c r="C13" s="448"/>
      <c r="D13" s="448"/>
      <c r="E13" s="448"/>
      <c r="F13" s="448"/>
      <c r="G13" s="448"/>
      <c r="H13" s="448"/>
      <c r="I13" s="448"/>
      <c r="J13" s="448"/>
      <c r="K13" s="448"/>
      <c r="L13" s="448"/>
      <c r="M13" s="448"/>
      <c r="N13" s="335"/>
      <c r="O13" s="335"/>
      <c r="P13" s="335"/>
      <c r="Q13" s="335"/>
      <c r="R13" s="335"/>
      <c r="S13" s="335"/>
    </row>
    <row r="14" spans="2:19" ht="15.5" customHeight="1" x14ac:dyDescent="0.15">
      <c r="B14" s="448"/>
      <c r="C14" s="194" t="s">
        <v>132</v>
      </c>
      <c r="D14" s="195" t="s">
        <v>715</v>
      </c>
      <c r="E14" s="195" t="s">
        <v>716</v>
      </c>
      <c r="F14" s="195" t="s">
        <v>717</v>
      </c>
      <c r="G14" s="195" t="s">
        <v>718</v>
      </c>
      <c r="H14" s="195" t="s">
        <v>716</v>
      </c>
      <c r="I14" s="195" t="s">
        <v>717</v>
      </c>
      <c r="J14" s="196" t="s">
        <v>718</v>
      </c>
      <c r="K14" s="180"/>
      <c r="L14" s="448"/>
      <c r="M14" s="448"/>
      <c r="N14" s="335"/>
      <c r="O14" s="335"/>
      <c r="P14" s="335"/>
      <c r="Q14" s="335"/>
      <c r="R14" s="335"/>
      <c r="S14" s="335"/>
    </row>
    <row r="15" spans="2:19" s="197" customFormat="1" ht="13.5" customHeight="1" x14ac:dyDescent="0.15">
      <c r="B15" s="457"/>
      <c r="C15" s="458"/>
      <c r="D15" s="198" t="s">
        <v>719</v>
      </c>
      <c r="E15" s="198" t="s">
        <v>720</v>
      </c>
      <c r="F15" s="198" t="s">
        <v>721</v>
      </c>
      <c r="G15" s="198" t="s">
        <v>722</v>
      </c>
      <c r="H15" s="198" t="s">
        <v>723</v>
      </c>
      <c r="I15" s="198" t="s">
        <v>724</v>
      </c>
      <c r="J15" s="199" t="s">
        <v>725</v>
      </c>
      <c r="K15" s="200"/>
      <c r="L15" s="457"/>
      <c r="M15" s="457"/>
      <c r="N15" s="335"/>
      <c r="O15" s="335"/>
      <c r="P15" s="335"/>
      <c r="Q15" s="335"/>
      <c r="R15" s="335"/>
      <c r="S15" s="335"/>
    </row>
    <row r="16" spans="2:19" x14ac:dyDescent="0.15">
      <c r="B16" s="447"/>
      <c r="C16" s="201" t="s">
        <v>726</v>
      </c>
      <c r="D16" s="202"/>
      <c r="E16" s="202"/>
      <c r="F16" s="202"/>
      <c r="G16" s="202"/>
      <c r="H16" s="202"/>
      <c r="I16" s="202"/>
      <c r="J16" s="203"/>
      <c r="K16" s="448"/>
      <c r="L16" s="448"/>
      <c r="M16" s="448"/>
      <c r="N16" s="335"/>
      <c r="O16" s="335"/>
      <c r="P16" s="335"/>
      <c r="Q16" s="335"/>
      <c r="R16" s="335"/>
      <c r="S16" s="335"/>
    </row>
    <row r="17" spans="2:19" x14ac:dyDescent="0.15">
      <c r="B17" s="188"/>
      <c r="C17" s="459" t="s">
        <v>727</v>
      </c>
      <c r="D17" s="460">
        <v>25.09</v>
      </c>
      <c r="E17" s="460">
        <v>103.69</v>
      </c>
      <c r="F17" s="461">
        <v>11</v>
      </c>
      <c r="G17" s="462">
        <v>1.6</v>
      </c>
      <c r="H17" s="461">
        <v>2602</v>
      </c>
      <c r="I17" s="461">
        <v>276</v>
      </c>
      <c r="J17" s="463">
        <v>40</v>
      </c>
      <c r="K17" s="336"/>
      <c r="L17" s="448"/>
      <c r="M17" s="464"/>
      <c r="N17" s="464"/>
      <c r="O17" s="464"/>
      <c r="P17" s="464"/>
      <c r="Q17" s="464"/>
      <c r="R17" s="464"/>
      <c r="S17" s="464"/>
    </row>
    <row r="18" spans="2:19" x14ac:dyDescent="0.15">
      <c r="B18" s="188"/>
      <c r="C18" s="459" t="s">
        <v>728</v>
      </c>
      <c r="D18" s="460">
        <v>24.93</v>
      </c>
      <c r="E18" s="460">
        <v>93.28</v>
      </c>
      <c r="F18" s="461">
        <v>11</v>
      </c>
      <c r="G18" s="462">
        <v>1.6</v>
      </c>
      <c r="H18" s="461">
        <v>2325</v>
      </c>
      <c r="I18" s="461">
        <v>274</v>
      </c>
      <c r="J18" s="463">
        <v>40</v>
      </c>
      <c r="K18" s="336"/>
      <c r="L18" s="448"/>
      <c r="M18" s="464"/>
      <c r="N18" s="464"/>
      <c r="O18" s="464"/>
      <c r="P18" s="464"/>
      <c r="Q18" s="464"/>
      <c r="R18" s="464"/>
      <c r="S18" s="464"/>
    </row>
    <row r="19" spans="2:19" x14ac:dyDescent="0.15">
      <c r="B19" s="188"/>
      <c r="C19" s="459" t="s">
        <v>729</v>
      </c>
      <c r="D19" s="460">
        <v>17.25</v>
      </c>
      <c r="E19" s="460">
        <v>97.17</v>
      </c>
      <c r="F19" s="461">
        <v>11</v>
      </c>
      <c r="G19" s="462">
        <v>1.6</v>
      </c>
      <c r="H19" s="461">
        <v>1676</v>
      </c>
      <c r="I19" s="461">
        <v>190</v>
      </c>
      <c r="J19" s="463">
        <v>28</v>
      </c>
      <c r="K19" s="336"/>
      <c r="L19" s="448"/>
      <c r="M19" s="464"/>
      <c r="N19" s="464"/>
      <c r="O19" s="464"/>
      <c r="P19" s="464"/>
      <c r="Q19" s="464"/>
      <c r="R19" s="464"/>
      <c r="S19" s="464"/>
    </row>
    <row r="20" spans="2:19" x14ac:dyDescent="0.15">
      <c r="B20" s="188"/>
      <c r="C20" s="459" t="s">
        <v>730</v>
      </c>
      <c r="D20" s="460">
        <v>14.21</v>
      </c>
      <c r="E20" s="460">
        <v>97.72</v>
      </c>
      <c r="F20" s="461">
        <v>11</v>
      </c>
      <c r="G20" s="462">
        <v>1.6</v>
      </c>
      <c r="H20" s="461">
        <v>1389</v>
      </c>
      <c r="I20" s="461">
        <v>156</v>
      </c>
      <c r="J20" s="463">
        <v>23</v>
      </c>
      <c r="K20" s="336"/>
      <c r="L20" s="448"/>
      <c r="M20" s="464"/>
      <c r="N20" s="464"/>
      <c r="O20" s="464"/>
      <c r="P20" s="464"/>
      <c r="Q20" s="464"/>
      <c r="R20" s="464"/>
      <c r="S20" s="464"/>
    </row>
    <row r="21" spans="2:19" x14ac:dyDescent="0.15">
      <c r="B21" s="188"/>
      <c r="C21" s="459" t="s">
        <v>731</v>
      </c>
      <c r="D21" s="460">
        <v>21.39</v>
      </c>
      <c r="E21" s="460">
        <v>94.27</v>
      </c>
      <c r="F21" s="461">
        <v>11</v>
      </c>
      <c r="G21" s="462">
        <v>1.6</v>
      </c>
      <c r="H21" s="461">
        <v>2016</v>
      </c>
      <c r="I21" s="461">
        <v>235</v>
      </c>
      <c r="J21" s="463">
        <v>34</v>
      </c>
      <c r="K21" s="465"/>
      <c r="L21" s="448"/>
      <c r="M21" s="464"/>
      <c r="N21" s="464"/>
      <c r="O21" s="464"/>
      <c r="P21" s="464"/>
      <c r="Q21" s="464"/>
      <c r="R21" s="464"/>
      <c r="S21" s="464"/>
    </row>
    <row r="22" spans="2:19" x14ac:dyDescent="0.15">
      <c r="B22" s="188"/>
      <c r="C22" s="459" t="s">
        <v>732</v>
      </c>
      <c r="D22" s="460">
        <v>19.73</v>
      </c>
      <c r="E22" s="460">
        <v>95.52</v>
      </c>
      <c r="F22" s="461">
        <v>11</v>
      </c>
      <c r="G22" s="462">
        <v>1.6</v>
      </c>
      <c r="H22" s="461">
        <v>1885</v>
      </c>
      <c r="I22" s="461">
        <v>217</v>
      </c>
      <c r="J22" s="463">
        <v>32</v>
      </c>
      <c r="K22" s="464"/>
      <c r="L22" s="448"/>
      <c r="M22" s="464"/>
      <c r="N22" s="464"/>
      <c r="O22" s="464"/>
      <c r="P22" s="464"/>
      <c r="Q22" s="464"/>
      <c r="R22" s="464"/>
      <c r="S22" s="464"/>
    </row>
    <row r="23" spans="2:19" x14ac:dyDescent="0.15">
      <c r="B23" s="188"/>
      <c r="C23" s="459" t="s">
        <v>733</v>
      </c>
      <c r="D23" s="460">
        <v>26.28</v>
      </c>
      <c r="E23" s="460">
        <v>93.9</v>
      </c>
      <c r="F23" s="461">
        <v>11</v>
      </c>
      <c r="G23" s="462">
        <v>1.6</v>
      </c>
      <c r="H23" s="461">
        <v>2468</v>
      </c>
      <c r="I23" s="461">
        <v>289</v>
      </c>
      <c r="J23" s="463">
        <v>42</v>
      </c>
      <c r="K23" s="464"/>
      <c r="L23" s="448"/>
      <c r="M23" s="464"/>
      <c r="N23" s="464"/>
      <c r="O23" s="464"/>
      <c r="P23" s="464"/>
      <c r="Q23" s="464"/>
      <c r="R23" s="464"/>
      <c r="S23" s="464"/>
    </row>
    <row r="24" spans="2:19" x14ac:dyDescent="0.15">
      <c r="B24" s="188"/>
      <c r="C24" s="459" t="s">
        <v>734</v>
      </c>
      <c r="D24" s="460">
        <v>22.35</v>
      </c>
      <c r="E24" s="460">
        <v>94.67</v>
      </c>
      <c r="F24" s="461">
        <v>11</v>
      </c>
      <c r="G24" s="462">
        <v>1.6</v>
      </c>
      <c r="H24" s="461">
        <v>2116</v>
      </c>
      <c r="I24" s="461">
        <v>246</v>
      </c>
      <c r="J24" s="463">
        <v>36</v>
      </c>
      <c r="K24" s="464"/>
      <c r="L24" s="448"/>
      <c r="M24" s="464"/>
      <c r="N24" s="464"/>
      <c r="O24" s="464"/>
      <c r="P24" s="464"/>
      <c r="Q24" s="464"/>
      <c r="R24" s="464"/>
      <c r="S24" s="464"/>
    </row>
    <row r="25" spans="2:19" x14ac:dyDescent="0.15">
      <c r="B25" s="188"/>
      <c r="C25" s="459" t="s">
        <v>735</v>
      </c>
      <c r="D25" s="460">
        <v>24.8</v>
      </c>
      <c r="E25" s="460">
        <v>113.67</v>
      </c>
      <c r="F25" s="461">
        <v>11</v>
      </c>
      <c r="G25" s="462">
        <v>1.6</v>
      </c>
      <c r="H25" s="461">
        <v>2819</v>
      </c>
      <c r="I25" s="461">
        <v>273</v>
      </c>
      <c r="J25" s="463">
        <v>40</v>
      </c>
      <c r="K25" s="464"/>
      <c r="L25" s="448"/>
      <c r="M25" s="464"/>
      <c r="N25" s="464"/>
      <c r="O25" s="464"/>
      <c r="P25" s="464"/>
      <c r="Q25" s="464"/>
      <c r="R25" s="464"/>
      <c r="S25" s="464"/>
    </row>
    <row r="26" spans="2:19" x14ac:dyDescent="0.15">
      <c r="B26" s="447"/>
      <c r="C26" s="204" t="s">
        <v>736</v>
      </c>
      <c r="D26" s="337"/>
      <c r="E26" s="337"/>
      <c r="F26" s="338"/>
      <c r="G26" s="339"/>
      <c r="H26" s="338"/>
      <c r="I26" s="338"/>
      <c r="J26" s="340"/>
      <c r="K26" s="464"/>
      <c r="L26" s="448"/>
      <c r="M26" s="464"/>
      <c r="N26" s="464"/>
      <c r="O26" s="464"/>
      <c r="P26" s="464"/>
      <c r="Q26" s="464"/>
      <c r="R26" s="464"/>
      <c r="S26" s="464"/>
    </row>
    <row r="27" spans="2:19" x14ac:dyDescent="0.15">
      <c r="B27" s="188"/>
      <c r="C27" s="459" t="s">
        <v>152</v>
      </c>
      <c r="D27" s="460">
        <v>9.9499999999999993</v>
      </c>
      <c r="E27" s="460">
        <v>90.7</v>
      </c>
      <c r="F27" s="461">
        <v>32</v>
      </c>
      <c r="G27" s="462">
        <v>4.2</v>
      </c>
      <c r="H27" s="461">
        <v>902</v>
      </c>
      <c r="I27" s="461">
        <v>318</v>
      </c>
      <c r="J27" s="463">
        <v>42</v>
      </c>
      <c r="K27" s="464"/>
      <c r="L27" s="448"/>
      <c r="M27" s="464"/>
      <c r="N27" s="464"/>
      <c r="O27" s="464"/>
      <c r="P27" s="464"/>
      <c r="Q27" s="464"/>
      <c r="R27" s="464"/>
      <c r="S27" s="464"/>
    </row>
    <row r="28" spans="2:19" x14ac:dyDescent="0.15">
      <c r="B28" s="188"/>
      <c r="C28" s="459" t="s">
        <v>737</v>
      </c>
      <c r="D28" s="460">
        <v>30</v>
      </c>
      <c r="E28" s="460">
        <v>102.41</v>
      </c>
      <c r="F28" s="461">
        <v>32</v>
      </c>
      <c r="G28" s="462">
        <v>4.2</v>
      </c>
      <c r="H28" s="461">
        <v>3072</v>
      </c>
      <c r="I28" s="461">
        <v>960</v>
      </c>
      <c r="J28" s="463">
        <v>126</v>
      </c>
      <c r="K28" s="180"/>
      <c r="L28" s="448"/>
      <c r="M28" s="464"/>
      <c r="N28" s="464"/>
      <c r="O28" s="464"/>
      <c r="P28" s="464"/>
      <c r="Q28" s="464"/>
      <c r="R28" s="464"/>
      <c r="S28" s="464"/>
    </row>
    <row r="29" spans="2:19" x14ac:dyDescent="0.15">
      <c r="B29" s="188"/>
      <c r="C29" s="459" t="s">
        <v>738</v>
      </c>
      <c r="D29" s="460">
        <v>38</v>
      </c>
      <c r="E29" s="460">
        <v>75</v>
      </c>
      <c r="F29" s="461">
        <v>32</v>
      </c>
      <c r="G29" s="462">
        <v>4.2</v>
      </c>
      <c r="H29" s="461">
        <v>2850</v>
      </c>
      <c r="I29" s="461">
        <v>1216</v>
      </c>
      <c r="J29" s="463">
        <v>160</v>
      </c>
      <c r="K29" s="448"/>
      <c r="L29" s="448"/>
      <c r="M29" s="464"/>
      <c r="N29" s="464"/>
      <c r="O29" s="464"/>
      <c r="P29" s="464"/>
      <c r="Q29" s="464"/>
      <c r="R29" s="464"/>
      <c r="S29" s="464"/>
    </row>
    <row r="30" spans="2:19" x14ac:dyDescent="0.15">
      <c r="B30" s="188"/>
      <c r="C30" s="459" t="s">
        <v>739</v>
      </c>
      <c r="D30" s="460">
        <v>28</v>
      </c>
      <c r="E30" s="460">
        <v>85.97</v>
      </c>
      <c r="F30" s="461">
        <v>32</v>
      </c>
      <c r="G30" s="462">
        <v>4.2</v>
      </c>
      <c r="H30" s="461">
        <v>2407</v>
      </c>
      <c r="I30" s="461">
        <v>896</v>
      </c>
      <c r="J30" s="463">
        <v>118</v>
      </c>
      <c r="K30" s="448"/>
      <c r="L30" s="448"/>
      <c r="M30" s="464"/>
      <c r="N30" s="464"/>
      <c r="O30" s="464"/>
      <c r="P30" s="464"/>
      <c r="Q30" s="464"/>
      <c r="R30" s="464"/>
      <c r="S30" s="464"/>
    </row>
    <row r="31" spans="2:19" x14ac:dyDescent="0.15">
      <c r="B31" s="447"/>
      <c r="C31" s="204" t="s">
        <v>740</v>
      </c>
      <c r="D31" s="337"/>
      <c r="E31" s="337"/>
      <c r="F31" s="338"/>
      <c r="G31" s="339"/>
      <c r="H31" s="341"/>
      <c r="I31" s="341"/>
      <c r="J31" s="342"/>
      <c r="K31" s="448"/>
      <c r="L31" s="448"/>
      <c r="M31" s="464"/>
      <c r="N31" s="464"/>
      <c r="O31" s="464"/>
      <c r="P31" s="464"/>
      <c r="Q31" s="464"/>
      <c r="R31" s="464"/>
      <c r="S31" s="464"/>
    </row>
    <row r="32" spans="2:19" x14ac:dyDescent="0.15">
      <c r="B32" s="188"/>
      <c r="C32" s="459" t="s">
        <v>741</v>
      </c>
      <c r="D32" s="460">
        <v>8.25</v>
      </c>
      <c r="E32" s="460">
        <v>118.17</v>
      </c>
      <c r="F32" s="461">
        <v>32</v>
      </c>
      <c r="G32" s="462">
        <v>4.2</v>
      </c>
      <c r="H32" s="461">
        <v>975</v>
      </c>
      <c r="I32" s="461">
        <v>264</v>
      </c>
      <c r="J32" s="463">
        <v>35</v>
      </c>
      <c r="K32" s="448"/>
      <c r="L32" s="448"/>
      <c r="M32" s="464"/>
      <c r="N32" s="464"/>
      <c r="O32" s="464"/>
      <c r="P32" s="464"/>
      <c r="Q32" s="464"/>
      <c r="R32" s="464"/>
      <c r="S32" s="464"/>
    </row>
    <row r="33" spans="2:20" x14ac:dyDescent="0.15">
      <c r="B33" s="188"/>
      <c r="C33" s="459" t="s">
        <v>742</v>
      </c>
      <c r="D33" s="460">
        <v>8</v>
      </c>
      <c r="E33" s="460">
        <v>111.84</v>
      </c>
      <c r="F33" s="461">
        <v>32</v>
      </c>
      <c r="G33" s="462">
        <v>4.2</v>
      </c>
      <c r="H33" s="461">
        <v>895</v>
      </c>
      <c r="I33" s="461">
        <v>256</v>
      </c>
      <c r="J33" s="463">
        <v>34</v>
      </c>
      <c r="K33" s="448"/>
      <c r="L33" s="448"/>
      <c r="M33" s="464"/>
      <c r="N33" s="464"/>
      <c r="O33" s="464"/>
      <c r="P33" s="464"/>
      <c r="Q33" s="464"/>
      <c r="R33" s="464"/>
      <c r="S33" s="464"/>
      <c r="T33" s="448"/>
    </row>
    <row r="34" spans="2:20" x14ac:dyDescent="0.15">
      <c r="B34" s="188"/>
      <c r="C34" s="459" t="s">
        <v>743</v>
      </c>
      <c r="D34" s="460">
        <v>10.39</v>
      </c>
      <c r="E34" s="460">
        <v>105.51</v>
      </c>
      <c r="F34" s="461">
        <v>32</v>
      </c>
      <c r="G34" s="462">
        <v>4.2</v>
      </c>
      <c r="H34" s="461">
        <v>1096</v>
      </c>
      <c r="I34" s="461">
        <v>332</v>
      </c>
      <c r="J34" s="463">
        <v>44</v>
      </c>
      <c r="K34" s="448"/>
      <c r="L34" s="448"/>
      <c r="M34" s="464"/>
      <c r="N34" s="464"/>
      <c r="O34" s="464"/>
      <c r="P34" s="464"/>
      <c r="Q34" s="464"/>
      <c r="R34" s="464"/>
      <c r="S34" s="464"/>
      <c r="T34" s="448"/>
    </row>
    <row r="35" spans="2:20" x14ac:dyDescent="0.15">
      <c r="B35" s="188"/>
      <c r="C35" s="459" t="s">
        <v>744</v>
      </c>
      <c r="D35" s="460">
        <v>17.48</v>
      </c>
      <c r="E35" s="460">
        <v>93.8</v>
      </c>
      <c r="F35" s="462">
        <v>7.2</v>
      </c>
      <c r="G35" s="462">
        <v>3.6</v>
      </c>
      <c r="H35" s="461">
        <v>1640</v>
      </c>
      <c r="I35" s="461">
        <v>126</v>
      </c>
      <c r="J35" s="463">
        <v>63</v>
      </c>
      <c r="K35" s="448"/>
      <c r="L35" s="448"/>
      <c r="M35" s="464"/>
      <c r="N35" s="464"/>
      <c r="O35" s="464"/>
      <c r="P35" s="464"/>
      <c r="Q35" s="464"/>
      <c r="R35" s="464"/>
      <c r="S35" s="464"/>
      <c r="T35" s="448"/>
    </row>
    <row r="36" spans="2:20" s="197" customFormat="1" x14ac:dyDescent="0.15">
      <c r="B36" s="457"/>
      <c r="C36" s="458"/>
      <c r="D36" s="205" t="s">
        <v>745</v>
      </c>
      <c r="E36" s="205" t="s">
        <v>720</v>
      </c>
      <c r="F36" s="205" t="s">
        <v>721</v>
      </c>
      <c r="G36" s="205" t="s">
        <v>722</v>
      </c>
      <c r="H36" s="205" t="s">
        <v>746</v>
      </c>
      <c r="I36" s="205" t="s">
        <v>747</v>
      </c>
      <c r="J36" s="206" t="s">
        <v>748</v>
      </c>
      <c r="K36" s="448"/>
      <c r="L36" s="448"/>
      <c r="M36" s="464"/>
      <c r="N36" s="464"/>
      <c r="O36" s="464"/>
      <c r="P36" s="464"/>
      <c r="Q36" s="464"/>
      <c r="R36" s="464"/>
      <c r="S36" s="464"/>
      <c r="T36" s="448"/>
    </row>
    <row r="37" spans="2:20" ht="14" x14ac:dyDescent="0.15">
      <c r="B37" s="447"/>
      <c r="C37" s="207" t="s">
        <v>137</v>
      </c>
      <c r="D37" s="343"/>
      <c r="E37" s="344"/>
      <c r="F37" s="466"/>
      <c r="G37" s="466"/>
      <c r="H37" s="448"/>
      <c r="I37" s="448"/>
      <c r="J37" s="467"/>
      <c r="K37" s="448"/>
      <c r="L37" s="448"/>
      <c r="M37" s="464"/>
      <c r="N37" s="464"/>
      <c r="O37" s="464"/>
      <c r="P37" s="464"/>
      <c r="Q37" s="464"/>
      <c r="R37" s="464"/>
      <c r="S37" s="464"/>
      <c r="T37" s="448"/>
    </row>
    <row r="38" spans="2:20" x14ac:dyDescent="0.15">
      <c r="B38" s="208"/>
      <c r="C38" s="459" t="s">
        <v>137</v>
      </c>
      <c r="D38" s="468">
        <v>1.026E-3</v>
      </c>
      <c r="E38" s="460">
        <v>53.06</v>
      </c>
      <c r="F38" s="462">
        <v>1</v>
      </c>
      <c r="G38" s="460">
        <v>0.1</v>
      </c>
      <c r="H38" s="469">
        <v>5.4440000000000002E-2</v>
      </c>
      <c r="I38" s="469">
        <v>1.0300000000000001E-3</v>
      </c>
      <c r="J38" s="470">
        <v>1E-4</v>
      </c>
      <c r="K38" s="471"/>
      <c r="L38" s="448"/>
      <c r="M38" s="464"/>
      <c r="N38" s="464"/>
      <c r="O38" s="464"/>
      <c r="P38" s="464"/>
      <c r="Q38" s="464"/>
      <c r="R38" s="464"/>
      <c r="S38" s="464"/>
      <c r="T38" s="448"/>
    </row>
    <row r="39" spans="2:20" x14ac:dyDescent="0.15">
      <c r="B39" s="447"/>
      <c r="C39" s="209" t="s">
        <v>749</v>
      </c>
      <c r="D39" s="472"/>
      <c r="E39" s="472"/>
      <c r="F39" s="472"/>
      <c r="G39" s="472"/>
      <c r="H39" s="345"/>
      <c r="I39" s="346"/>
      <c r="J39" s="347"/>
      <c r="K39" s="448"/>
      <c r="L39" s="448"/>
      <c r="M39" s="464"/>
      <c r="N39" s="464"/>
      <c r="O39" s="464"/>
      <c r="P39" s="464"/>
      <c r="Q39" s="464"/>
      <c r="R39" s="464"/>
      <c r="S39" s="464"/>
      <c r="T39" s="448"/>
    </row>
    <row r="40" spans="2:20" x14ac:dyDescent="0.15">
      <c r="B40" s="188"/>
      <c r="C40" s="459" t="s">
        <v>750</v>
      </c>
      <c r="D40" s="468">
        <v>9.2E-5</v>
      </c>
      <c r="E40" s="460">
        <v>274.32</v>
      </c>
      <c r="F40" s="473">
        <v>2.1999999999999999E-2</v>
      </c>
      <c r="G40" s="460">
        <v>0.1</v>
      </c>
      <c r="H40" s="469">
        <v>2.5239999999999999E-2</v>
      </c>
      <c r="I40" s="468">
        <v>1.9999999999999999E-6</v>
      </c>
      <c r="J40" s="474">
        <v>9.0000000000000002E-6</v>
      </c>
      <c r="K40" s="448"/>
      <c r="L40" s="448"/>
      <c r="M40" s="464"/>
      <c r="N40" s="464"/>
      <c r="O40" s="464"/>
      <c r="P40" s="464"/>
      <c r="Q40" s="464"/>
      <c r="R40" s="464"/>
      <c r="S40" s="464"/>
      <c r="T40" s="448"/>
    </row>
    <row r="41" spans="2:20" x14ac:dyDescent="0.15">
      <c r="B41" s="188"/>
      <c r="C41" s="459" t="s">
        <v>751</v>
      </c>
      <c r="D41" s="468">
        <v>5.9900000000000003E-4</v>
      </c>
      <c r="E41" s="460">
        <v>46.85</v>
      </c>
      <c r="F41" s="460">
        <v>0.48</v>
      </c>
      <c r="G41" s="460">
        <v>0.1</v>
      </c>
      <c r="H41" s="469">
        <v>2.8060000000000002E-2</v>
      </c>
      <c r="I41" s="468">
        <v>2.8800000000000001E-4</v>
      </c>
      <c r="J41" s="474">
        <v>6.0000000000000002E-5</v>
      </c>
      <c r="K41" s="471"/>
      <c r="L41" s="448"/>
      <c r="M41" s="464"/>
      <c r="N41" s="464"/>
      <c r="O41" s="464"/>
      <c r="P41" s="464"/>
      <c r="Q41" s="464"/>
      <c r="R41" s="464"/>
      <c r="S41" s="464"/>
      <c r="T41" s="448"/>
    </row>
    <row r="42" spans="2:20" x14ac:dyDescent="0.15">
      <c r="B42" s="188"/>
      <c r="C42" s="459" t="s">
        <v>752</v>
      </c>
      <c r="D42" s="468">
        <v>1.3879999999999999E-3</v>
      </c>
      <c r="E42" s="475">
        <v>59</v>
      </c>
      <c r="F42" s="462">
        <v>3</v>
      </c>
      <c r="G42" s="460">
        <v>0.6</v>
      </c>
      <c r="H42" s="469">
        <v>8.1890000000000004E-2</v>
      </c>
      <c r="I42" s="468">
        <v>4.1640000000000002E-3</v>
      </c>
      <c r="J42" s="474">
        <v>8.3299999999999997E-4</v>
      </c>
      <c r="K42" s="448"/>
      <c r="L42" s="448"/>
      <c r="M42" s="464"/>
      <c r="N42" s="464"/>
      <c r="O42" s="464"/>
      <c r="P42" s="464"/>
      <c r="Q42" s="464"/>
      <c r="R42" s="464"/>
      <c r="S42" s="464"/>
      <c r="T42" s="448"/>
    </row>
    <row r="43" spans="2:20" x14ac:dyDescent="0.15">
      <c r="B43" s="188"/>
      <c r="C43" s="459" t="s">
        <v>753</v>
      </c>
      <c r="D43" s="468">
        <v>2.516E-3</v>
      </c>
      <c r="E43" s="475">
        <v>61.46</v>
      </c>
      <c r="F43" s="462">
        <v>3</v>
      </c>
      <c r="G43" s="460">
        <v>0.6</v>
      </c>
      <c r="H43" s="469">
        <v>0.15462999999999999</v>
      </c>
      <c r="I43" s="468">
        <v>7.548E-3</v>
      </c>
      <c r="J43" s="474">
        <v>1.5100000000000001E-3</v>
      </c>
      <c r="K43" s="180"/>
      <c r="L43" s="448"/>
      <c r="M43" s="464"/>
      <c r="N43" s="464"/>
      <c r="O43" s="464"/>
      <c r="P43" s="464"/>
      <c r="Q43" s="464"/>
      <c r="R43" s="464"/>
      <c r="S43" s="464"/>
      <c r="T43" s="448"/>
    </row>
    <row r="44" spans="2:20" x14ac:dyDescent="0.15">
      <c r="B44" s="447"/>
      <c r="C44" s="204" t="s">
        <v>754</v>
      </c>
      <c r="D44" s="472"/>
      <c r="E44" s="472"/>
      <c r="F44" s="476"/>
      <c r="G44" s="476"/>
      <c r="H44" s="346"/>
      <c r="I44" s="346"/>
      <c r="J44" s="347"/>
      <c r="K44" s="448"/>
      <c r="L44" s="448"/>
      <c r="M44" s="464"/>
      <c r="N44" s="464"/>
      <c r="O44" s="464"/>
      <c r="P44" s="464"/>
      <c r="Q44" s="464"/>
      <c r="R44" s="464"/>
      <c r="S44" s="464"/>
      <c r="T44" s="448"/>
    </row>
    <row r="45" spans="2:20" s="189" customFormat="1" x14ac:dyDescent="0.15">
      <c r="B45" s="210"/>
      <c r="C45" s="477" t="s">
        <v>755</v>
      </c>
      <c r="D45" s="478">
        <v>4.8500000000000003E-4</v>
      </c>
      <c r="E45" s="479">
        <v>52.07</v>
      </c>
      <c r="F45" s="480">
        <v>3.2</v>
      </c>
      <c r="G45" s="479">
        <v>0.63</v>
      </c>
      <c r="H45" s="468">
        <v>2.5253999999999999E-2</v>
      </c>
      <c r="I45" s="468">
        <v>1.552E-3</v>
      </c>
      <c r="J45" s="474">
        <v>3.0600000000000001E-4</v>
      </c>
      <c r="K45" s="448"/>
      <c r="L45" s="448"/>
      <c r="M45" s="464"/>
      <c r="N45" s="464"/>
      <c r="O45" s="464"/>
      <c r="P45" s="464"/>
      <c r="Q45" s="464"/>
      <c r="R45" s="464"/>
      <c r="S45" s="464"/>
      <c r="T45" s="448"/>
    </row>
    <row r="46" spans="2:20" s="189" customFormat="1" x14ac:dyDescent="0.15">
      <c r="B46" s="210"/>
      <c r="C46" s="477" t="s">
        <v>756</v>
      </c>
      <c r="D46" s="478">
        <v>6.5499999999999998E-4</v>
      </c>
      <c r="E46" s="479">
        <v>52.07</v>
      </c>
      <c r="F46" s="480">
        <v>3.2</v>
      </c>
      <c r="G46" s="479">
        <v>0.63</v>
      </c>
      <c r="H46" s="468">
        <v>3.4105999999999997E-2</v>
      </c>
      <c r="I46" s="468">
        <v>2.0960000000000002E-3</v>
      </c>
      <c r="J46" s="474">
        <v>4.1300000000000001E-4</v>
      </c>
      <c r="K46" s="448"/>
      <c r="L46" s="448"/>
      <c r="M46" s="464"/>
      <c r="N46" s="464"/>
      <c r="O46" s="464"/>
      <c r="P46" s="464"/>
      <c r="Q46" s="464"/>
      <c r="R46" s="464"/>
      <c r="S46" s="464"/>
      <c r="T46" s="448"/>
    </row>
    <row r="47" spans="2:20" s="197" customFormat="1" x14ac:dyDescent="0.15">
      <c r="B47" s="457"/>
      <c r="C47" s="458"/>
      <c r="D47" s="205" t="s">
        <v>757</v>
      </c>
      <c r="E47" s="205" t="s">
        <v>720</v>
      </c>
      <c r="F47" s="205" t="s">
        <v>721</v>
      </c>
      <c r="G47" s="205" t="s">
        <v>722</v>
      </c>
      <c r="H47" s="205" t="s">
        <v>758</v>
      </c>
      <c r="I47" s="205" t="s">
        <v>759</v>
      </c>
      <c r="J47" s="206" t="s">
        <v>760</v>
      </c>
      <c r="K47" s="448"/>
      <c r="L47" s="448"/>
      <c r="M47" s="464"/>
      <c r="N47" s="464"/>
      <c r="O47" s="464"/>
      <c r="P47" s="464"/>
      <c r="Q47" s="464"/>
      <c r="R47" s="464"/>
      <c r="S47" s="464"/>
      <c r="T47" s="448"/>
    </row>
    <row r="48" spans="2:20" s="189" customFormat="1" x14ac:dyDescent="0.15">
      <c r="B48" s="481"/>
      <c r="C48" s="212" t="s">
        <v>761</v>
      </c>
      <c r="D48" s="456"/>
      <c r="E48" s="456"/>
      <c r="F48" s="456"/>
      <c r="G48" s="456"/>
      <c r="H48" s="456"/>
      <c r="I48" s="456"/>
      <c r="J48" s="482"/>
      <c r="K48" s="448"/>
      <c r="L48" s="448"/>
      <c r="M48" s="464"/>
      <c r="N48" s="464"/>
      <c r="O48" s="464"/>
      <c r="P48" s="464"/>
      <c r="Q48" s="464"/>
      <c r="R48" s="464"/>
      <c r="S48" s="464"/>
      <c r="T48" s="448"/>
    </row>
    <row r="49" spans="2:19" x14ac:dyDescent="0.15">
      <c r="B49" s="188"/>
      <c r="C49" s="459" t="s">
        <v>762</v>
      </c>
      <c r="D49" s="473">
        <v>0.158</v>
      </c>
      <c r="E49" s="460">
        <v>75.36</v>
      </c>
      <c r="F49" s="462">
        <v>3</v>
      </c>
      <c r="G49" s="460">
        <v>0.6</v>
      </c>
      <c r="H49" s="460">
        <v>11.91</v>
      </c>
      <c r="I49" s="460">
        <v>0.47</v>
      </c>
      <c r="J49" s="483">
        <v>0.09</v>
      </c>
      <c r="K49" s="448"/>
      <c r="L49" s="448"/>
      <c r="M49" s="464"/>
      <c r="N49" s="464"/>
      <c r="O49" s="464"/>
      <c r="P49" s="464"/>
      <c r="Q49" s="464"/>
      <c r="R49" s="464"/>
      <c r="S49" s="464"/>
    </row>
    <row r="50" spans="2:19" x14ac:dyDescent="0.15">
      <c r="B50" s="188"/>
      <c r="C50" s="459" t="s">
        <v>763</v>
      </c>
      <c r="D50" s="473">
        <v>0.12</v>
      </c>
      <c r="E50" s="460">
        <v>69.25</v>
      </c>
      <c r="F50" s="462">
        <v>3</v>
      </c>
      <c r="G50" s="460">
        <v>0.6</v>
      </c>
      <c r="H50" s="460">
        <v>8.31</v>
      </c>
      <c r="I50" s="460">
        <v>0.36</v>
      </c>
      <c r="J50" s="483">
        <v>7.0000000000000007E-2</v>
      </c>
      <c r="K50" s="448"/>
      <c r="L50" s="448"/>
      <c r="M50" s="464"/>
      <c r="N50" s="464"/>
      <c r="O50" s="464"/>
      <c r="P50" s="464"/>
      <c r="Q50" s="464"/>
      <c r="R50" s="464"/>
      <c r="S50" s="464"/>
    </row>
    <row r="51" spans="2:19" x14ac:dyDescent="0.15">
      <c r="B51" s="188"/>
      <c r="C51" s="459" t="s">
        <v>764</v>
      </c>
      <c r="D51" s="473">
        <v>0.10299999999999999</v>
      </c>
      <c r="E51" s="460">
        <v>64.77</v>
      </c>
      <c r="F51" s="462">
        <v>3</v>
      </c>
      <c r="G51" s="460">
        <v>0.6</v>
      </c>
      <c r="H51" s="460">
        <v>6.67</v>
      </c>
      <c r="I51" s="460">
        <v>0.31</v>
      </c>
      <c r="J51" s="483">
        <v>0.06</v>
      </c>
      <c r="K51" s="448"/>
      <c r="L51" s="448"/>
      <c r="M51" s="464"/>
      <c r="N51" s="464"/>
      <c r="O51" s="464"/>
      <c r="P51" s="464"/>
      <c r="Q51" s="464"/>
      <c r="R51" s="464"/>
      <c r="S51" s="464"/>
    </row>
    <row r="52" spans="2:19" x14ac:dyDescent="0.15">
      <c r="B52" s="188"/>
      <c r="C52" s="459" t="s">
        <v>765</v>
      </c>
      <c r="D52" s="473">
        <v>0.105</v>
      </c>
      <c r="E52" s="460">
        <v>68.72</v>
      </c>
      <c r="F52" s="462">
        <v>3</v>
      </c>
      <c r="G52" s="460">
        <v>0.6</v>
      </c>
      <c r="H52" s="460">
        <v>7.22</v>
      </c>
      <c r="I52" s="460">
        <v>0.32</v>
      </c>
      <c r="J52" s="483">
        <v>0.06</v>
      </c>
      <c r="K52" s="448"/>
      <c r="L52" s="448"/>
      <c r="M52" s="464"/>
      <c r="N52" s="464"/>
      <c r="O52" s="464"/>
      <c r="P52" s="464"/>
      <c r="Q52" s="464"/>
      <c r="R52" s="464"/>
      <c r="S52" s="464"/>
    </row>
    <row r="53" spans="2:19" x14ac:dyDescent="0.15">
      <c r="B53" s="188"/>
      <c r="C53" s="459" t="s">
        <v>766</v>
      </c>
      <c r="D53" s="473">
        <v>0.13800000000000001</v>
      </c>
      <c r="E53" s="460">
        <v>74.540000000000006</v>
      </c>
      <c r="F53" s="462">
        <v>3</v>
      </c>
      <c r="G53" s="460">
        <v>0.6</v>
      </c>
      <c r="H53" s="460">
        <v>10.29</v>
      </c>
      <c r="I53" s="460">
        <v>0.41</v>
      </c>
      <c r="J53" s="483">
        <v>0.08</v>
      </c>
      <c r="K53" s="448"/>
      <c r="L53" s="448"/>
      <c r="M53" s="464"/>
      <c r="N53" s="464"/>
      <c r="O53" s="464"/>
      <c r="P53" s="464"/>
      <c r="Q53" s="464"/>
      <c r="R53" s="464"/>
      <c r="S53" s="464"/>
    </row>
    <row r="54" spans="2:19" x14ac:dyDescent="0.15">
      <c r="B54" s="188"/>
      <c r="C54" s="459" t="s">
        <v>767</v>
      </c>
      <c r="D54" s="473">
        <v>0.13900000000000001</v>
      </c>
      <c r="E54" s="460">
        <v>73.25</v>
      </c>
      <c r="F54" s="462">
        <v>3</v>
      </c>
      <c r="G54" s="460">
        <v>0.6</v>
      </c>
      <c r="H54" s="460">
        <v>10.18</v>
      </c>
      <c r="I54" s="460">
        <v>0.42</v>
      </c>
      <c r="J54" s="483">
        <v>0.08</v>
      </c>
      <c r="K54" s="448"/>
      <c r="L54" s="448"/>
      <c r="M54" s="464"/>
      <c r="N54" s="464"/>
      <c r="O54" s="464"/>
      <c r="P54" s="464"/>
      <c r="Q54" s="464"/>
      <c r="R54" s="464"/>
      <c r="S54" s="464"/>
    </row>
    <row r="55" spans="2:19" x14ac:dyDescent="0.15">
      <c r="B55" s="188"/>
      <c r="C55" s="459" t="s">
        <v>768</v>
      </c>
      <c r="D55" s="473">
        <v>0.13800000000000001</v>
      </c>
      <c r="E55" s="460">
        <v>73.959999999999994</v>
      </c>
      <c r="F55" s="462">
        <v>3</v>
      </c>
      <c r="G55" s="460">
        <v>0.6</v>
      </c>
      <c r="H55" s="460">
        <v>10.210000000000001</v>
      </c>
      <c r="I55" s="460">
        <v>0.41</v>
      </c>
      <c r="J55" s="483">
        <v>0.08</v>
      </c>
      <c r="K55" s="448"/>
      <c r="L55" s="448"/>
      <c r="M55" s="464"/>
      <c r="N55" s="464"/>
      <c r="O55" s="464"/>
      <c r="P55" s="464"/>
      <c r="Q55" s="464"/>
      <c r="R55" s="464"/>
      <c r="S55" s="464"/>
    </row>
    <row r="56" spans="2:19" x14ac:dyDescent="0.15">
      <c r="B56" s="188"/>
      <c r="C56" s="459" t="s">
        <v>769</v>
      </c>
      <c r="D56" s="473">
        <v>0.14599999999999999</v>
      </c>
      <c r="E56" s="460">
        <v>75.040000000000006</v>
      </c>
      <c r="F56" s="462">
        <v>3</v>
      </c>
      <c r="G56" s="460">
        <v>0.6</v>
      </c>
      <c r="H56" s="460">
        <v>10.96</v>
      </c>
      <c r="I56" s="460">
        <v>0.44</v>
      </c>
      <c r="J56" s="483">
        <v>0.09</v>
      </c>
      <c r="K56" s="448"/>
      <c r="L56" s="448"/>
      <c r="M56" s="464"/>
      <c r="N56" s="464"/>
      <c r="O56" s="464"/>
      <c r="P56" s="464"/>
      <c r="Q56" s="464"/>
      <c r="R56" s="464"/>
      <c r="S56" s="464"/>
    </row>
    <row r="57" spans="2:19" x14ac:dyDescent="0.15">
      <c r="B57" s="188"/>
      <c r="C57" s="459" t="s">
        <v>770</v>
      </c>
      <c r="D57" s="473">
        <v>6.8000000000000005E-2</v>
      </c>
      <c r="E57" s="460">
        <v>59.6</v>
      </c>
      <c r="F57" s="462">
        <v>3</v>
      </c>
      <c r="G57" s="460">
        <v>0.6</v>
      </c>
      <c r="H57" s="460">
        <v>4.05</v>
      </c>
      <c r="I57" s="460">
        <v>0.2</v>
      </c>
      <c r="J57" s="483">
        <v>0.04</v>
      </c>
      <c r="K57" s="448"/>
      <c r="L57" s="448"/>
      <c r="M57" s="464"/>
      <c r="N57" s="464"/>
      <c r="O57" s="464"/>
      <c r="P57" s="464"/>
      <c r="Q57" s="464"/>
      <c r="R57" s="464"/>
      <c r="S57" s="464"/>
    </row>
    <row r="58" spans="2:19" x14ac:dyDescent="0.15">
      <c r="B58" s="188"/>
      <c r="C58" s="459" t="s">
        <v>771</v>
      </c>
      <c r="D58" s="473">
        <v>5.8000000000000003E-2</v>
      </c>
      <c r="E58" s="460">
        <v>65.959999999999994</v>
      </c>
      <c r="F58" s="462">
        <v>3</v>
      </c>
      <c r="G58" s="460">
        <v>0.6</v>
      </c>
      <c r="H58" s="460">
        <v>3.83</v>
      </c>
      <c r="I58" s="460">
        <v>0.17</v>
      </c>
      <c r="J58" s="483">
        <v>0.03</v>
      </c>
      <c r="K58" s="448"/>
      <c r="L58" s="448"/>
      <c r="M58" s="464"/>
      <c r="N58" s="464"/>
      <c r="O58" s="464"/>
      <c r="P58" s="464"/>
      <c r="Q58" s="464"/>
      <c r="R58" s="464"/>
      <c r="S58" s="464"/>
    </row>
    <row r="59" spans="2:19" x14ac:dyDescent="0.15">
      <c r="B59" s="188"/>
      <c r="C59" s="459" t="s">
        <v>772</v>
      </c>
      <c r="D59" s="473">
        <v>0.14799999999999999</v>
      </c>
      <c r="E59" s="460">
        <v>74.92</v>
      </c>
      <c r="F59" s="462">
        <v>3</v>
      </c>
      <c r="G59" s="460">
        <v>0.6</v>
      </c>
      <c r="H59" s="460">
        <v>11.09</v>
      </c>
      <c r="I59" s="460">
        <v>0.44</v>
      </c>
      <c r="J59" s="483">
        <v>0.09</v>
      </c>
      <c r="K59" s="448"/>
      <c r="L59" s="448"/>
      <c r="M59" s="464"/>
      <c r="N59" s="464"/>
      <c r="O59" s="464"/>
      <c r="P59" s="464"/>
      <c r="Q59" s="464"/>
      <c r="R59" s="464"/>
      <c r="S59" s="464"/>
    </row>
    <row r="60" spans="2:19" x14ac:dyDescent="0.15">
      <c r="B60" s="188"/>
      <c r="C60" s="459" t="s">
        <v>773</v>
      </c>
      <c r="D60" s="473">
        <v>9.9000000000000005E-2</v>
      </c>
      <c r="E60" s="460">
        <v>64.94</v>
      </c>
      <c r="F60" s="462">
        <v>3</v>
      </c>
      <c r="G60" s="460">
        <v>0.6</v>
      </c>
      <c r="H60" s="460">
        <v>6.43</v>
      </c>
      <c r="I60" s="460">
        <v>0.3</v>
      </c>
      <c r="J60" s="483">
        <v>0.06</v>
      </c>
      <c r="K60" s="448"/>
      <c r="L60" s="448"/>
      <c r="M60" s="464"/>
      <c r="N60" s="464"/>
      <c r="O60" s="464"/>
      <c r="P60" s="464"/>
      <c r="Q60" s="464"/>
      <c r="R60" s="464"/>
      <c r="S60" s="464"/>
    </row>
    <row r="61" spans="2:19" x14ac:dyDescent="0.15">
      <c r="B61" s="188"/>
      <c r="C61" s="459" t="s">
        <v>774</v>
      </c>
      <c r="D61" s="473">
        <v>0.10299999999999999</v>
      </c>
      <c r="E61" s="460">
        <v>68.86</v>
      </c>
      <c r="F61" s="462">
        <v>3</v>
      </c>
      <c r="G61" s="460">
        <v>0.6</v>
      </c>
      <c r="H61" s="460">
        <v>7.09</v>
      </c>
      <c r="I61" s="460">
        <v>0.31</v>
      </c>
      <c r="J61" s="483">
        <v>0.06</v>
      </c>
      <c r="K61" s="448"/>
      <c r="L61" s="448"/>
      <c r="M61" s="464"/>
      <c r="N61" s="464"/>
      <c r="O61" s="464"/>
      <c r="P61" s="464"/>
      <c r="Q61" s="464"/>
      <c r="R61" s="464"/>
      <c r="S61" s="464"/>
    </row>
    <row r="62" spans="2:19" x14ac:dyDescent="0.15">
      <c r="B62" s="188"/>
      <c r="C62" s="459" t="s">
        <v>775</v>
      </c>
      <c r="D62" s="473">
        <v>0.13500000000000001</v>
      </c>
      <c r="E62" s="460">
        <v>75.2</v>
      </c>
      <c r="F62" s="462">
        <v>3</v>
      </c>
      <c r="G62" s="460">
        <v>0.6</v>
      </c>
      <c r="H62" s="460">
        <v>10.15</v>
      </c>
      <c r="I62" s="460">
        <v>0.41</v>
      </c>
      <c r="J62" s="483">
        <v>0.08</v>
      </c>
      <c r="K62" s="448"/>
      <c r="L62" s="448"/>
      <c r="M62" s="464"/>
      <c r="N62" s="464"/>
      <c r="O62" s="464"/>
      <c r="P62" s="464"/>
      <c r="Q62" s="464"/>
      <c r="R62" s="464"/>
      <c r="S62" s="464"/>
    </row>
    <row r="63" spans="2:19" x14ac:dyDescent="0.15">
      <c r="B63" s="188"/>
      <c r="C63" s="459" t="s">
        <v>776</v>
      </c>
      <c r="D63" s="473">
        <v>0.13500000000000001</v>
      </c>
      <c r="E63" s="460">
        <v>72.22</v>
      </c>
      <c r="F63" s="462">
        <v>3</v>
      </c>
      <c r="G63" s="460">
        <v>0.6</v>
      </c>
      <c r="H63" s="460">
        <v>9.75</v>
      </c>
      <c r="I63" s="460">
        <v>0.41</v>
      </c>
      <c r="J63" s="483">
        <v>0.08</v>
      </c>
      <c r="K63" s="448"/>
      <c r="L63" s="448"/>
      <c r="M63" s="464"/>
      <c r="N63" s="464"/>
      <c r="O63" s="464"/>
      <c r="P63" s="464"/>
      <c r="Q63" s="464"/>
      <c r="R63" s="464"/>
      <c r="S63" s="464"/>
    </row>
    <row r="64" spans="2:19" x14ac:dyDescent="0.15">
      <c r="B64" s="188"/>
      <c r="C64" s="459" t="s">
        <v>777</v>
      </c>
      <c r="D64" s="473">
        <v>9.1999999999999998E-2</v>
      </c>
      <c r="E64" s="460">
        <v>61.71</v>
      </c>
      <c r="F64" s="462">
        <v>3</v>
      </c>
      <c r="G64" s="460">
        <v>0.6</v>
      </c>
      <c r="H64" s="460">
        <v>5.68</v>
      </c>
      <c r="I64" s="460">
        <v>0.28000000000000003</v>
      </c>
      <c r="J64" s="483">
        <v>0.06</v>
      </c>
      <c r="K64" s="448"/>
      <c r="L64" s="448"/>
      <c r="M64" s="464"/>
      <c r="N64" s="464"/>
      <c r="O64" s="464"/>
      <c r="P64" s="464"/>
      <c r="Q64" s="464"/>
      <c r="R64" s="464"/>
      <c r="S64" s="464"/>
    </row>
    <row r="65" spans="2:19" x14ac:dyDescent="0.15">
      <c r="B65" s="188"/>
      <c r="C65" s="459" t="s">
        <v>778</v>
      </c>
      <c r="D65" s="473">
        <v>0.14399999999999999</v>
      </c>
      <c r="E65" s="460">
        <v>74.27</v>
      </c>
      <c r="F65" s="462">
        <v>3</v>
      </c>
      <c r="G65" s="460">
        <v>0.6</v>
      </c>
      <c r="H65" s="460">
        <v>10.69</v>
      </c>
      <c r="I65" s="460">
        <v>0.43</v>
      </c>
      <c r="J65" s="483">
        <v>0.09</v>
      </c>
      <c r="K65" s="448"/>
      <c r="L65" s="448"/>
      <c r="M65" s="464"/>
      <c r="N65" s="464"/>
      <c r="O65" s="464"/>
      <c r="P65" s="464"/>
      <c r="Q65" s="464"/>
      <c r="R65" s="464"/>
      <c r="S65" s="464"/>
    </row>
    <row r="66" spans="2:19" x14ac:dyDescent="0.15">
      <c r="B66" s="188"/>
      <c r="C66" s="459" t="s">
        <v>779</v>
      </c>
      <c r="D66" s="473">
        <v>0.125</v>
      </c>
      <c r="E66" s="460">
        <v>70.22</v>
      </c>
      <c r="F66" s="462">
        <v>3</v>
      </c>
      <c r="G66" s="460">
        <v>0.6</v>
      </c>
      <c r="H66" s="460">
        <v>8.7799999999999994</v>
      </c>
      <c r="I66" s="460">
        <v>0.38</v>
      </c>
      <c r="J66" s="483">
        <v>0.08</v>
      </c>
      <c r="K66" s="448"/>
      <c r="L66" s="448"/>
      <c r="M66" s="464"/>
      <c r="N66" s="464"/>
      <c r="O66" s="464"/>
      <c r="P66" s="464"/>
      <c r="Q66" s="464"/>
      <c r="R66" s="464"/>
      <c r="S66" s="464"/>
    </row>
    <row r="67" spans="2:19" x14ac:dyDescent="0.15">
      <c r="B67" s="188"/>
      <c r="C67" s="459" t="s">
        <v>780</v>
      </c>
      <c r="D67" s="473">
        <v>0.125</v>
      </c>
      <c r="E67" s="460">
        <v>68.02</v>
      </c>
      <c r="F67" s="462">
        <v>3</v>
      </c>
      <c r="G67" s="460">
        <v>0.6</v>
      </c>
      <c r="H67" s="460">
        <v>8.5</v>
      </c>
      <c r="I67" s="460">
        <v>0.38</v>
      </c>
      <c r="J67" s="483">
        <v>0.08</v>
      </c>
      <c r="K67" s="448"/>
      <c r="L67" s="448"/>
      <c r="M67" s="464"/>
      <c r="N67" s="464"/>
      <c r="O67" s="464"/>
      <c r="P67" s="464"/>
      <c r="Q67" s="464"/>
      <c r="R67" s="464"/>
      <c r="S67" s="464"/>
    </row>
    <row r="68" spans="2:19" x14ac:dyDescent="0.15">
      <c r="B68" s="188"/>
      <c r="C68" s="459" t="s">
        <v>781</v>
      </c>
      <c r="D68" s="473">
        <v>0.11</v>
      </c>
      <c r="E68" s="460">
        <v>66.88</v>
      </c>
      <c r="F68" s="462">
        <v>3</v>
      </c>
      <c r="G68" s="460">
        <v>0.6</v>
      </c>
      <c r="H68" s="460">
        <v>7.36</v>
      </c>
      <c r="I68" s="460">
        <v>0.33</v>
      </c>
      <c r="J68" s="483">
        <v>7.0000000000000007E-2</v>
      </c>
      <c r="K68" s="448"/>
      <c r="L68" s="448"/>
      <c r="M68" s="464"/>
      <c r="N68" s="464"/>
      <c r="O68" s="464"/>
      <c r="P68" s="464"/>
      <c r="Q68" s="464"/>
      <c r="R68" s="464"/>
      <c r="S68" s="464"/>
    </row>
    <row r="69" spans="2:19" x14ac:dyDescent="0.15">
      <c r="B69" s="188"/>
      <c r="C69" s="459" t="s">
        <v>782</v>
      </c>
      <c r="D69" s="473">
        <v>0.13900000000000001</v>
      </c>
      <c r="E69" s="460">
        <v>76.22</v>
      </c>
      <c r="F69" s="462">
        <v>3</v>
      </c>
      <c r="G69" s="460">
        <v>0.6</v>
      </c>
      <c r="H69" s="460">
        <v>10.59</v>
      </c>
      <c r="I69" s="460">
        <v>0.42</v>
      </c>
      <c r="J69" s="483">
        <v>0.08</v>
      </c>
      <c r="K69" s="448"/>
      <c r="L69" s="448"/>
      <c r="M69" s="464"/>
      <c r="N69" s="464"/>
      <c r="O69" s="464"/>
      <c r="P69" s="464"/>
      <c r="Q69" s="464"/>
      <c r="R69" s="464"/>
      <c r="S69" s="464"/>
    </row>
    <row r="70" spans="2:19" x14ac:dyDescent="0.15">
      <c r="B70" s="188"/>
      <c r="C70" s="459" t="s">
        <v>783</v>
      </c>
      <c r="D70" s="473">
        <v>0.11</v>
      </c>
      <c r="E70" s="460">
        <v>70.02</v>
      </c>
      <c r="F70" s="462">
        <v>3</v>
      </c>
      <c r="G70" s="460">
        <v>0.6</v>
      </c>
      <c r="H70" s="460">
        <v>7.7</v>
      </c>
      <c r="I70" s="460">
        <v>0.33</v>
      </c>
      <c r="J70" s="483">
        <v>7.0000000000000007E-2</v>
      </c>
      <c r="K70" s="448"/>
      <c r="L70" s="448"/>
      <c r="M70" s="464"/>
      <c r="N70" s="464"/>
      <c r="O70" s="464"/>
      <c r="P70" s="464"/>
      <c r="Q70" s="464"/>
      <c r="R70" s="464"/>
      <c r="S70" s="464"/>
    </row>
    <row r="71" spans="2:19" x14ac:dyDescent="0.15">
      <c r="B71" s="188"/>
      <c r="C71" s="459" t="s">
        <v>784</v>
      </c>
      <c r="D71" s="473">
        <v>0.125</v>
      </c>
      <c r="E71" s="460">
        <v>71.02</v>
      </c>
      <c r="F71" s="462">
        <v>3</v>
      </c>
      <c r="G71" s="460">
        <v>0.6</v>
      </c>
      <c r="H71" s="460">
        <v>8.8800000000000008</v>
      </c>
      <c r="I71" s="460">
        <v>0.38</v>
      </c>
      <c r="J71" s="483">
        <v>0.08</v>
      </c>
      <c r="K71" s="448"/>
      <c r="L71" s="448"/>
      <c r="M71" s="464"/>
      <c r="N71" s="464"/>
      <c r="O71" s="464"/>
      <c r="P71" s="464"/>
      <c r="Q71" s="464"/>
      <c r="R71" s="464"/>
      <c r="S71" s="464"/>
    </row>
    <row r="72" spans="2:19" x14ac:dyDescent="0.15">
      <c r="B72" s="188"/>
      <c r="C72" s="459" t="s">
        <v>142</v>
      </c>
      <c r="D72" s="473">
        <v>9.0999999999999998E-2</v>
      </c>
      <c r="E72" s="460">
        <v>62.87</v>
      </c>
      <c r="F72" s="462">
        <v>3</v>
      </c>
      <c r="G72" s="460">
        <v>0.6</v>
      </c>
      <c r="H72" s="460">
        <v>5.72</v>
      </c>
      <c r="I72" s="460">
        <v>0.27</v>
      </c>
      <c r="J72" s="483">
        <v>0.05</v>
      </c>
      <c r="K72" s="213"/>
      <c r="L72" s="448"/>
      <c r="M72" s="464"/>
      <c r="N72" s="464"/>
      <c r="O72" s="464"/>
      <c r="P72" s="464"/>
      <c r="Q72" s="464"/>
      <c r="R72" s="464"/>
      <c r="S72" s="464"/>
    </row>
    <row r="73" spans="2:19" x14ac:dyDescent="0.15">
      <c r="B73" s="188"/>
      <c r="C73" s="459" t="s">
        <v>785</v>
      </c>
      <c r="D73" s="473">
        <v>9.0999999999999998E-2</v>
      </c>
      <c r="E73" s="460">
        <v>67.77</v>
      </c>
      <c r="F73" s="462">
        <v>3</v>
      </c>
      <c r="G73" s="460">
        <v>0.6</v>
      </c>
      <c r="H73" s="460">
        <v>6.17</v>
      </c>
      <c r="I73" s="460">
        <v>0.27</v>
      </c>
      <c r="J73" s="483">
        <v>0.05</v>
      </c>
      <c r="K73" s="448"/>
      <c r="L73" s="448"/>
      <c r="M73" s="464"/>
      <c r="N73" s="464"/>
      <c r="O73" s="464"/>
      <c r="P73" s="464"/>
      <c r="Q73" s="464"/>
      <c r="R73" s="464"/>
      <c r="S73" s="464"/>
    </row>
    <row r="74" spans="2:19" x14ac:dyDescent="0.15">
      <c r="B74" s="188"/>
      <c r="C74" s="459" t="s">
        <v>786</v>
      </c>
      <c r="D74" s="473">
        <v>0.14000000000000001</v>
      </c>
      <c r="E74" s="460">
        <v>72.930000000000007</v>
      </c>
      <c r="F74" s="462">
        <v>3</v>
      </c>
      <c r="G74" s="460">
        <v>0.6</v>
      </c>
      <c r="H74" s="460">
        <v>10.210000000000001</v>
      </c>
      <c r="I74" s="460">
        <v>0.42</v>
      </c>
      <c r="J74" s="483">
        <v>0.08</v>
      </c>
      <c r="K74" s="448"/>
      <c r="L74" s="448"/>
      <c r="M74" s="464"/>
      <c r="N74" s="464"/>
      <c r="O74" s="464"/>
      <c r="P74" s="464"/>
      <c r="Q74" s="464"/>
      <c r="R74" s="464"/>
      <c r="S74" s="464"/>
    </row>
    <row r="75" spans="2:19" x14ac:dyDescent="0.15">
      <c r="B75" s="188"/>
      <c r="C75" s="459" t="s">
        <v>787</v>
      </c>
      <c r="D75" s="473">
        <v>0.15</v>
      </c>
      <c r="E75" s="460">
        <v>75.099999999999994</v>
      </c>
      <c r="F75" s="462">
        <v>3</v>
      </c>
      <c r="G75" s="460">
        <v>0.6</v>
      </c>
      <c r="H75" s="460">
        <v>11.27</v>
      </c>
      <c r="I75" s="460">
        <v>0.45</v>
      </c>
      <c r="J75" s="483">
        <v>0.09</v>
      </c>
      <c r="K75" s="448"/>
      <c r="L75" s="448"/>
      <c r="M75" s="464"/>
      <c r="N75" s="464"/>
      <c r="O75" s="464"/>
      <c r="P75" s="464"/>
      <c r="Q75" s="464"/>
      <c r="R75" s="464"/>
      <c r="S75" s="464"/>
    </row>
    <row r="76" spans="2:19" x14ac:dyDescent="0.15">
      <c r="B76" s="188"/>
      <c r="C76" s="459" t="s">
        <v>788</v>
      </c>
      <c r="D76" s="473">
        <v>0.125</v>
      </c>
      <c r="E76" s="460">
        <v>72.34</v>
      </c>
      <c r="F76" s="462">
        <v>3</v>
      </c>
      <c r="G76" s="460">
        <v>0.6</v>
      </c>
      <c r="H76" s="460">
        <v>9.0399999999999991</v>
      </c>
      <c r="I76" s="460">
        <v>0.38</v>
      </c>
      <c r="J76" s="483">
        <v>0.08</v>
      </c>
      <c r="K76" s="448"/>
      <c r="L76" s="448"/>
      <c r="M76" s="464"/>
      <c r="N76" s="464"/>
      <c r="O76" s="464"/>
      <c r="P76" s="464"/>
      <c r="Q76" s="464"/>
      <c r="R76" s="464"/>
      <c r="S76" s="464"/>
    </row>
    <row r="77" spans="2:19" x14ac:dyDescent="0.15">
      <c r="B77" s="188"/>
      <c r="C77" s="459" t="s">
        <v>789</v>
      </c>
      <c r="D77" s="473">
        <v>0.13900000000000001</v>
      </c>
      <c r="E77" s="460">
        <v>74.540000000000006</v>
      </c>
      <c r="F77" s="462">
        <v>3</v>
      </c>
      <c r="G77" s="460">
        <v>0.6</v>
      </c>
      <c r="H77" s="460">
        <v>10.36</v>
      </c>
      <c r="I77" s="460">
        <v>0.42</v>
      </c>
      <c r="J77" s="483">
        <v>0.08</v>
      </c>
      <c r="K77" s="448"/>
      <c r="L77" s="448"/>
      <c r="M77" s="464"/>
      <c r="N77" s="464"/>
      <c r="O77" s="464"/>
      <c r="P77" s="464"/>
      <c r="Q77" s="464"/>
      <c r="R77" s="464"/>
      <c r="S77" s="464"/>
    </row>
    <row r="78" spans="2:19" x14ac:dyDescent="0.15">
      <c r="B78" s="188"/>
      <c r="C78" s="459" t="s">
        <v>790</v>
      </c>
      <c r="D78" s="473">
        <v>0.13800000000000001</v>
      </c>
      <c r="E78" s="460">
        <v>74</v>
      </c>
      <c r="F78" s="462">
        <v>3</v>
      </c>
      <c r="G78" s="460">
        <v>0.6</v>
      </c>
      <c r="H78" s="460">
        <v>10.210000000000001</v>
      </c>
      <c r="I78" s="460">
        <v>0.41</v>
      </c>
      <c r="J78" s="483">
        <v>0.08</v>
      </c>
      <c r="K78" s="448"/>
      <c r="L78" s="448"/>
      <c r="M78" s="464"/>
      <c r="N78" s="464"/>
      <c r="O78" s="464"/>
      <c r="P78" s="464"/>
      <c r="Q78" s="464"/>
      <c r="R78" s="464"/>
      <c r="S78" s="464"/>
    </row>
    <row r="79" spans="2:19" s="189" customFormat="1" x14ac:dyDescent="0.15">
      <c r="B79" s="481"/>
      <c r="C79" s="212" t="s">
        <v>791</v>
      </c>
      <c r="D79" s="456"/>
      <c r="E79" s="484"/>
      <c r="F79" s="456"/>
      <c r="G79" s="456"/>
      <c r="H79" s="214"/>
      <c r="I79" s="214"/>
      <c r="J79" s="215"/>
      <c r="K79" s="448"/>
      <c r="L79" s="448"/>
      <c r="M79" s="464"/>
      <c r="N79" s="464"/>
      <c r="O79" s="464"/>
      <c r="P79" s="464"/>
      <c r="Q79" s="464"/>
      <c r="R79" s="464"/>
      <c r="S79" s="464"/>
    </row>
    <row r="80" spans="2:19" x14ac:dyDescent="0.15">
      <c r="B80" s="188"/>
      <c r="C80" s="459" t="s">
        <v>792</v>
      </c>
      <c r="D80" s="473">
        <v>0.128</v>
      </c>
      <c r="E80" s="460">
        <v>73.84</v>
      </c>
      <c r="F80" s="462">
        <v>1.1000000000000001</v>
      </c>
      <c r="G80" s="460">
        <v>0.11</v>
      </c>
      <c r="H80" s="460">
        <v>9.4499999999999993</v>
      </c>
      <c r="I80" s="460">
        <v>0.14000000000000001</v>
      </c>
      <c r="J80" s="483">
        <v>0.01</v>
      </c>
      <c r="K80" s="448"/>
      <c r="L80" s="448"/>
      <c r="M80" s="464"/>
      <c r="N80" s="464"/>
      <c r="O80" s="464"/>
      <c r="P80" s="464"/>
      <c r="Q80" s="464"/>
      <c r="R80" s="464"/>
      <c r="S80" s="464"/>
    </row>
    <row r="81" spans="2:19" x14ac:dyDescent="0.15">
      <c r="B81" s="188"/>
      <c r="C81" s="459" t="s">
        <v>793</v>
      </c>
      <c r="D81" s="473">
        <v>8.4000000000000005E-2</v>
      </c>
      <c r="E81" s="460">
        <v>68.44</v>
      </c>
      <c r="F81" s="462">
        <v>1.1000000000000001</v>
      </c>
      <c r="G81" s="460">
        <v>0.11</v>
      </c>
      <c r="H81" s="460">
        <v>5.75</v>
      </c>
      <c r="I81" s="460">
        <v>0.09</v>
      </c>
      <c r="J81" s="483">
        <v>0.01</v>
      </c>
      <c r="K81" s="448"/>
      <c r="L81" s="448"/>
      <c r="M81" s="464"/>
      <c r="N81" s="464"/>
      <c r="O81" s="464"/>
      <c r="P81" s="464"/>
      <c r="Q81" s="464"/>
      <c r="R81" s="464"/>
      <c r="S81" s="464"/>
    </row>
    <row r="82" spans="2:19" x14ac:dyDescent="0.15">
      <c r="B82" s="188"/>
      <c r="C82" s="459" t="s">
        <v>794</v>
      </c>
      <c r="D82" s="473">
        <v>0.125</v>
      </c>
      <c r="E82" s="460">
        <v>71.06</v>
      </c>
      <c r="F82" s="462">
        <v>1.1000000000000001</v>
      </c>
      <c r="G82" s="460">
        <v>0.11</v>
      </c>
      <c r="H82" s="460">
        <v>8.8800000000000008</v>
      </c>
      <c r="I82" s="460">
        <v>0.14000000000000001</v>
      </c>
      <c r="J82" s="483">
        <v>0.01</v>
      </c>
      <c r="K82" s="448"/>
      <c r="L82" s="448"/>
      <c r="M82" s="464"/>
      <c r="N82" s="464"/>
      <c r="O82" s="464"/>
      <c r="P82" s="464"/>
      <c r="Q82" s="464"/>
      <c r="R82" s="464"/>
      <c r="S82" s="464"/>
    </row>
    <row r="83" spans="2:19" x14ac:dyDescent="0.15">
      <c r="B83" s="188"/>
      <c r="C83" s="459" t="s">
        <v>795</v>
      </c>
      <c r="D83" s="473">
        <v>0.12</v>
      </c>
      <c r="E83" s="460">
        <v>81.55</v>
      </c>
      <c r="F83" s="462">
        <v>1.1000000000000001</v>
      </c>
      <c r="G83" s="460">
        <v>0.11</v>
      </c>
      <c r="H83" s="460">
        <v>9.7899999999999991</v>
      </c>
      <c r="I83" s="460">
        <v>0.13</v>
      </c>
      <c r="J83" s="483">
        <v>0.01</v>
      </c>
      <c r="K83" s="448"/>
      <c r="L83" s="448"/>
      <c r="M83" s="464"/>
      <c r="N83" s="464"/>
      <c r="O83" s="464"/>
      <c r="P83" s="464"/>
      <c r="Q83" s="464"/>
      <c r="R83" s="464"/>
      <c r="S83" s="464"/>
    </row>
    <row r="84" spans="2:19" s="189" customFormat="1" ht="39.5" customHeight="1" x14ac:dyDescent="0.15">
      <c r="B84" s="481"/>
      <c r="C84" s="216" t="s">
        <v>796</v>
      </c>
      <c r="D84" s="456"/>
      <c r="E84" s="484"/>
      <c r="F84" s="456"/>
      <c r="G84" s="456"/>
      <c r="H84" s="214"/>
      <c r="I84" s="214"/>
      <c r="J84" s="215"/>
      <c r="K84" s="448"/>
      <c r="L84" s="448"/>
      <c r="M84" s="464"/>
      <c r="N84" s="464"/>
      <c r="O84" s="464"/>
      <c r="P84" s="464"/>
      <c r="Q84" s="464"/>
      <c r="R84" s="464"/>
      <c r="S84" s="464"/>
    </row>
    <row r="85" spans="2:19" x14ac:dyDescent="0.15">
      <c r="B85" s="188"/>
      <c r="C85" s="459" t="s">
        <v>797</v>
      </c>
      <c r="D85" s="214"/>
      <c r="E85" s="462">
        <v>94.4</v>
      </c>
      <c r="F85" s="462">
        <v>1.9</v>
      </c>
      <c r="G85" s="460">
        <v>0.42</v>
      </c>
      <c r="H85" s="214"/>
      <c r="I85" s="214"/>
      <c r="J85" s="215"/>
      <c r="K85" s="448"/>
      <c r="L85" s="448"/>
      <c r="M85" s="464"/>
      <c r="N85" s="464"/>
      <c r="O85" s="464"/>
      <c r="P85" s="464"/>
      <c r="Q85" s="464"/>
      <c r="R85" s="464"/>
      <c r="S85" s="464"/>
    </row>
    <row r="86" spans="2:19" x14ac:dyDescent="0.15">
      <c r="B86" s="188"/>
      <c r="C86" s="459" t="s">
        <v>798</v>
      </c>
      <c r="D86" s="214"/>
      <c r="E86" s="462">
        <v>93.7</v>
      </c>
      <c r="F86" s="462">
        <v>1.9</v>
      </c>
      <c r="G86" s="460">
        <v>0.42</v>
      </c>
      <c r="H86" s="214"/>
      <c r="I86" s="214"/>
      <c r="J86" s="215"/>
      <c r="K86" s="448"/>
      <c r="L86" s="448"/>
      <c r="M86" s="464"/>
      <c r="N86" s="464"/>
      <c r="O86" s="464"/>
      <c r="P86" s="464"/>
      <c r="Q86" s="464"/>
      <c r="R86" s="464"/>
      <c r="S86" s="464"/>
    </row>
    <row r="87" spans="2:19" x14ac:dyDescent="0.15">
      <c r="B87" s="188"/>
      <c r="C87" s="459" t="s">
        <v>799</v>
      </c>
      <c r="D87" s="214"/>
      <c r="E87" s="462">
        <v>95.5</v>
      </c>
      <c r="F87" s="462">
        <v>1.9</v>
      </c>
      <c r="G87" s="460">
        <v>0.42</v>
      </c>
      <c r="H87" s="214"/>
      <c r="I87" s="214"/>
      <c r="J87" s="215"/>
      <c r="K87" s="448"/>
      <c r="L87" s="448"/>
      <c r="M87" s="464"/>
      <c r="N87" s="464"/>
      <c r="O87" s="464"/>
      <c r="P87" s="464"/>
      <c r="Q87" s="464"/>
      <c r="R87" s="464"/>
      <c r="S87" s="464"/>
    </row>
    <row r="88" spans="2:19" x14ac:dyDescent="0.15">
      <c r="B88" s="188"/>
      <c r="C88" s="459" t="s">
        <v>800</v>
      </c>
      <c r="D88" s="214"/>
      <c r="E88" s="462">
        <v>93.7</v>
      </c>
      <c r="F88" s="462">
        <v>1.9</v>
      </c>
      <c r="G88" s="460">
        <v>0.42</v>
      </c>
      <c r="H88" s="214"/>
      <c r="I88" s="214"/>
      <c r="J88" s="215"/>
      <c r="K88" s="448"/>
      <c r="L88" s="448"/>
      <c r="M88" s="464"/>
      <c r="N88" s="464"/>
      <c r="O88" s="464"/>
      <c r="P88" s="464"/>
      <c r="Q88" s="464"/>
      <c r="R88" s="464"/>
      <c r="S88" s="464"/>
    </row>
    <row r="89" spans="2:19" ht="13.75" customHeight="1" thickBot="1" x14ac:dyDescent="0.2">
      <c r="B89" s="188"/>
      <c r="C89" s="485" t="s">
        <v>801</v>
      </c>
      <c r="D89" s="217"/>
      <c r="E89" s="486">
        <v>95.1</v>
      </c>
      <c r="F89" s="486">
        <v>1.9</v>
      </c>
      <c r="G89" s="487">
        <v>0.42</v>
      </c>
      <c r="H89" s="217"/>
      <c r="I89" s="217"/>
      <c r="J89" s="218"/>
      <c r="K89" s="448"/>
      <c r="L89" s="448"/>
      <c r="M89" s="464"/>
      <c r="N89" s="464"/>
      <c r="O89" s="464"/>
      <c r="P89" s="464"/>
      <c r="Q89" s="464"/>
      <c r="R89" s="464"/>
      <c r="S89" s="464"/>
    </row>
    <row r="90" spans="2:19" s="189" customFormat="1" x14ac:dyDescent="0.15">
      <c r="B90" s="481"/>
      <c r="C90" s="219" t="s">
        <v>802</v>
      </c>
      <c r="D90" s="456"/>
      <c r="E90" s="484"/>
      <c r="F90" s="484"/>
      <c r="G90" s="484"/>
      <c r="H90" s="456"/>
      <c r="I90" s="456"/>
      <c r="J90" s="456"/>
      <c r="K90" s="456"/>
      <c r="L90" s="456"/>
      <c r="M90" s="464"/>
      <c r="N90" s="464"/>
      <c r="O90" s="464"/>
      <c r="P90" s="464"/>
      <c r="Q90" s="464"/>
      <c r="R90" s="464"/>
      <c r="S90" s="464"/>
    </row>
    <row r="91" spans="2:19" x14ac:dyDescent="0.15">
      <c r="B91" s="447"/>
      <c r="C91" s="712" t="s">
        <v>803</v>
      </c>
      <c r="D91" s="699"/>
      <c r="E91" s="699"/>
      <c r="F91" s="699"/>
      <c r="G91" s="699"/>
      <c r="H91" s="699"/>
      <c r="I91" s="699"/>
      <c r="J91" s="699"/>
      <c r="K91" s="699"/>
      <c r="L91" s="448"/>
      <c r="M91" s="471"/>
      <c r="N91" s="448"/>
      <c r="O91" s="448"/>
      <c r="P91" s="448"/>
      <c r="Q91" s="448"/>
      <c r="R91" s="448"/>
      <c r="S91" s="448"/>
    </row>
    <row r="92" spans="2:19" x14ac:dyDescent="0.15">
      <c r="B92" s="447"/>
      <c r="C92" s="169" t="s">
        <v>804</v>
      </c>
      <c r="D92" s="448"/>
      <c r="E92" s="448"/>
      <c r="F92" s="448"/>
      <c r="G92" s="448"/>
      <c r="H92" s="448"/>
      <c r="I92" s="448"/>
      <c r="J92" s="448"/>
      <c r="K92" s="180"/>
      <c r="L92" s="448"/>
      <c r="M92" s="471"/>
      <c r="N92" s="348"/>
      <c r="O92" s="349"/>
      <c r="P92" s="349"/>
      <c r="Q92" s="348"/>
      <c r="R92" s="448"/>
      <c r="S92" s="170"/>
    </row>
    <row r="93" spans="2:19" x14ac:dyDescent="0.15">
      <c r="B93" s="447"/>
      <c r="C93" s="712" t="s">
        <v>805</v>
      </c>
      <c r="D93" s="699"/>
      <c r="E93" s="699"/>
      <c r="F93" s="699"/>
      <c r="G93" s="699"/>
      <c r="H93" s="699"/>
      <c r="I93" s="699"/>
      <c r="J93" s="699"/>
      <c r="K93" s="699"/>
      <c r="L93" s="448"/>
      <c r="M93" s="471"/>
      <c r="N93" s="348"/>
      <c r="O93" s="349"/>
      <c r="P93" s="349"/>
      <c r="Q93" s="348"/>
      <c r="R93" s="448"/>
      <c r="S93" s="170"/>
    </row>
    <row r="94" spans="2:19" x14ac:dyDescent="0.15">
      <c r="B94" s="447"/>
      <c r="C94" s="220" t="s">
        <v>806</v>
      </c>
      <c r="D94" s="221"/>
      <c r="E94" s="221"/>
      <c r="F94" s="221"/>
      <c r="G94" s="221"/>
      <c r="H94" s="221"/>
      <c r="I94" s="221"/>
      <c r="J94" s="221"/>
      <c r="K94" s="221"/>
      <c r="L94" s="448"/>
      <c r="M94" s="471"/>
      <c r="N94" s="348"/>
      <c r="O94" s="349"/>
      <c r="P94" s="349"/>
      <c r="Q94" s="348"/>
      <c r="R94" s="448"/>
      <c r="S94" s="170"/>
    </row>
    <row r="95" spans="2:19" ht="15" customHeight="1" x14ac:dyDescent="0.15">
      <c r="B95" s="447"/>
      <c r="C95" s="220" t="s">
        <v>807</v>
      </c>
      <c r="D95" s="221"/>
      <c r="E95" s="221"/>
      <c r="F95" s="221"/>
      <c r="G95" s="221"/>
      <c r="H95" s="221"/>
      <c r="I95" s="221"/>
      <c r="J95" s="221"/>
      <c r="K95" s="221"/>
      <c r="L95" s="448"/>
      <c r="M95" s="471"/>
      <c r="N95" s="348"/>
      <c r="O95" s="349"/>
      <c r="P95" s="349"/>
      <c r="Q95" s="348"/>
      <c r="R95" s="448"/>
      <c r="S95" s="170"/>
    </row>
    <row r="96" spans="2:19" ht="15" customHeight="1" x14ac:dyDescent="0.15">
      <c r="B96" s="447"/>
      <c r="C96" s="220" t="s">
        <v>808</v>
      </c>
      <c r="D96" s="221"/>
      <c r="E96" s="221"/>
      <c r="F96" s="221"/>
      <c r="G96" s="221"/>
      <c r="H96" s="221"/>
      <c r="I96" s="221"/>
      <c r="J96" s="221"/>
      <c r="K96" s="221"/>
      <c r="L96" s="448"/>
      <c r="M96" s="471"/>
      <c r="N96" s="348"/>
      <c r="O96" s="349"/>
      <c r="P96" s="349"/>
      <c r="Q96" s="348"/>
      <c r="R96" s="448"/>
      <c r="S96" s="170"/>
    </row>
    <row r="97" spans="2:20" x14ac:dyDescent="0.15">
      <c r="B97" s="447"/>
      <c r="C97" s="220" t="s">
        <v>809</v>
      </c>
      <c r="D97" s="221"/>
      <c r="E97" s="221"/>
      <c r="F97" s="221"/>
      <c r="G97" s="221"/>
      <c r="H97" s="221"/>
      <c r="I97" s="221"/>
      <c r="J97" s="221"/>
      <c r="K97" s="221"/>
      <c r="L97" s="448"/>
      <c r="M97" s="471"/>
      <c r="N97" s="348"/>
      <c r="O97" s="349"/>
      <c r="P97" s="349"/>
      <c r="Q97" s="348"/>
      <c r="R97" s="448"/>
      <c r="S97" s="170"/>
      <c r="T97" s="448"/>
    </row>
    <row r="98" spans="2:20" x14ac:dyDescent="0.15">
      <c r="B98" s="447"/>
      <c r="C98" s="171" t="s">
        <v>810</v>
      </c>
      <c r="D98" s="221"/>
      <c r="E98" s="221"/>
      <c r="F98" s="221"/>
      <c r="G98" s="221"/>
      <c r="H98" s="221"/>
      <c r="I98" s="221"/>
      <c r="J98" s="221"/>
      <c r="K98" s="221"/>
      <c r="L98" s="448"/>
      <c r="M98" s="471"/>
      <c r="N98" s="348"/>
      <c r="O98" s="349"/>
      <c r="P98" s="349"/>
      <c r="Q98" s="348"/>
      <c r="R98" s="448"/>
      <c r="S98" s="170"/>
      <c r="T98" s="448"/>
    </row>
    <row r="99" spans="2:20" x14ac:dyDescent="0.15">
      <c r="B99" s="447"/>
      <c r="C99" s="220" t="s">
        <v>811</v>
      </c>
      <c r="D99" s="221"/>
      <c r="E99" s="221"/>
      <c r="F99" s="221"/>
      <c r="G99" s="221"/>
      <c r="H99" s="221"/>
      <c r="I99" s="221"/>
      <c r="J99" s="221"/>
      <c r="K99" s="221"/>
      <c r="L99" s="448"/>
      <c r="M99" s="471"/>
      <c r="N99" s="348"/>
      <c r="O99" s="349"/>
      <c r="P99" s="349"/>
      <c r="Q99" s="348"/>
      <c r="R99" s="448"/>
      <c r="S99" s="170"/>
      <c r="T99" s="448"/>
    </row>
    <row r="101" spans="2:20" s="189" customFormat="1" ht="18" customHeight="1" x14ac:dyDescent="0.2">
      <c r="B101" s="190" t="s">
        <v>812</v>
      </c>
      <c r="C101" s="191" t="s">
        <v>813</v>
      </c>
      <c r="D101" s="192"/>
      <c r="E101" s="192"/>
      <c r="F101" s="192"/>
      <c r="G101" s="454"/>
      <c r="H101" s="454"/>
      <c r="I101" s="454"/>
      <c r="J101" s="454"/>
      <c r="K101" s="454"/>
      <c r="L101" s="455"/>
      <c r="M101" s="456"/>
      <c r="N101" s="456"/>
      <c r="O101" s="456"/>
      <c r="P101" s="456"/>
      <c r="Q101" s="456"/>
      <c r="R101" s="456"/>
      <c r="S101" s="456"/>
      <c r="T101" s="456"/>
    </row>
    <row r="102" spans="2:20" ht="13.75" customHeight="1" thickBot="1" x14ac:dyDescent="0.2">
      <c r="B102" s="447"/>
      <c r="C102" s="448"/>
      <c r="D102" s="448"/>
      <c r="E102" s="448"/>
      <c r="F102" s="448"/>
      <c r="G102" s="448"/>
      <c r="H102" s="448"/>
      <c r="I102" s="448"/>
      <c r="J102" s="448"/>
      <c r="K102" s="448"/>
      <c r="L102" s="448"/>
      <c r="M102" s="448"/>
      <c r="N102" s="448"/>
      <c r="O102" s="448"/>
      <c r="P102" s="448"/>
      <c r="Q102" s="448"/>
      <c r="R102" s="448"/>
      <c r="S102" s="448"/>
      <c r="T102" s="448"/>
    </row>
    <row r="103" spans="2:20" s="211" customFormat="1" ht="16.25" customHeight="1" thickBot="1" x14ac:dyDescent="0.2">
      <c r="B103" s="481"/>
      <c r="C103" s="222" t="s">
        <v>132</v>
      </c>
      <c r="D103" s="223" t="s">
        <v>814</v>
      </c>
      <c r="E103" s="224" t="s">
        <v>133</v>
      </c>
      <c r="F103" s="448"/>
      <c r="G103" s="457"/>
      <c r="H103" s="488"/>
      <c r="I103" s="489"/>
      <c r="J103" s="489"/>
      <c r="K103" s="481"/>
      <c r="L103" s="481"/>
      <c r="M103" s="448"/>
      <c r="N103" s="448"/>
      <c r="O103" s="448"/>
      <c r="P103" s="448"/>
      <c r="Q103" s="448"/>
      <c r="R103" s="448"/>
      <c r="S103" s="448"/>
      <c r="T103" s="448"/>
    </row>
    <row r="104" spans="2:20" x14ac:dyDescent="0.15">
      <c r="B104" s="447"/>
      <c r="C104" s="490" t="s">
        <v>763</v>
      </c>
      <c r="D104" s="491">
        <v>8.31</v>
      </c>
      <c r="E104" s="492" t="s">
        <v>815</v>
      </c>
      <c r="F104" s="225"/>
      <c r="G104" s="488"/>
      <c r="H104" s="488"/>
      <c r="I104" s="489"/>
      <c r="J104" s="448"/>
      <c r="K104" s="448"/>
      <c r="L104" s="448"/>
      <c r="M104" s="464"/>
      <c r="N104" s="464"/>
      <c r="O104" s="448"/>
      <c r="P104" s="448"/>
      <c r="Q104" s="448"/>
      <c r="R104" s="448"/>
      <c r="S104" s="448"/>
      <c r="T104" s="448"/>
    </row>
    <row r="105" spans="2:20" x14ac:dyDescent="0.15">
      <c r="B105" s="447"/>
      <c r="C105" s="477" t="s">
        <v>792</v>
      </c>
      <c r="D105" s="479">
        <v>9.4499999999999993</v>
      </c>
      <c r="E105" s="493" t="s">
        <v>815</v>
      </c>
      <c r="F105" s="488"/>
      <c r="G105" s="488"/>
      <c r="H105" s="488"/>
      <c r="I105" s="489"/>
      <c r="J105" s="448"/>
      <c r="K105" s="448"/>
      <c r="L105" s="448"/>
      <c r="M105" s="464"/>
      <c r="N105" s="464"/>
      <c r="O105" s="448"/>
      <c r="P105" s="448"/>
      <c r="Q105" s="448"/>
      <c r="R105" s="448"/>
      <c r="S105" s="448"/>
      <c r="T105" s="448"/>
    </row>
    <row r="106" spans="2:20" x14ac:dyDescent="0.15">
      <c r="B106" s="447"/>
      <c r="C106" s="477" t="s">
        <v>167</v>
      </c>
      <c r="D106" s="494">
        <v>5.4440000000000002E-2</v>
      </c>
      <c r="E106" s="493" t="s">
        <v>816</v>
      </c>
      <c r="F106" s="488"/>
      <c r="G106" s="488"/>
      <c r="H106" s="488"/>
      <c r="I106" s="489"/>
      <c r="J106" s="448"/>
      <c r="K106" s="448"/>
      <c r="L106" s="448"/>
      <c r="M106" s="464"/>
      <c r="N106" s="464"/>
      <c r="O106" s="448"/>
      <c r="P106" s="448"/>
      <c r="Q106" s="448"/>
      <c r="R106" s="448"/>
      <c r="S106" s="448"/>
      <c r="T106" s="448"/>
    </row>
    <row r="107" spans="2:20" x14ac:dyDescent="0.15">
      <c r="B107" s="188"/>
      <c r="C107" s="477" t="s">
        <v>646</v>
      </c>
      <c r="D107" s="479">
        <v>10.210000000000001</v>
      </c>
      <c r="E107" s="493" t="s">
        <v>815</v>
      </c>
      <c r="F107" s="488"/>
      <c r="G107" s="488"/>
      <c r="H107" s="488"/>
      <c r="I107" s="489"/>
      <c r="J107" s="448"/>
      <c r="K107" s="448"/>
      <c r="L107" s="448"/>
      <c r="M107" s="464"/>
      <c r="N107" s="464"/>
      <c r="O107" s="448"/>
      <c r="P107" s="448"/>
      <c r="Q107" s="448"/>
      <c r="R107" s="448"/>
      <c r="S107" s="448"/>
      <c r="T107" s="448"/>
    </row>
    <row r="108" spans="2:20" x14ac:dyDescent="0.15">
      <c r="B108" s="447"/>
      <c r="C108" s="477" t="s">
        <v>793</v>
      </c>
      <c r="D108" s="479">
        <v>5.75</v>
      </c>
      <c r="E108" s="493" t="s">
        <v>815</v>
      </c>
      <c r="F108" s="488"/>
      <c r="G108" s="488"/>
      <c r="H108" s="488"/>
      <c r="I108" s="489"/>
      <c r="J108" s="448"/>
      <c r="K108" s="448"/>
      <c r="L108" s="448"/>
      <c r="M108" s="464"/>
      <c r="N108" s="464"/>
      <c r="O108" s="448"/>
      <c r="P108" s="448"/>
      <c r="Q108" s="448"/>
      <c r="R108" s="448"/>
      <c r="S108" s="448"/>
      <c r="T108" s="448"/>
    </row>
    <row r="109" spans="2:20" x14ac:dyDescent="0.15">
      <c r="B109" s="447"/>
      <c r="C109" s="477" t="s">
        <v>776</v>
      </c>
      <c r="D109" s="479">
        <v>9.75</v>
      </c>
      <c r="E109" s="493" t="s">
        <v>815</v>
      </c>
      <c r="F109" s="488"/>
      <c r="G109" s="488"/>
      <c r="H109" s="488"/>
      <c r="I109" s="489"/>
      <c r="J109" s="448"/>
      <c r="K109" s="448"/>
      <c r="L109" s="448"/>
      <c r="M109" s="464"/>
      <c r="N109" s="464"/>
      <c r="O109" s="448"/>
      <c r="P109" s="448"/>
      <c r="Q109" s="448"/>
      <c r="R109" s="448"/>
      <c r="S109" s="448"/>
      <c r="T109" s="448"/>
    </row>
    <row r="110" spans="2:20" x14ac:dyDescent="0.15">
      <c r="B110" s="447"/>
      <c r="C110" s="477" t="s">
        <v>170</v>
      </c>
      <c r="D110" s="479">
        <v>4.5</v>
      </c>
      <c r="E110" s="493" t="s">
        <v>815</v>
      </c>
      <c r="F110" s="180"/>
      <c r="G110" s="488"/>
      <c r="H110" s="488"/>
      <c r="I110" s="489"/>
      <c r="J110" s="448"/>
      <c r="K110" s="448"/>
      <c r="L110" s="448"/>
      <c r="M110" s="464"/>
      <c r="N110" s="464"/>
      <c r="O110" s="495"/>
      <c r="P110" s="471"/>
      <c r="Q110" s="448"/>
      <c r="R110" s="448"/>
      <c r="S110" s="448"/>
      <c r="T110" s="448"/>
    </row>
    <row r="111" spans="2:20" x14ac:dyDescent="0.15">
      <c r="B111" s="447"/>
      <c r="C111" s="477" t="s">
        <v>777</v>
      </c>
      <c r="D111" s="479">
        <v>5.68</v>
      </c>
      <c r="E111" s="493" t="s">
        <v>815</v>
      </c>
      <c r="F111" s="488"/>
      <c r="G111" s="226"/>
      <c r="H111" s="488"/>
      <c r="I111" s="489"/>
      <c r="J111" s="448"/>
      <c r="K111" s="448"/>
      <c r="L111" s="448"/>
      <c r="M111" s="464"/>
      <c r="N111" s="464"/>
      <c r="O111" s="448"/>
      <c r="P111" s="448"/>
      <c r="Q111" s="448"/>
      <c r="R111" s="448"/>
      <c r="S111" s="448"/>
      <c r="T111" s="448"/>
    </row>
    <row r="112" spans="2:20" x14ac:dyDescent="0.15">
      <c r="B112" s="447"/>
      <c r="C112" s="477" t="s">
        <v>779</v>
      </c>
      <c r="D112" s="479">
        <v>8.7799999999999994</v>
      </c>
      <c r="E112" s="493" t="s">
        <v>815</v>
      </c>
      <c r="F112" s="488"/>
      <c r="G112" s="488"/>
      <c r="H112" s="488"/>
      <c r="I112" s="489"/>
      <c r="J112" s="448"/>
      <c r="K112" s="448"/>
      <c r="L112" s="448"/>
      <c r="M112" s="464"/>
      <c r="N112" s="464"/>
      <c r="O112" s="448"/>
      <c r="P112" s="448"/>
      <c r="Q112" s="448"/>
      <c r="R112" s="448"/>
      <c r="S112" s="448"/>
      <c r="T112" s="448"/>
    </row>
    <row r="113" spans="2:19" ht="13.75" customHeight="1" thickBot="1" x14ac:dyDescent="0.2">
      <c r="B113" s="447"/>
      <c r="C113" s="496" t="s">
        <v>817</v>
      </c>
      <c r="D113" s="497">
        <v>11.27</v>
      </c>
      <c r="E113" s="498" t="s">
        <v>815</v>
      </c>
      <c r="F113" s="488"/>
      <c r="G113" s="488"/>
      <c r="H113" s="488"/>
      <c r="I113" s="489"/>
      <c r="J113" s="489"/>
      <c r="K113" s="448"/>
      <c r="L113" s="448"/>
      <c r="M113" s="464"/>
      <c r="N113" s="464"/>
      <c r="O113" s="448"/>
      <c r="P113" s="448"/>
      <c r="Q113" s="448"/>
      <c r="R113" s="448"/>
      <c r="S113" s="448"/>
    </row>
    <row r="114" spans="2:19" s="189" customFormat="1" x14ac:dyDescent="0.15">
      <c r="B114" s="481"/>
      <c r="C114" s="219" t="s">
        <v>802</v>
      </c>
      <c r="D114" s="456"/>
      <c r="E114" s="456"/>
      <c r="F114" s="456"/>
      <c r="G114" s="456"/>
      <c r="H114" s="456"/>
      <c r="I114" s="456"/>
      <c r="J114" s="456"/>
      <c r="K114" s="456"/>
      <c r="L114" s="456"/>
      <c r="M114" s="471"/>
      <c r="N114" s="456"/>
      <c r="O114" s="456"/>
      <c r="P114" s="456"/>
      <c r="Q114" s="456"/>
      <c r="R114" s="456"/>
      <c r="S114" s="456"/>
    </row>
    <row r="115" spans="2:19" ht="12.75" customHeight="1" x14ac:dyDescent="0.15">
      <c r="B115" s="447"/>
      <c r="C115" s="712" t="s">
        <v>818</v>
      </c>
      <c r="D115" s="699"/>
      <c r="E115" s="699"/>
      <c r="F115" s="699"/>
      <c r="G115" s="699"/>
      <c r="H115" s="699"/>
      <c r="I115" s="699"/>
      <c r="J115" s="699"/>
      <c r="K115" s="699"/>
      <c r="L115" s="448"/>
      <c r="M115" s="448"/>
      <c r="N115" s="448"/>
      <c r="O115" s="448"/>
      <c r="P115" s="448"/>
      <c r="Q115" s="448"/>
      <c r="R115" s="448"/>
      <c r="S115" s="448"/>
    </row>
    <row r="116" spans="2:19" x14ac:dyDescent="0.15">
      <c r="B116" s="447"/>
      <c r="C116" s="169" t="s">
        <v>804</v>
      </c>
      <c r="D116" s="448"/>
      <c r="E116" s="448"/>
      <c r="F116" s="448"/>
      <c r="G116" s="448"/>
      <c r="H116" s="448"/>
      <c r="I116" s="448"/>
      <c r="J116" s="448"/>
      <c r="K116" s="180"/>
      <c r="L116" s="448"/>
      <c r="M116" s="448"/>
      <c r="N116" s="448"/>
      <c r="O116" s="448"/>
      <c r="P116" s="448"/>
      <c r="Q116" s="448"/>
      <c r="R116" s="448"/>
      <c r="S116" s="448"/>
    </row>
    <row r="117" spans="2:19" x14ac:dyDescent="0.15">
      <c r="B117" s="447"/>
      <c r="C117" s="712" t="s">
        <v>805</v>
      </c>
      <c r="D117" s="699"/>
      <c r="E117" s="699"/>
      <c r="F117" s="699"/>
      <c r="G117" s="699"/>
      <c r="H117" s="699"/>
      <c r="I117" s="699"/>
      <c r="J117" s="699"/>
      <c r="K117" s="699"/>
      <c r="L117" s="448"/>
      <c r="M117" s="448"/>
      <c r="N117" s="448"/>
      <c r="O117" s="448"/>
      <c r="P117" s="448"/>
      <c r="Q117" s="448"/>
      <c r="R117" s="448"/>
      <c r="S117" s="448"/>
    </row>
    <row r="118" spans="2:19" ht="28.5" customHeight="1" x14ac:dyDescent="0.15">
      <c r="B118" s="448"/>
      <c r="C118" s="696" t="s">
        <v>819</v>
      </c>
      <c r="D118" s="699"/>
      <c r="E118" s="699"/>
      <c r="F118" s="699"/>
      <c r="G118" s="699"/>
      <c r="H118" s="699"/>
      <c r="I118" s="699"/>
      <c r="J118" s="699"/>
      <c r="K118" s="699"/>
      <c r="L118" s="448"/>
      <c r="M118" s="448"/>
      <c r="N118" s="448"/>
      <c r="O118" s="448"/>
      <c r="P118" s="448"/>
      <c r="Q118" s="448"/>
      <c r="R118" s="448"/>
      <c r="S118" s="448"/>
    </row>
    <row r="119" spans="2:19" x14ac:dyDescent="0.15">
      <c r="B119" s="447"/>
      <c r="C119" s="227" t="s">
        <v>820</v>
      </c>
      <c r="D119" s="228"/>
      <c r="E119" s="228"/>
      <c r="F119" s="228"/>
      <c r="G119" s="228"/>
      <c r="H119" s="228"/>
      <c r="I119" s="228"/>
      <c r="J119" s="228"/>
      <c r="K119" s="228"/>
      <c r="L119" s="448"/>
      <c r="M119" s="448"/>
      <c r="N119" s="448"/>
      <c r="O119" s="448"/>
      <c r="P119" s="448"/>
      <c r="Q119" s="448"/>
      <c r="R119" s="448"/>
      <c r="S119" s="448"/>
    </row>
    <row r="120" spans="2:19" x14ac:dyDescent="0.15">
      <c r="B120" s="447"/>
      <c r="C120" s="220" t="s">
        <v>809</v>
      </c>
      <c r="D120" s="221"/>
      <c r="E120" s="221"/>
      <c r="F120" s="221"/>
      <c r="G120" s="221"/>
      <c r="H120" s="221"/>
      <c r="I120" s="221"/>
      <c r="J120" s="221"/>
      <c r="K120" s="221"/>
      <c r="L120" s="448"/>
      <c r="M120" s="471"/>
      <c r="N120" s="348"/>
      <c r="O120" s="349"/>
      <c r="P120" s="349"/>
      <c r="Q120" s="348"/>
      <c r="R120" s="448"/>
      <c r="S120" s="170"/>
    </row>
    <row r="121" spans="2:19" x14ac:dyDescent="0.15">
      <c r="B121" s="447"/>
      <c r="C121" s="171" t="s">
        <v>810</v>
      </c>
      <c r="D121" s="221"/>
      <c r="E121" s="221"/>
      <c r="F121" s="221"/>
      <c r="G121" s="221"/>
      <c r="H121" s="221"/>
      <c r="I121" s="221"/>
      <c r="J121" s="221"/>
      <c r="K121" s="221"/>
      <c r="L121" s="448"/>
      <c r="M121" s="471"/>
      <c r="N121" s="348"/>
      <c r="O121" s="349"/>
      <c r="P121" s="349"/>
      <c r="Q121" s="348"/>
      <c r="R121" s="448"/>
      <c r="S121" s="170"/>
    </row>
    <row r="122" spans="2:19" x14ac:dyDescent="0.15">
      <c r="B122" s="447"/>
      <c r="C122" s="220" t="s">
        <v>821</v>
      </c>
      <c r="D122" s="228"/>
      <c r="E122" s="228"/>
      <c r="F122" s="448"/>
      <c r="G122" s="228"/>
      <c r="H122" s="228"/>
      <c r="I122" s="228"/>
      <c r="J122" s="228"/>
      <c r="K122" s="228"/>
      <c r="L122" s="448"/>
      <c r="M122" s="448"/>
      <c r="N122" s="448"/>
      <c r="O122" s="448"/>
      <c r="P122" s="448"/>
      <c r="Q122" s="448"/>
      <c r="R122" s="448"/>
      <c r="S122" s="448"/>
    </row>
    <row r="123" spans="2:19" x14ac:dyDescent="0.15">
      <c r="B123" s="447"/>
      <c r="C123" s="187"/>
      <c r="D123" s="448"/>
      <c r="E123" s="448"/>
      <c r="F123" s="228"/>
      <c r="G123" s="448"/>
      <c r="H123" s="448"/>
      <c r="I123" s="448"/>
      <c r="J123" s="448"/>
      <c r="K123" s="448"/>
      <c r="L123" s="448"/>
      <c r="M123" s="448"/>
      <c r="N123" s="448"/>
      <c r="O123" s="448"/>
      <c r="P123" s="448"/>
      <c r="Q123" s="448"/>
      <c r="R123" s="448"/>
      <c r="S123" s="448"/>
    </row>
    <row r="124" spans="2:19" ht="18" customHeight="1" x14ac:dyDescent="0.2">
      <c r="B124" s="229" t="s">
        <v>822</v>
      </c>
      <c r="C124" s="230" t="s">
        <v>823</v>
      </c>
      <c r="D124" s="499"/>
      <c r="E124" s="499"/>
      <c r="F124" s="499"/>
      <c r="G124" s="499"/>
      <c r="H124" s="499"/>
      <c r="I124" s="499"/>
      <c r="J124" s="499"/>
      <c r="K124" s="499"/>
      <c r="L124" s="500"/>
      <c r="M124" s="448"/>
      <c r="N124" s="448"/>
      <c r="O124" s="448"/>
      <c r="P124" s="448"/>
      <c r="Q124" s="448"/>
      <c r="R124" s="448"/>
      <c r="S124" s="448"/>
    </row>
    <row r="125" spans="2:19" ht="13.75" customHeight="1" thickBot="1" x14ac:dyDescent="0.2">
      <c r="B125" s="448"/>
      <c r="C125" s="448"/>
      <c r="D125" s="448"/>
      <c r="E125" s="448"/>
      <c r="F125" s="448"/>
      <c r="G125" s="448"/>
      <c r="H125" s="448"/>
      <c r="I125" s="448"/>
      <c r="J125" s="448"/>
      <c r="K125" s="448"/>
      <c r="L125" s="448"/>
      <c r="M125" s="448"/>
      <c r="N125" s="448"/>
      <c r="O125" s="448"/>
      <c r="P125" s="448"/>
      <c r="Q125" s="448"/>
      <c r="R125" s="448"/>
      <c r="S125" s="448"/>
    </row>
    <row r="126" spans="2:19" ht="31.75" customHeight="1" thickBot="1" x14ac:dyDescent="0.2">
      <c r="B126" s="448"/>
      <c r="C126" s="222" t="s">
        <v>824</v>
      </c>
      <c r="D126" s="231" t="s">
        <v>825</v>
      </c>
      <c r="E126" s="223" t="s">
        <v>826</v>
      </c>
      <c r="F126" s="224" t="s">
        <v>827</v>
      </c>
      <c r="G126" s="448"/>
      <c r="H126" s="471"/>
      <c r="I126" s="448"/>
      <c r="J126" s="448"/>
      <c r="K126" s="448"/>
      <c r="L126" s="448"/>
      <c r="M126" s="448"/>
      <c r="N126" s="448"/>
      <c r="O126" s="448"/>
      <c r="P126" s="448"/>
      <c r="Q126" s="448"/>
      <c r="R126" s="448"/>
      <c r="S126" s="448"/>
    </row>
    <row r="127" spans="2:19" x14ac:dyDescent="0.15">
      <c r="B127" s="448"/>
      <c r="C127" s="501" t="s">
        <v>828</v>
      </c>
      <c r="D127" s="502" t="s">
        <v>829</v>
      </c>
      <c r="E127" s="503">
        <v>0.1696</v>
      </c>
      <c r="F127" s="504">
        <v>1.9699999999999999E-2</v>
      </c>
      <c r="G127" s="448"/>
      <c r="H127" s="448"/>
      <c r="I127" s="448"/>
      <c r="J127" s="448"/>
      <c r="K127" s="448"/>
      <c r="L127" s="448"/>
      <c r="M127" s="448"/>
      <c r="N127" s="448"/>
      <c r="O127" s="448"/>
      <c r="P127" s="448"/>
      <c r="Q127" s="448"/>
      <c r="R127" s="448"/>
      <c r="S127" s="448"/>
    </row>
    <row r="128" spans="2:19" x14ac:dyDescent="0.15">
      <c r="B128" s="448"/>
      <c r="C128" s="505"/>
      <c r="D128" s="506">
        <v>1975</v>
      </c>
      <c r="E128" s="507">
        <v>0.14230000000000001</v>
      </c>
      <c r="F128" s="508">
        <v>4.4299999999999999E-2</v>
      </c>
      <c r="G128" s="448"/>
      <c r="H128" s="448"/>
      <c r="I128" s="448"/>
      <c r="J128" s="448"/>
      <c r="K128" s="448"/>
      <c r="L128" s="448"/>
      <c r="M128" s="448"/>
      <c r="N128" s="448"/>
      <c r="O128" s="448"/>
      <c r="P128" s="448"/>
      <c r="Q128" s="448"/>
      <c r="R128" s="448"/>
      <c r="S128" s="448"/>
    </row>
    <row r="129" spans="2:6" x14ac:dyDescent="0.15">
      <c r="B129" s="448"/>
      <c r="C129" s="505"/>
      <c r="D129" s="506" t="s">
        <v>830</v>
      </c>
      <c r="E129" s="507">
        <v>0.1406</v>
      </c>
      <c r="F129" s="508">
        <v>4.58E-2</v>
      </c>
    </row>
    <row r="130" spans="2:6" x14ac:dyDescent="0.15">
      <c r="B130" s="448"/>
      <c r="C130" s="505"/>
      <c r="D130" s="506" t="s">
        <v>831</v>
      </c>
      <c r="E130" s="507">
        <v>0.1389</v>
      </c>
      <c r="F130" s="508">
        <v>4.7300000000000002E-2</v>
      </c>
    </row>
    <row r="131" spans="2:6" x14ac:dyDescent="0.15">
      <c r="B131" s="448"/>
      <c r="C131" s="505"/>
      <c r="D131" s="506">
        <v>1980</v>
      </c>
      <c r="E131" s="507">
        <v>0.1326</v>
      </c>
      <c r="F131" s="508">
        <v>4.99E-2</v>
      </c>
    </row>
    <row r="132" spans="2:6" x14ac:dyDescent="0.15">
      <c r="B132" s="448"/>
      <c r="C132" s="505"/>
      <c r="D132" s="506">
        <v>1981</v>
      </c>
      <c r="E132" s="507">
        <v>8.0199999999999994E-2</v>
      </c>
      <c r="F132" s="508">
        <v>6.2600000000000003E-2</v>
      </c>
    </row>
    <row r="133" spans="2:6" x14ac:dyDescent="0.15">
      <c r="B133" s="448"/>
      <c r="C133" s="505"/>
      <c r="D133" s="506">
        <v>1982</v>
      </c>
      <c r="E133" s="507">
        <v>7.9500000000000001E-2</v>
      </c>
      <c r="F133" s="508">
        <v>6.2700000000000006E-2</v>
      </c>
    </row>
    <row r="134" spans="2:6" x14ac:dyDescent="0.15">
      <c r="B134" s="448"/>
      <c r="C134" s="505"/>
      <c r="D134" s="506">
        <v>1983</v>
      </c>
      <c r="E134" s="507">
        <v>7.8200000000000006E-2</v>
      </c>
      <c r="F134" s="508">
        <v>6.3E-2</v>
      </c>
    </row>
    <row r="135" spans="2:6" x14ac:dyDescent="0.15">
      <c r="B135" s="448"/>
      <c r="C135" s="505"/>
      <c r="D135" s="506" t="s">
        <v>832</v>
      </c>
      <c r="E135" s="507">
        <v>7.0400000000000004E-2</v>
      </c>
      <c r="F135" s="508">
        <v>6.4699999999999994E-2</v>
      </c>
    </row>
    <row r="136" spans="2:6" x14ac:dyDescent="0.15">
      <c r="B136" s="448"/>
      <c r="C136" s="505"/>
      <c r="D136" s="509">
        <v>1994</v>
      </c>
      <c r="E136" s="510">
        <v>6.1699999999999998E-2</v>
      </c>
      <c r="F136" s="511">
        <v>6.0299999999999999E-2</v>
      </c>
    </row>
    <row r="137" spans="2:6" x14ac:dyDescent="0.15">
      <c r="B137" s="448"/>
      <c r="C137" s="505"/>
      <c r="D137" s="509">
        <v>1995</v>
      </c>
      <c r="E137" s="510">
        <v>5.3100000000000001E-2</v>
      </c>
      <c r="F137" s="511">
        <v>5.6000000000000001E-2</v>
      </c>
    </row>
    <row r="138" spans="2:6" x14ac:dyDescent="0.15">
      <c r="B138" s="448"/>
      <c r="C138" s="505"/>
      <c r="D138" s="509">
        <v>1996</v>
      </c>
      <c r="E138" s="510">
        <v>4.3400000000000001E-2</v>
      </c>
      <c r="F138" s="511">
        <v>5.0299999999999997E-2</v>
      </c>
    </row>
    <row r="139" spans="2:6" x14ac:dyDescent="0.15">
      <c r="B139" s="448"/>
      <c r="C139" s="505"/>
      <c r="D139" s="509">
        <v>1997</v>
      </c>
      <c r="E139" s="510">
        <v>3.3700000000000001E-2</v>
      </c>
      <c r="F139" s="511">
        <v>4.4600000000000001E-2</v>
      </c>
    </row>
    <row r="140" spans="2:6" x14ac:dyDescent="0.15">
      <c r="B140" s="448"/>
      <c r="C140" s="505"/>
      <c r="D140" s="509">
        <v>1998</v>
      </c>
      <c r="E140" s="510">
        <v>2.4E-2</v>
      </c>
      <c r="F140" s="511">
        <v>3.8899999999999997E-2</v>
      </c>
    </row>
    <row r="141" spans="2:6" x14ac:dyDescent="0.15">
      <c r="B141" s="448"/>
      <c r="C141" s="505"/>
      <c r="D141" s="509">
        <v>1999</v>
      </c>
      <c r="E141" s="510">
        <v>2.1499999999999998E-2</v>
      </c>
      <c r="F141" s="511">
        <v>3.5499999999999997E-2</v>
      </c>
    </row>
    <row r="142" spans="2:6" x14ac:dyDescent="0.15">
      <c r="B142" s="448"/>
      <c r="C142" s="505"/>
      <c r="D142" s="509">
        <v>2000</v>
      </c>
      <c r="E142" s="510">
        <v>1.7500000000000002E-2</v>
      </c>
      <c r="F142" s="511">
        <v>3.04E-2</v>
      </c>
    </row>
    <row r="143" spans="2:6" x14ac:dyDescent="0.15">
      <c r="B143" s="448"/>
      <c r="C143" s="505"/>
      <c r="D143" s="509">
        <v>2001</v>
      </c>
      <c r="E143" s="510">
        <v>1.0500000000000001E-2</v>
      </c>
      <c r="F143" s="511">
        <v>2.12E-2</v>
      </c>
    </row>
    <row r="144" spans="2:6" x14ac:dyDescent="0.15">
      <c r="B144" s="448"/>
      <c r="C144" s="505"/>
      <c r="D144" s="509">
        <v>2002</v>
      </c>
      <c r="E144" s="510">
        <v>1.0200000000000001E-2</v>
      </c>
      <c r="F144" s="511">
        <v>2.07E-2</v>
      </c>
    </row>
    <row r="145" spans="2:6" x14ac:dyDescent="0.15">
      <c r="B145" s="448"/>
      <c r="C145" s="505"/>
      <c r="D145" s="509">
        <v>2003</v>
      </c>
      <c r="E145" s="510">
        <v>9.4999999999999998E-3</v>
      </c>
      <c r="F145" s="511">
        <v>1.8100000000000002E-2</v>
      </c>
    </row>
    <row r="146" spans="2:6" x14ac:dyDescent="0.15">
      <c r="B146" s="448"/>
      <c r="C146" s="505"/>
      <c r="D146" s="509">
        <v>2004</v>
      </c>
      <c r="E146" s="510">
        <v>7.7999999999999996E-3</v>
      </c>
      <c r="F146" s="511">
        <v>8.5000000000000006E-3</v>
      </c>
    </row>
    <row r="147" spans="2:6" x14ac:dyDescent="0.15">
      <c r="B147" s="448"/>
      <c r="C147" s="505"/>
      <c r="D147" s="509">
        <v>2005</v>
      </c>
      <c r="E147" s="510">
        <v>7.4999999999999997E-3</v>
      </c>
      <c r="F147" s="511">
        <v>6.7000000000000002E-3</v>
      </c>
    </row>
    <row r="148" spans="2:6" x14ac:dyDescent="0.15">
      <c r="B148" s="448"/>
      <c r="C148" s="505"/>
      <c r="D148" s="509">
        <v>2006</v>
      </c>
      <c r="E148" s="510">
        <v>7.6E-3</v>
      </c>
      <c r="F148" s="511">
        <v>7.4999999999999997E-3</v>
      </c>
    </row>
    <row r="149" spans="2:6" x14ac:dyDescent="0.15">
      <c r="B149" s="448"/>
      <c r="C149" s="505"/>
      <c r="D149" s="509">
        <v>2007</v>
      </c>
      <c r="E149" s="510">
        <v>7.1999999999999998E-3</v>
      </c>
      <c r="F149" s="511">
        <v>5.1999999999999998E-3</v>
      </c>
    </row>
    <row r="150" spans="2:6" x14ac:dyDescent="0.15">
      <c r="B150" s="448"/>
      <c r="C150" s="505"/>
      <c r="D150" s="509">
        <v>2008</v>
      </c>
      <c r="E150" s="510">
        <v>7.1999999999999998E-3</v>
      </c>
      <c r="F150" s="511">
        <v>4.8999999999999998E-3</v>
      </c>
    </row>
    <row r="151" spans="2:6" x14ac:dyDescent="0.15">
      <c r="B151" s="448"/>
      <c r="C151" s="505"/>
      <c r="D151" s="509">
        <v>2009</v>
      </c>
      <c r="E151" s="512">
        <v>7.1000000000000004E-3</v>
      </c>
      <c r="F151" s="513">
        <v>4.5999999999999999E-3</v>
      </c>
    </row>
    <row r="152" spans="2:6" x14ac:dyDescent="0.15">
      <c r="B152" s="448"/>
      <c r="C152" s="505"/>
      <c r="D152" s="509">
        <v>2010</v>
      </c>
      <c r="E152" s="512">
        <v>7.1000000000000004E-3</v>
      </c>
      <c r="F152" s="513">
        <v>4.5999999999999999E-3</v>
      </c>
    </row>
    <row r="153" spans="2:6" x14ac:dyDescent="0.15">
      <c r="B153" s="448"/>
      <c r="C153" s="505"/>
      <c r="D153" s="509">
        <v>2011</v>
      </c>
      <c r="E153" s="512">
        <v>7.1000000000000004E-3</v>
      </c>
      <c r="F153" s="513">
        <v>4.5999999999999999E-3</v>
      </c>
    </row>
    <row r="154" spans="2:6" x14ac:dyDescent="0.15">
      <c r="B154" s="448"/>
      <c r="C154" s="505"/>
      <c r="D154" s="509">
        <v>2012</v>
      </c>
      <c r="E154" s="512">
        <v>7.1000000000000004E-3</v>
      </c>
      <c r="F154" s="513">
        <v>4.5999999999999999E-3</v>
      </c>
    </row>
    <row r="155" spans="2:6" x14ac:dyDescent="0.15">
      <c r="B155" s="448"/>
      <c r="C155" s="505"/>
      <c r="D155" s="509">
        <v>2013</v>
      </c>
      <c r="E155" s="512">
        <v>7.1000000000000004E-3</v>
      </c>
      <c r="F155" s="513">
        <v>4.5999999999999999E-3</v>
      </c>
    </row>
    <row r="156" spans="2:6" x14ac:dyDescent="0.15">
      <c r="B156" s="448"/>
      <c r="C156" s="505"/>
      <c r="D156" s="509">
        <v>2014</v>
      </c>
      <c r="E156" s="512">
        <v>7.1000000000000004E-3</v>
      </c>
      <c r="F156" s="513">
        <v>4.5999999999999999E-3</v>
      </c>
    </row>
    <row r="157" spans="2:6" x14ac:dyDescent="0.15">
      <c r="B157" s="448"/>
      <c r="C157" s="505"/>
      <c r="D157" s="509">
        <v>2015</v>
      </c>
      <c r="E157" s="512">
        <v>6.7999999999999996E-3</v>
      </c>
      <c r="F157" s="513">
        <v>4.1999999999999997E-3</v>
      </c>
    </row>
    <row r="158" spans="2:6" x14ac:dyDescent="0.15">
      <c r="B158" s="448"/>
      <c r="C158" s="505"/>
      <c r="D158" s="509">
        <v>2016</v>
      </c>
      <c r="E158" s="512">
        <v>6.4999999999999997E-3</v>
      </c>
      <c r="F158" s="513">
        <v>3.8E-3</v>
      </c>
    </row>
    <row r="159" spans="2:6" x14ac:dyDescent="0.15">
      <c r="B159" s="448"/>
      <c r="C159" s="505"/>
      <c r="D159" s="509">
        <v>2017</v>
      </c>
      <c r="E159" s="512">
        <v>5.4000000000000003E-3</v>
      </c>
      <c r="F159" s="513">
        <v>1.8E-3</v>
      </c>
    </row>
    <row r="160" spans="2:6" x14ac:dyDescent="0.15">
      <c r="B160" s="448"/>
      <c r="C160" s="505"/>
      <c r="D160" s="509">
        <v>2018</v>
      </c>
      <c r="E160" s="512">
        <v>5.1999999999999998E-3</v>
      </c>
      <c r="F160" s="513">
        <v>1.6000000000000001E-3</v>
      </c>
    </row>
    <row r="161" spans="2:6" x14ac:dyDescent="0.15">
      <c r="B161" s="448"/>
      <c r="C161" s="505"/>
      <c r="D161" s="509">
        <v>2019</v>
      </c>
      <c r="E161" s="512">
        <v>5.1000000000000004E-3</v>
      </c>
      <c r="F161" s="513">
        <v>1.5E-3</v>
      </c>
    </row>
    <row r="162" spans="2:6" x14ac:dyDescent="0.15">
      <c r="B162" s="448"/>
      <c r="C162" s="505"/>
      <c r="D162" s="509">
        <v>2020</v>
      </c>
      <c r="E162" s="512">
        <v>5.0000000000000001E-3</v>
      </c>
      <c r="F162" s="513">
        <v>1.4E-3</v>
      </c>
    </row>
    <row r="163" spans="2:6" x14ac:dyDescent="0.15">
      <c r="B163" s="448"/>
      <c r="C163" s="505"/>
      <c r="D163" s="509">
        <v>2021</v>
      </c>
      <c r="E163" s="512">
        <v>5.1000000000000004E-3</v>
      </c>
      <c r="F163" s="513">
        <v>1.4E-3</v>
      </c>
    </row>
    <row r="164" spans="2:6" ht="13.75" customHeight="1" thickBot="1" x14ac:dyDescent="0.2">
      <c r="B164" s="448"/>
      <c r="C164" s="514"/>
      <c r="D164" s="515">
        <v>2022</v>
      </c>
      <c r="E164" s="516">
        <v>5.0000000000000001E-3</v>
      </c>
      <c r="F164" s="517">
        <v>1.4E-3</v>
      </c>
    </row>
    <row r="165" spans="2:6" x14ac:dyDescent="0.15">
      <c r="B165" s="448"/>
      <c r="C165" s="501" t="s">
        <v>833</v>
      </c>
      <c r="D165" s="502" t="s">
        <v>829</v>
      </c>
      <c r="E165" s="503">
        <v>0.1908</v>
      </c>
      <c r="F165" s="504">
        <v>2.18E-2</v>
      </c>
    </row>
    <row r="166" spans="2:6" x14ac:dyDescent="0.15">
      <c r="B166" s="448"/>
      <c r="C166" s="505" t="s">
        <v>834</v>
      </c>
      <c r="D166" s="509">
        <v>1975</v>
      </c>
      <c r="E166" s="510">
        <v>0.16339999999999999</v>
      </c>
      <c r="F166" s="511">
        <v>5.1299999999999998E-2</v>
      </c>
    </row>
    <row r="167" spans="2:6" x14ac:dyDescent="0.15">
      <c r="B167" s="448"/>
      <c r="C167" s="505"/>
      <c r="D167" s="509">
        <v>1976</v>
      </c>
      <c r="E167" s="510">
        <v>0.15939999999999999</v>
      </c>
      <c r="F167" s="511">
        <v>5.5500000000000001E-2</v>
      </c>
    </row>
    <row r="168" spans="2:6" x14ac:dyDescent="0.15">
      <c r="B168" s="448"/>
      <c r="C168" s="505"/>
      <c r="D168" s="509" t="s">
        <v>835</v>
      </c>
      <c r="E168" s="510">
        <v>0.16139999999999999</v>
      </c>
      <c r="F168" s="511">
        <v>5.3400000000000003E-2</v>
      </c>
    </row>
    <row r="169" spans="2:6" x14ac:dyDescent="0.15">
      <c r="B169" s="448"/>
      <c r="C169" s="505"/>
      <c r="D169" s="509" t="s">
        <v>836</v>
      </c>
      <c r="E169" s="510">
        <v>0.15939999999999999</v>
      </c>
      <c r="F169" s="511">
        <v>5.5500000000000001E-2</v>
      </c>
    </row>
    <row r="170" spans="2:6" x14ac:dyDescent="0.15">
      <c r="B170" s="448"/>
      <c r="C170" s="505"/>
      <c r="D170" s="509">
        <v>1981</v>
      </c>
      <c r="E170" s="510">
        <v>0.1479</v>
      </c>
      <c r="F170" s="511">
        <v>6.6000000000000003E-2</v>
      </c>
    </row>
    <row r="171" spans="2:6" x14ac:dyDescent="0.15">
      <c r="B171" s="448"/>
      <c r="C171" s="505"/>
      <c r="D171" s="509">
        <v>1982</v>
      </c>
      <c r="E171" s="510">
        <v>0.14419999999999999</v>
      </c>
      <c r="F171" s="511">
        <v>6.8099999999999994E-2</v>
      </c>
    </row>
    <row r="172" spans="2:6" x14ac:dyDescent="0.15">
      <c r="B172" s="448"/>
      <c r="C172" s="505"/>
      <c r="D172" s="509">
        <v>1983</v>
      </c>
      <c r="E172" s="510">
        <v>0.1368</v>
      </c>
      <c r="F172" s="511">
        <v>7.22E-2</v>
      </c>
    </row>
    <row r="173" spans="2:6" x14ac:dyDescent="0.15">
      <c r="B173" s="448"/>
      <c r="C173" s="505"/>
      <c r="D173" s="509">
        <v>1984</v>
      </c>
      <c r="E173" s="510">
        <v>0.12939999999999999</v>
      </c>
      <c r="F173" s="511">
        <v>7.6399999999999996E-2</v>
      </c>
    </row>
    <row r="174" spans="2:6" x14ac:dyDescent="0.15">
      <c r="B174" s="448"/>
      <c r="C174" s="505"/>
      <c r="D174" s="509">
        <v>1985</v>
      </c>
      <c r="E174" s="510">
        <v>0.122</v>
      </c>
      <c r="F174" s="511">
        <v>8.0600000000000005E-2</v>
      </c>
    </row>
    <row r="175" spans="2:6" x14ac:dyDescent="0.15">
      <c r="B175" s="448"/>
      <c r="C175" s="505"/>
      <c r="D175" s="509">
        <v>1986</v>
      </c>
      <c r="E175" s="510">
        <v>0.11459999999999999</v>
      </c>
      <c r="F175" s="511">
        <v>8.48E-2</v>
      </c>
    </row>
    <row r="176" spans="2:6" x14ac:dyDescent="0.15">
      <c r="B176" s="448"/>
      <c r="C176" s="505"/>
      <c r="D176" s="509" t="s">
        <v>837</v>
      </c>
      <c r="E176" s="510">
        <v>8.1299999999999997E-2</v>
      </c>
      <c r="F176" s="511">
        <v>0.10349999999999999</v>
      </c>
    </row>
    <row r="177" spans="2:6" x14ac:dyDescent="0.15">
      <c r="B177" s="448"/>
      <c r="C177" s="505"/>
      <c r="D177" s="509">
        <v>1994</v>
      </c>
      <c r="E177" s="510">
        <v>6.4600000000000005E-2</v>
      </c>
      <c r="F177" s="511">
        <v>9.8199999999999996E-2</v>
      </c>
    </row>
    <row r="178" spans="2:6" x14ac:dyDescent="0.15">
      <c r="B178" s="448"/>
      <c r="C178" s="505"/>
      <c r="D178" s="509">
        <v>1995</v>
      </c>
      <c r="E178" s="510">
        <v>5.1700000000000003E-2</v>
      </c>
      <c r="F178" s="511">
        <v>9.0800000000000006E-2</v>
      </c>
    </row>
    <row r="179" spans="2:6" x14ac:dyDescent="0.15">
      <c r="B179" s="448"/>
      <c r="C179" s="505"/>
      <c r="D179" s="509">
        <v>1996</v>
      </c>
      <c r="E179" s="510">
        <v>4.5199999999999997E-2</v>
      </c>
      <c r="F179" s="511">
        <v>8.7099999999999997E-2</v>
      </c>
    </row>
    <row r="180" spans="2:6" x14ac:dyDescent="0.15">
      <c r="B180" s="448"/>
      <c r="C180" s="505"/>
      <c r="D180" s="509">
        <v>1997</v>
      </c>
      <c r="E180" s="510">
        <v>4.5199999999999997E-2</v>
      </c>
      <c r="F180" s="511">
        <v>8.7099999999999997E-2</v>
      </c>
    </row>
    <row r="181" spans="2:6" x14ac:dyDescent="0.15">
      <c r="B181" s="448"/>
      <c r="C181" s="505"/>
      <c r="D181" s="509">
        <v>1998</v>
      </c>
      <c r="E181" s="510">
        <v>4.1200000000000001E-2</v>
      </c>
      <c r="F181" s="511">
        <v>7.8700000000000006E-2</v>
      </c>
    </row>
    <row r="182" spans="2:6" x14ac:dyDescent="0.15">
      <c r="B182" s="448"/>
      <c r="C182" s="505"/>
      <c r="D182" s="509">
        <v>1999</v>
      </c>
      <c r="E182" s="510">
        <v>3.3300000000000003E-2</v>
      </c>
      <c r="F182" s="511">
        <v>6.1800000000000001E-2</v>
      </c>
    </row>
    <row r="183" spans="2:6" x14ac:dyDescent="0.15">
      <c r="B183" s="448"/>
      <c r="C183" s="505"/>
      <c r="D183" s="509">
        <v>2000</v>
      </c>
      <c r="E183" s="510">
        <v>3.4000000000000002E-2</v>
      </c>
      <c r="F183" s="511">
        <v>6.3100000000000003E-2</v>
      </c>
    </row>
    <row r="184" spans="2:6" x14ac:dyDescent="0.15">
      <c r="B184" s="448"/>
      <c r="C184" s="505"/>
      <c r="D184" s="509">
        <v>2001</v>
      </c>
      <c r="E184" s="510">
        <v>2.2100000000000002E-2</v>
      </c>
      <c r="F184" s="511">
        <v>3.7900000000000003E-2</v>
      </c>
    </row>
    <row r="185" spans="2:6" x14ac:dyDescent="0.15">
      <c r="B185" s="448"/>
      <c r="C185" s="505"/>
      <c r="D185" s="509">
        <v>2002</v>
      </c>
      <c r="E185" s="510">
        <v>2.4199999999999999E-2</v>
      </c>
      <c r="F185" s="511">
        <v>4.24E-2</v>
      </c>
    </row>
    <row r="186" spans="2:6" x14ac:dyDescent="0.15">
      <c r="B186" s="448"/>
      <c r="C186" s="505"/>
      <c r="D186" s="509">
        <v>2003</v>
      </c>
      <c r="E186" s="510">
        <v>2.2100000000000002E-2</v>
      </c>
      <c r="F186" s="511">
        <v>3.73E-2</v>
      </c>
    </row>
    <row r="187" spans="2:6" x14ac:dyDescent="0.15">
      <c r="B187" s="448"/>
      <c r="C187" s="505"/>
      <c r="D187" s="509">
        <v>2004</v>
      </c>
      <c r="E187" s="510">
        <v>1.15E-2</v>
      </c>
      <c r="F187" s="511">
        <v>8.8000000000000005E-3</v>
      </c>
    </row>
    <row r="188" spans="2:6" x14ac:dyDescent="0.15">
      <c r="B188" s="448"/>
      <c r="C188" s="505"/>
      <c r="D188" s="509">
        <v>2005</v>
      </c>
      <c r="E188" s="510">
        <v>1.0500000000000001E-2</v>
      </c>
      <c r="F188" s="511">
        <v>6.4000000000000003E-3</v>
      </c>
    </row>
    <row r="189" spans="2:6" x14ac:dyDescent="0.15">
      <c r="B189" s="448"/>
      <c r="C189" s="505"/>
      <c r="D189" s="509">
        <v>2006</v>
      </c>
      <c r="E189" s="510">
        <v>1.0800000000000001E-2</v>
      </c>
      <c r="F189" s="511">
        <v>8.0000000000000002E-3</v>
      </c>
    </row>
    <row r="190" spans="2:6" x14ac:dyDescent="0.15">
      <c r="B190" s="448"/>
      <c r="C190" s="505"/>
      <c r="D190" s="509">
        <v>2007</v>
      </c>
      <c r="E190" s="510">
        <v>1.03E-2</v>
      </c>
      <c r="F190" s="511">
        <v>6.1000000000000004E-3</v>
      </c>
    </row>
    <row r="191" spans="2:6" x14ac:dyDescent="0.15">
      <c r="B191" s="448"/>
      <c r="C191" s="505"/>
      <c r="D191" s="509">
        <v>2008</v>
      </c>
      <c r="E191" s="512">
        <v>9.4999999999999998E-3</v>
      </c>
      <c r="F191" s="513">
        <v>3.5999999999999999E-3</v>
      </c>
    </row>
    <row r="192" spans="2:6" x14ac:dyDescent="0.15">
      <c r="B192" s="448"/>
      <c r="C192" s="505"/>
      <c r="D192" s="509">
        <v>2009</v>
      </c>
      <c r="E192" s="512">
        <v>9.4999999999999998E-3</v>
      </c>
      <c r="F192" s="513">
        <v>3.5999999999999999E-3</v>
      </c>
    </row>
    <row r="193" spans="2:6" x14ac:dyDescent="0.15">
      <c r="B193" s="448"/>
      <c r="C193" s="505"/>
      <c r="D193" s="509">
        <v>2010</v>
      </c>
      <c r="E193" s="512">
        <v>9.4999999999999998E-3</v>
      </c>
      <c r="F193" s="513">
        <v>3.5000000000000001E-3</v>
      </c>
    </row>
    <row r="194" spans="2:6" x14ac:dyDescent="0.15">
      <c r="B194" s="448"/>
      <c r="C194" s="505"/>
      <c r="D194" s="509">
        <v>2011</v>
      </c>
      <c r="E194" s="512">
        <v>9.5999999999999992E-3</v>
      </c>
      <c r="F194" s="513">
        <v>3.3999999999999998E-3</v>
      </c>
    </row>
    <row r="195" spans="2:6" x14ac:dyDescent="0.15">
      <c r="B195" s="448"/>
      <c r="C195" s="505"/>
      <c r="D195" s="509">
        <v>2012</v>
      </c>
      <c r="E195" s="512">
        <v>9.5999999999999992E-3</v>
      </c>
      <c r="F195" s="513">
        <v>3.3E-3</v>
      </c>
    </row>
    <row r="196" spans="2:6" x14ac:dyDescent="0.15">
      <c r="B196" s="448"/>
      <c r="C196" s="505"/>
      <c r="D196" s="509">
        <v>2013</v>
      </c>
      <c r="E196" s="512">
        <v>9.4999999999999998E-3</v>
      </c>
      <c r="F196" s="513">
        <v>3.5000000000000001E-3</v>
      </c>
    </row>
    <row r="197" spans="2:6" x14ac:dyDescent="0.15">
      <c r="B197" s="448"/>
      <c r="C197" s="505"/>
      <c r="D197" s="509">
        <v>2014</v>
      </c>
      <c r="E197" s="512">
        <v>9.4999999999999998E-3</v>
      </c>
      <c r="F197" s="513">
        <v>3.3E-3</v>
      </c>
    </row>
    <row r="198" spans="2:6" x14ac:dyDescent="0.15">
      <c r="B198" s="448"/>
      <c r="C198" s="505"/>
      <c r="D198" s="509">
        <v>2015</v>
      </c>
      <c r="E198" s="512">
        <v>9.4000000000000004E-3</v>
      </c>
      <c r="F198" s="513">
        <v>3.0999999999999999E-3</v>
      </c>
    </row>
    <row r="199" spans="2:6" x14ac:dyDescent="0.15">
      <c r="B199" s="448"/>
      <c r="C199" s="505"/>
      <c r="D199" s="509">
        <v>2016</v>
      </c>
      <c r="E199" s="512">
        <v>9.1000000000000004E-3</v>
      </c>
      <c r="F199" s="513">
        <v>2.8999999999999998E-3</v>
      </c>
    </row>
    <row r="200" spans="2:6" x14ac:dyDescent="0.15">
      <c r="B200" s="448"/>
      <c r="C200" s="505"/>
      <c r="D200" s="509">
        <v>2017</v>
      </c>
      <c r="E200" s="512">
        <v>8.3999999999999995E-3</v>
      </c>
      <c r="F200" s="513">
        <v>1.8E-3</v>
      </c>
    </row>
    <row r="201" spans="2:6" x14ac:dyDescent="0.15">
      <c r="B201" s="448"/>
      <c r="C201" s="505"/>
      <c r="D201" s="509">
        <v>2018</v>
      </c>
      <c r="E201" s="512">
        <v>8.0999999999999996E-3</v>
      </c>
      <c r="F201" s="513">
        <v>1.5E-3</v>
      </c>
    </row>
    <row r="202" spans="2:6" x14ac:dyDescent="0.15">
      <c r="B202" s="448"/>
      <c r="C202" s="505"/>
      <c r="D202" s="515">
        <v>2019</v>
      </c>
      <c r="E202" s="512">
        <v>8.0000000000000002E-3</v>
      </c>
      <c r="F202" s="513">
        <v>1.2999999999999999E-3</v>
      </c>
    </row>
    <row r="203" spans="2:6" x14ac:dyDescent="0.15">
      <c r="B203" s="448"/>
      <c r="C203" s="505"/>
      <c r="D203" s="515">
        <v>2020</v>
      </c>
      <c r="E203" s="512">
        <v>7.9000000000000008E-3</v>
      </c>
      <c r="F203" s="513">
        <v>1.1999999999999999E-3</v>
      </c>
    </row>
    <row r="204" spans="2:6" x14ac:dyDescent="0.15">
      <c r="B204" s="448"/>
      <c r="C204" s="505"/>
      <c r="D204" s="515">
        <v>2021</v>
      </c>
      <c r="E204" s="512">
        <v>7.9000000000000008E-3</v>
      </c>
      <c r="F204" s="513">
        <v>1.1999999999999999E-3</v>
      </c>
    </row>
    <row r="205" spans="2:6" ht="13.75" customHeight="1" thickBot="1" x14ac:dyDescent="0.2">
      <c r="B205" s="448"/>
      <c r="C205" s="514"/>
      <c r="D205" s="515">
        <v>2022</v>
      </c>
      <c r="E205" s="516">
        <v>7.9000000000000008E-3</v>
      </c>
      <c r="F205" s="517">
        <v>1.1999999999999999E-3</v>
      </c>
    </row>
    <row r="206" spans="2:6" x14ac:dyDescent="0.15">
      <c r="B206" s="448"/>
      <c r="C206" s="501" t="s">
        <v>838</v>
      </c>
      <c r="D206" s="502" t="s">
        <v>839</v>
      </c>
      <c r="E206" s="503">
        <v>0.46039999999999998</v>
      </c>
      <c r="F206" s="504">
        <v>4.9700000000000001E-2</v>
      </c>
    </row>
    <row r="207" spans="2:6" x14ac:dyDescent="0.15">
      <c r="B207" s="448"/>
      <c r="C207" s="505"/>
      <c r="D207" s="509" t="s">
        <v>840</v>
      </c>
      <c r="E207" s="510">
        <v>0.44919999999999999</v>
      </c>
      <c r="F207" s="511">
        <v>5.3800000000000001E-2</v>
      </c>
    </row>
    <row r="208" spans="2:6" x14ac:dyDescent="0.15">
      <c r="B208" s="448"/>
      <c r="C208" s="505"/>
      <c r="D208" s="509" t="s">
        <v>841</v>
      </c>
      <c r="E208" s="510">
        <v>0.40899999999999997</v>
      </c>
      <c r="F208" s="511">
        <v>5.1499999999999997E-2</v>
      </c>
    </row>
    <row r="209" spans="2:6" x14ac:dyDescent="0.15">
      <c r="B209" s="448"/>
      <c r="C209" s="505"/>
      <c r="D209" s="509">
        <v>1987</v>
      </c>
      <c r="E209" s="510">
        <v>0.36749999999999999</v>
      </c>
      <c r="F209" s="511">
        <v>8.4900000000000003E-2</v>
      </c>
    </row>
    <row r="210" spans="2:6" x14ac:dyDescent="0.15">
      <c r="B210" s="448"/>
      <c r="C210" s="505"/>
      <c r="D210" s="509" t="s">
        <v>842</v>
      </c>
      <c r="E210" s="510">
        <v>0.34920000000000001</v>
      </c>
      <c r="F210" s="511">
        <v>9.3299999999999994E-2</v>
      </c>
    </row>
    <row r="211" spans="2:6" x14ac:dyDescent="0.15">
      <c r="B211" s="448"/>
      <c r="C211" s="505"/>
      <c r="D211" s="509" t="s">
        <v>843</v>
      </c>
      <c r="E211" s="510">
        <v>0.3246</v>
      </c>
      <c r="F211" s="511">
        <v>0.1142</v>
      </c>
    </row>
    <row r="212" spans="2:6" x14ac:dyDescent="0.15">
      <c r="B212" s="448"/>
      <c r="C212" s="505"/>
      <c r="D212" s="509">
        <v>1996</v>
      </c>
      <c r="E212" s="510">
        <v>0.1278</v>
      </c>
      <c r="F212" s="511">
        <v>0.16800000000000001</v>
      </c>
    </row>
    <row r="213" spans="2:6" x14ac:dyDescent="0.15">
      <c r="B213" s="448"/>
      <c r="C213" s="505"/>
      <c r="D213" s="509">
        <v>1997</v>
      </c>
      <c r="E213" s="510">
        <v>9.2399999999999996E-2</v>
      </c>
      <c r="F213" s="511">
        <v>0.1726</v>
      </c>
    </row>
    <row r="214" spans="2:6" x14ac:dyDescent="0.15">
      <c r="B214" s="448"/>
      <c r="C214" s="505"/>
      <c r="D214" s="509">
        <v>1998</v>
      </c>
      <c r="E214" s="510">
        <v>6.5500000000000003E-2</v>
      </c>
      <c r="F214" s="511">
        <v>0.17499999999999999</v>
      </c>
    </row>
    <row r="215" spans="2:6" x14ac:dyDescent="0.15">
      <c r="B215" s="448"/>
      <c r="C215" s="505"/>
      <c r="D215" s="509">
        <v>1999</v>
      </c>
      <c r="E215" s="510">
        <v>6.4799999999999996E-2</v>
      </c>
      <c r="F215" s="511">
        <v>0.1724</v>
      </c>
    </row>
    <row r="216" spans="2:6" x14ac:dyDescent="0.15">
      <c r="B216" s="448"/>
      <c r="C216" s="505"/>
      <c r="D216" s="509">
        <v>2000</v>
      </c>
      <c r="E216" s="510">
        <v>6.3E-2</v>
      </c>
      <c r="F216" s="511">
        <v>0.16600000000000001</v>
      </c>
    </row>
    <row r="217" spans="2:6" x14ac:dyDescent="0.15">
      <c r="B217" s="448"/>
      <c r="C217" s="505"/>
      <c r="D217" s="509">
        <v>2001</v>
      </c>
      <c r="E217" s="510">
        <v>5.7700000000000001E-2</v>
      </c>
      <c r="F217" s="511">
        <v>0.14680000000000001</v>
      </c>
    </row>
    <row r="218" spans="2:6" x14ac:dyDescent="0.15">
      <c r="B218" s="448"/>
      <c r="C218" s="505"/>
      <c r="D218" s="509">
        <v>2002</v>
      </c>
      <c r="E218" s="510">
        <v>6.3399999999999998E-2</v>
      </c>
      <c r="F218" s="511">
        <v>0.1673</v>
      </c>
    </row>
    <row r="219" spans="2:6" x14ac:dyDescent="0.15">
      <c r="B219" s="448"/>
      <c r="C219" s="505"/>
      <c r="D219" s="509">
        <v>2003</v>
      </c>
      <c r="E219" s="510">
        <v>6.0199999999999997E-2</v>
      </c>
      <c r="F219" s="511">
        <v>0.15529999999999999</v>
      </c>
    </row>
    <row r="220" spans="2:6" x14ac:dyDescent="0.15">
      <c r="B220" s="448"/>
      <c r="C220" s="505"/>
      <c r="D220" s="509">
        <v>2004</v>
      </c>
      <c r="E220" s="510">
        <v>2.98E-2</v>
      </c>
      <c r="F220" s="511">
        <v>1.6400000000000001E-2</v>
      </c>
    </row>
    <row r="221" spans="2:6" x14ac:dyDescent="0.15">
      <c r="B221" s="448"/>
      <c r="C221" s="505"/>
      <c r="D221" s="509">
        <v>2005</v>
      </c>
      <c r="E221" s="510">
        <v>2.9700000000000001E-2</v>
      </c>
      <c r="F221" s="511">
        <v>8.3000000000000001E-3</v>
      </c>
    </row>
    <row r="222" spans="2:6" x14ac:dyDescent="0.15">
      <c r="B222" s="448"/>
      <c r="C222" s="505"/>
      <c r="D222" s="509">
        <v>2006</v>
      </c>
      <c r="E222" s="510">
        <v>2.9899999999999999E-2</v>
      </c>
      <c r="F222" s="511">
        <v>2.41E-2</v>
      </c>
    </row>
    <row r="223" spans="2:6" x14ac:dyDescent="0.15">
      <c r="B223" s="448"/>
      <c r="C223" s="505"/>
      <c r="D223" s="509">
        <v>2007</v>
      </c>
      <c r="E223" s="510">
        <v>3.2199999999999999E-2</v>
      </c>
      <c r="F223" s="511">
        <v>1.5E-3</v>
      </c>
    </row>
    <row r="224" spans="2:6" x14ac:dyDescent="0.15">
      <c r="B224" s="448"/>
      <c r="C224" s="505"/>
      <c r="D224" s="509">
        <v>2008</v>
      </c>
      <c r="E224" s="512">
        <v>3.4000000000000002E-2</v>
      </c>
      <c r="F224" s="513">
        <v>1.5E-3</v>
      </c>
    </row>
    <row r="225" spans="2:6" x14ac:dyDescent="0.15">
      <c r="B225" s="448"/>
      <c r="C225" s="505"/>
      <c r="D225" s="509">
        <v>2009</v>
      </c>
      <c r="E225" s="512">
        <v>3.39E-2</v>
      </c>
      <c r="F225" s="513">
        <v>1.5E-3</v>
      </c>
    </row>
    <row r="226" spans="2:6" x14ac:dyDescent="0.15">
      <c r="B226" s="448"/>
      <c r="C226" s="505"/>
      <c r="D226" s="509">
        <v>2010</v>
      </c>
      <c r="E226" s="512">
        <v>3.2000000000000001E-2</v>
      </c>
      <c r="F226" s="513">
        <v>1.5E-3</v>
      </c>
    </row>
    <row r="227" spans="2:6" x14ac:dyDescent="0.15">
      <c r="B227" s="448"/>
      <c r="C227" s="505"/>
      <c r="D227" s="509">
        <v>2011</v>
      </c>
      <c r="E227" s="512">
        <v>3.04E-2</v>
      </c>
      <c r="F227" s="513">
        <v>1.5E-3</v>
      </c>
    </row>
    <row r="228" spans="2:6" x14ac:dyDescent="0.15">
      <c r="B228" s="448"/>
      <c r="C228" s="505"/>
      <c r="D228" s="509">
        <v>2012</v>
      </c>
      <c r="E228" s="512">
        <v>3.1300000000000001E-2</v>
      </c>
      <c r="F228" s="513">
        <v>1.5E-3</v>
      </c>
    </row>
    <row r="229" spans="2:6" x14ac:dyDescent="0.15">
      <c r="B229" s="448"/>
      <c r="C229" s="505"/>
      <c r="D229" s="509">
        <v>2013</v>
      </c>
      <c r="E229" s="512">
        <v>3.1300000000000001E-2</v>
      </c>
      <c r="F229" s="513">
        <v>1.5E-3</v>
      </c>
    </row>
    <row r="230" spans="2:6" x14ac:dyDescent="0.15">
      <c r="B230" s="448"/>
      <c r="C230" s="505"/>
      <c r="D230" s="509">
        <v>2014</v>
      </c>
      <c r="E230" s="512">
        <v>3.15E-2</v>
      </c>
      <c r="F230" s="513">
        <v>1.5E-3</v>
      </c>
    </row>
    <row r="231" spans="2:6" x14ac:dyDescent="0.15">
      <c r="B231" s="448"/>
      <c r="C231" s="505"/>
      <c r="D231" s="509">
        <v>2015</v>
      </c>
      <c r="E231" s="512">
        <v>3.32E-2</v>
      </c>
      <c r="F231" s="513">
        <v>2.0999999999999999E-3</v>
      </c>
    </row>
    <row r="232" spans="2:6" x14ac:dyDescent="0.15">
      <c r="B232" s="448"/>
      <c r="C232" s="505"/>
      <c r="D232" s="509">
        <v>2016</v>
      </c>
      <c r="E232" s="512">
        <v>3.2099999999999997E-2</v>
      </c>
      <c r="F232" s="513">
        <v>6.1000000000000004E-3</v>
      </c>
    </row>
    <row r="233" spans="2:6" x14ac:dyDescent="0.15">
      <c r="B233" s="448"/>
      <c r="C233" s="505"/>
      <c r="D233" s="509">
        <v>2017</v>
      </c>
      <c r="E233" s="512">
        <v>3.2899999999999999E-2</v>
      </c>
      <c r="F233" s="513">
        <v>8.3999999999999995E-3</v>
      </c>
    </row>
    <row r="234" spans="2:6" x14ac:dyDescent="0.15">
      <c r="B234" s="448"/>
      <c r="C234" s="505"/>
      <c r="D234" s="509">
        <v>2018</v>
      </c>
      <c r="E234" s="512">
        <v>3.2599999999999997E-2</v>
      </c>
      <c r="F234" s="513">
        <v>8.2000000000000007E-3</v>
      </c>
    </row>
    <row r="235" spans="2:6" x14ac:dyDescent="0.15">
      <c r="B235" s="448"/>
      <c r="C235" s="505"/>
      <c r="D235" s="515">
        <v>2019</v>
      </c>
      <c r="E235" s="512">
        <v>3.3000000000000002E-2</v>
      </c>
      <c r="F235" s="513">
        <v>9.1000000000000004E-3</v>
      </c>
    </row>
    <row r="236" spans="2:6" x14ac:dyDescent="0.15">
      <c r="B236" s="448"/>
      <c r="C236" s="505"/>
      <c r="D236" s="515">
        <v>2020</v>
      </c>
      <c r="E236" s="512">
        <v>3.32E-2</v>
      </c>
      <c r="F236" s="513">
        <v>0.01</v>
      </c>
    </row>
    <row r="237" spans="2:6" x14ac:dyDescent="0.15">
      <c r="B237" s="448"/>
      <c r="C237" s="505"/>
      <c r="D237" s="515">
        <v>2021</v>
      </c>
      <c r="E237" s="512">
        <v>3.32E-2</v>
      </c>
      <c r="F237" s="513">
        <v>0.01</v>
      </c>
    </row>
    <row r="238" spans="2:6" ht="13.75" customHeight="1" thickBot="1" x14ac:dyDescent="0.2">
      <c r="B238" s="448"/>
      <c r="C238" s="514"/>
      <c r="D238" s="515">
        <v>2022</v>
      </c>
      <c r="E238" s="516">
        <v>3.32E-2</v>
      </c>
      <c r="F238" s="517">
        <v>0.01</v>
      </c>
    </row>
    <row r="239" spans="2:6" x14ac:dyDescent="0.15">
      <c r="B239" s="448"/>
      <c r="C239" s="731" t="s">
        <v>844</v>
      </c>
      <c r="D239" s="502" t="s">
        <v>845</v>
      </c>
      <c r="E239" s="350">
        <v>8.9999999999999993E-3</v>
      </c>
      <c r="F239" s="351">
        <v>0.09</v>
      </c>
    </row>
    <row r="240" spans="2:6" x14ac:dyDescent="0.15">
      <c r="B240" s="448"/>
      <c r="C240" s="704"/>
      <c r="D240" s="506" t="s">
        <v>846</v>
      </c>
      <c r="E240" s="352">
        <v>7.0000000000000001E-3</v>
      </c>
      <c r="F240" s="353">
        <v>6.7000000000000004E-2</v>
      </c>
    </row>
    <row r="241" spans="2:12" ht="13.75" customHeight="1" thickBot="1" x14ac:dyDescent="0.2">
      <c r="B241" s="448"/>
      <c r="C241" s="707"/>
      <c r="D241" s="518" t="s">
        <v>847</v>
      </c>
      <c r="E241" s="354">
        <v>1.7999999999999999E-2</v>
      </c>
      <c r="F241" s="355">
        <v>6.6000000000000003E-2</v>
      </c>
      <c r="G241" s="448"/>
      <c r="H241" s="448"/>
      <c r="I241" s="448"/>
      <c r="J241" s="448"/>
      <c r="K241" s="448"/>
      <c r="L241" s="448"/>
    </row>
    <row r="242" spans="2:12" x14ac:dyDescent="0.15">
      <c r="B242" s="447"/>
      <c r="C242" s="219" t="s">
        <v>848</v>
      </c>
      <c r="D242" s="448"/>
      <c r="E242" s="448"/>
      <c r="F242" s="448"/>
      <c r="G242" s="448"/>
      <c r="H242" s="448"/>
      <c r="I242" s="180"/>
      <c r="J242" s="448"/>
      <c r="K242" s="448"/>
      <c r="L242" s="448"/>
    </row>
    <row r="243" spans="2:12" x14ac:dyDescent="0.15">
      <c r="B243" s="447"/>
      <c r="C243" s="172" t="s">
        <v>849</v>
      </c>
      <c r="D243" s="448"/>
      <c r="E243" s="448"/>
      <c r="F243" s="448"/>
      <c r="G243" s="448"/>
      <c r="H243" s="448"/>
      <c r="I243" s="180"/>
      <c r="J243" s="448"/>
      <c r="K243" s="448"/>
      <c r="L243" s="448"/>
    </row>
    <row r="244" spans="2:12" ht="26" customHeight="1" x14ac:dyDescent="0.15">
      <c r="B244" s="447"/>
      <c r="C244" s="696" t="s">
        <v>850</v>
      </c>
      <c r="D244" s="699"/>
      <c r="E244" s="699"/>
      <c r="F244" s="699"/>
      <c r="G244" s="699"/>
      <c r="H244" s="699"/>
      <c r="I244" s="699"/>
      <c r="J244" s="699"/>
      <c r="K244" s="699"/>
      <c r="L244" s="699"/>
    </row>
    <row r="246" spans="2:12" ht="18" customHeight="1" x14ac:dyDescent="0.2">
      <c r="B246" s="229" t="s">
        <v>851</v>
      </c>
      <c r="C246" s="230" t="s">
        <v>852</v>
      </c>
      <c r="D246" s="499"/>
      <c r="E246" s="499"/>
      <c r="F246" s="499"/>
      <c r="G246" s="499"/>
      <c r="H246" s="499"/>
      <c r="I246" s="499"/>
      <c r="J246" s="499"/>
      <c r="K246" s="499"/>
      <c r="L246" s="500"/>
    </row>
    <row r="247" spans="2:12" ht="13.75" customHeight="1" thickBot="1" x14ac:dyDescent="0.2">
      <c r="B247" s="448"/>
      <c r="C247" s="448"/>
      <c r="D247" s="448"/>
      <c r="E247" s="448"/>
      <c r="F247" s="448"/>
      <c r="G247" s="448"/>
      <c r="H247" s="448"/>
      <c r="I247" s="448"/>
      <c r="J247" s="448"/>
      <c r="K247" s="448"/>
      <c r="L247" s="448"/>
    </row>
    <row r="248" spans="2:12" ht="31.75" customHeight="1" thickBot="1" x14ac:dyDescent="0.2">
      <c r="B248" s="448"/>
      <c r="C248" s="232" t="s">
        <v>824</v>
      </c>
      <c r="D248" s="223" t="s">
        <v>132</v>
      </c>
      <c r="E248" s="223" t="s">
        <v>825</v>
      </c>
      <c r="F248" s="223" t="s">
        <v>826</v>
      </c>
      <c r="G248" s="224" t="s">
        <v>827</v>
      </c>
      <c r="H248" s="233"/>
      <c r="I248" s="448"/>
      <c r="J248" s="448"/>
      <c r="K248" s="448"/>
      <c r="L248" s="448"/>
    </row>
    <row r="249" spans="2:12" x14ac:dyDescent="0.15">
      <c r="B249" s="448"/>
      <c r="C249" s="730" t="s">
        <v>853</v>
      </c>
      <c r="D249" s="719" t="s">
        <v>854</v>
      </c>
      <c r="E249" s="502" t="s">
        <v>855</v>
      </c>
      <c r="F249" s="510">
        <v>5.9999999999999995E-4</v>
      </c>
      <c r="G249" s="511">
        <v>1.1999999999999999E-3</v>
      </c>
      <c r="H249" s="233"/>
      <c r="I249" s="233"/>
      <c r="J249" s="448"/>
      <c r="K249" s="448"/>
      <c r="L249" s="448"/>
    </row>
    <row r="250" spans="2:12" x14ac:dyDescent="0.15">
      <c r="B250" s="448"/>
      <c r="C250" s="701"/>
      <c r="D250" s="714"/>
      <c r="E250" s="509" t="s">
        <v>856</v>
      </c>
      <c r="F250" s="510">
        <v>5.0000000000000001E-4</v>
      </c>
      <c r="G250" s="511">
        <v>1E-3</v>
      </c>
      <c r="H250" s="233"/>
      <c r="I250" s="233"/>
      <c r="J250" s="448"/>
      <c r="K250" s="448"/>
      <c r="L250" s="448"/>
    </row>
    <row r="251" spans="2:12" x14ac:dyDescent="0.15">
      <c r="B251" s="448"/>
      <c r="C251" s="702"/>
      <c r="D251" s="715"/>
      <c r="E251" s="519" t="s">
        <v>857</v>
      </c>
      <c r="F251" s="510">
        <v>3.0200000000000001E-2</v>
      </c>
      <c r="G251" s="511">
        <v>1.9199999999999998E-2</v>
      </c>
      <c r="H251" s="233"/>
      <c r="I251" s="233"/>
      <c r="J251" s="448"/>
      <c r="K251" s="448"/>
      <c r="L251" s="448"/>
    </row>
    <row r="252" spans="2:12" x14ac:dyDescent="0.15">
      <c r="B252" s="467"/>
      <c r="C252" s="700" t="s">
        <v>858</v>
      </c>
      <c r="D252" s="713" t="s">
        <v>854</v>
      </c>
      <c r="E252" s="509" t="s">
        <v>855</v>
      </c>
      <c r="F252" s="520">
        <v>1.1000000000000001E-3</v>
      </c>
      <c r="G252" s="521">
        <v>1.6999999999999999E-3</v>
      </c>
      <c r="H252" s="233"/>
      <c r="I252" s="233"/>
      <c r="J252" s="448"/>
      <c r="K252" s="448"/>
      <c r="L252" s="448"/>
    </row>
    <row r="253" spans="2:12" x14ac:dyDescent="0.15">
      <c r="B253" s="467"/>
      <c r="C253" s="701"/>
      <c r="D253" s="714"/>
      <c r="E253" s="509" t="s">
        <v>856</v>
      </c>
      <c r="F253" s="520">
        <v>8.9999999999999998E-4</v>
      </c>
      <c r="G253" s="521">
        <v>1.4E-3</v>
      </c>
      <c r="H253" s="233"/>
      <c r="I253" s="233"/>
      <c r="J253" s="448"/>
      <c r="K253" s="448"/>
      <c r="L253" s="448"/>
    </row>
    <row r="254" spans="2:12" x14ac:dyDescent="0.15">
      <c r="B254" s="467"/>
      <c r="C254" s="702"/>
      <c r="D254" s="715"/>
      <c r="E254" s="519" t="s">
        <v>857</v>
      </c>
      <c r="F254" s="520">
        <v>2.9000000000000001E-2</v>
      </c>
      <c r="G254" s="521">
        <v>2.1399999999999999E-2</v>
      </c>
      <c r="H254" s="233"/>
      <c r="I254" s="233"/>
      <c r="J254" s="448"/>
      <c r="K254" s="448"/>
      <c r="L254" s="448"/>
    </row>
    <row r="255" spans="2:12" x14ac:dyDescent="0.15">
      <c r="B255" s="448"/>
      <c r="C255" s="700" t="s">
        <v>859</v>
      </c>
      <c r="D255" s="713" t="s">
        <v>854</v>
      </c>
      <c r="E255" s="509" t="s">
        <v>860</v>
      </c>
      <c r="F255" s="510">
        <v>5.1000000000000004E-3</v>
      </c>
      <c r="G255" s="511">
        <v>4.7999999999999996E-3</v>
      </c>
      <c r="H255" s="233"/>
      <c r="I255" s="233"/>
      <c r="J255" s="448"/>
      <c r="K255" s="448"/>
      <c r="L255" s="448"/>
    </row>
    <row r="256" spans="2:12" x14ac:dyDescent="0.15">
      <c r="B256" s="448"/>
      <c r="C256" s="702"/>
      <c r="D256" s="715"/>
      <c r="E256" s="519" t="s">
        <v>857</v>
      </c>
      <c r="F256" s="510">
        <v>9.4999999999999998E-3</v>
      </c>
      <c r="G256" s="511">
        <v>4.3099999999999999E-2</v>
      </c>
      <c r="H256" s="233"/>
      <c r="I256" s="233"/>
      <c r="J256" s="448"/>
      <c r="K256" s="448"/>
      <c r="L256" s="448"/>
    </row>
    <row r="257" spans="2:9" x14ac:dyDescent="0.15">
      <c r="B257" s="448"/>
      <c r="C257" s="703" t="s">
        <v>861</v>
      </c>
      <c r="D257" s="500" t="s">
        <v>862</v>
      </c>
      <c r="E257" s="522"/>
      <c r="F257" s="352">
        <v>1.2E-2</v>
      </c>
      <c r="G257" s="511">
        <v>4.0000000000000001E-3</v>
      </c>
      <c r="H257" s="233"/>
      <c r="I257" s="233"/>
    </row>
    <row r="258" spans="2:9" x14ac:dyDescent="0.15">
      <c r="B258" s="448"/>
      <c r="C258" s="704"/>
      <c r="D258" s="500" t="s">
        <v>863</v>
      </c>
      <c r="E258" s="523"/>
      <c r="F258" s="352">
        <v>1.2E-2</v>
      </c>
      <c r="G258" s="511">
        <v>4.0000000000000001E-3</v>
      </c>
      <c r="H258" s="233"/>
      <c r="I258" s="233"/>
    </row>
    <row r="259" spans="2:9" x14ac:dyDescent="0.15">
      <c r="B259" s="448"/>
      <c r="C259" s="704"/>
      <c r="D259" s="500" t="s">
        <v>864</v>
      </c>
      <c r="E259" s="523"/>
      <c r="F259" s="352">
        <v>0.12</v>
      </c>
      <c r="G259" s="511">
        <v>4.0000000000000001E-3</v>
      </c>
      <c r="H259" s="233"/>
      <c r="I259" s="233"/>
    </row>
    <row r="260" spans="2:9" x14ac:dyDescent="0.15">
      <c r="B260" s="448"/>
      <c r="C260" s="704"/>
      <c r="D260" s="500" t="s">
        <v>147</v>
      </c>
      <c r="E260" s="523"/>
      <c r="F260" s="352">
        <v>1.2E-2</v>
      </c>
      <c r="G260" s="511">
        <v>4.0000000000000001E-3</v>
      </c>
      <c r="H260" s="233"/>
      <c r="I260" s="233"/>
    </row>
    <row r="261" spans="2:9" x14ac:dyDescent="0.15">
      <c r="B261" s="448"/>
      <c r="C261" s="705"/>
      <c r="D261" s="500" t="s">
        <v>865</v>
      </c>
      <c r="E261" s="523"/>
      <c r="F261" s="352">
        <v>0.03</v>
      </c>
      <c r="G261" s="511">
        <v>1E-3</v>
      </c>
      <c r="H261" s="233"/>
      <c r="I261" s="233"/>
    </row>
    <row r="262" spans="2:9" x14ac:dyDescent="0.15">
      <c r="B262" s="448"/>
      <c r="C262" s="703" t="s">
        <v>858</v>
      </c>
      <c r="D262" s="500" t="s">
        <v>863</v>
      </c>
      <c r="E262" s="523"/>
      <c r="F262" s="352">
        <v>1.2999999999999999E-2</v>
      </c>
      <c r="G262" s="511">
        <v>5.0000000000000001E-3</v>
      </c>
      <c r="H262" s="233"/>
      <c r="I262" s="233"/>
    </row>
    <row r="263" spans="2:9" x14ac:dyDescent="0.15">
      <c r="B263" s="448"/>
      <c r="C263" s="704"/>
      <c r="D263" s="500" t="s">
        <v>864</v>
      </c>
      <c r="E263" s="523"/>
      <c r="F263" s="352">
        <v>0.13</v>
      </c>
      <c r="G263" s="511">
        <v>5.0000000000000001E-3</v>
      </c>
      <c r="H263" s="233"/>
      <c r="I263" s="233"/>
    </row>
    <row r="264" spans="2:9" x14ac:dyDescent="0.15">
      <c r="B264" s="448"/>
      <c r="C264" s="704"/>
      <c r="D264" s="500" t="s">
        <v>147</v>
      </c>
      <c r="E264" s="523"/>
      <c r="F264" s="352">
        <v>1.2999999999999999E-2</v>
      </c>
      <c r="G264" s="511">
        <v>5.0000000000000001E-3</v>
      </c>
      <c r="H264" s="233"/>
      <c r="I264" s="233"/>
    </row>
    <row r="265" spans="2:9" x14ac:dyDescent="0.15">
      <c r="B265" s="448"/>
      <c r="C265" s="704"/>
      <c r="D265" s="500" t="s">
        <v>866</v>
      </c>
      <c r="E265" s="523"/>
      <c r="F265" s="352">
        <v>0.13</v>
      </c>
      <c r="G265" s="511">
        <v>5.0000000000000001E-3</v>
      </c>
      <c r="H265" s="233"/>
      <c r="I265" s="233"/>
    </row>
    <row r="266" spans="2:9" x14ac:dyDescent="0.15">
      <c r="B266" s="448"/>
      <c r="C266" s="705"/>
      <c r="D266" s="500" t="s">
        <v>865</v>
      </c>
      <c r="E266" s="523"/>
      <c r="F266" s="352">
        <v>5.3999999999999999E-2</v>
      </c>
      <c r="G266" s="511">
        <v>1E-3</v>
      </c>
      <c r="H266" s="233"/>
      <c r="I266" s="233"/>
    </row>
    <row r="267" spans="2:9" x14ac:dyDescent="0.15">
      <c r="B267" s="448"/>
      <c r="C267" s="703" t="s">
        <v>867</v>
      </c>
      <c r="D267" s="500" t="s">
        <v>864</v>
      </c>
      <c r="E267" s="523"/>
      <c r="F267" s="352">
        <v>1.786</v>
      </c>
      <c r="G267" s="353">
        <v>3.3000000000000002E-2</v>
      </c>
      <c r="H267" s="233"/>
      <c r="I267" s="233"/>
    </row>
    <row r="268" spans="2:9" x14ac:dyDescent="0.15">
      <c r="B268" s="448"/>
      <c r="C268" s="704"/>
      <c r="D268" s="500" t="s">
        <v>147</v>
      </c>
      <c r="E268" s="523"/>
      <c r="F268" s="352">
        <v>0.17899999999999999</v>
      </c>
      <c r="G268" s="353">
        <v>3.3000000000000002E-2</v>
      </c>
      <c r="H268" s="233"/>
      <c r="I268" s="233"/>
    </row>
    <row r="269" spans="2:9" x14ac:dyDescent="0.15">
      <c r="B269" s="448"/>
      <c r="C269" s="704"/>
      <c r="D269" s="500" t="s">
        <v>866</v>
      </c>
      <c r="E269" s="523"/>
      <c r="F269" s="352">
        <v>1.786</v>
      </c>
      <c r="G269" s="353">
        <v>3.3000000000000002E-2</v>
      </c>
      <c r="H269" s="233"/>
      <c r="I269" s="233"/>
    </row>
    <row r="270" spans="2:9" x14ac:dyDescent="0.15">
      <c r="B270" s="448"/>
      <c r="C270" s="705"/>
      <c r="D270" s="500" t="s">
        <v>865</v>
      </c>
      <c r="E270" s="523"/>
      <c r="F270" s="352">
        <v>8.9999999999999993E-3</v>
      </c>
      <c r="G270" s="511">
        <v>5.0000000000000001E-3</v>
      </c>
      <c r="H270" s="233"/>
      <c r="I270" s="233"/>
    </row>
    <row r="271" spans="2:9" x14ac:dyDescent="0.15">
      <c r="B271" s="448"/>
      <c r="C271" s="703" t="s">
        <v>868</v>
      </c>
      <c r="D271" s="500" t="s">
        <v>862</v>
      </c>
      <c r="E271" s="523"/>
      <c r="F271" s="352">
        <v>7.1999999999999995E-2</v>
      </c>
      <c r="G271" s="353">
        <v>2.5999999999999999E-2</v>
      </c>
      <c r="H271" s="233"/>
      <c r="I271" s="233"/>
    </row>
    <row r="272" spans="2:9" x14ac:dyDescent="0.15">
      <c r="B272" s="448"/>
      <c r="C272" s="704"/>
      <c r="D272" s="500" t="s">
        <v>863</v>
      </c>
      <c r="E272" s="523"/>
      <c r="F272" s="352">
        <v>7.1999999999999995E-2</v>
      </c>
      <c r="G272" s="353">
        <v>2.5999999999999999E-2</v>
      </c>
      <c r="H272" s="233"/>
      <c r="I272" s="233"/>
    </row>
    <row r="273" spans="2:12" x14ac:dyDescent="0.15">
      <c r="B273" s="448"/>
      <c r="C273" s="704"/>
      <c r="D273" s="500" t="s">
        <v>864</v>
      </c>
      <c r="E273" s="523"/>
      <c r="F273" s="510">
        <v>0.92100000000000004</v>
      </c>
      <c r="G273" s="511">
        <v>1.7000000000000001E-2</v>
      </c>
      <c r="H273" s="233"/>
      <c r="I273" s="233"/>
      <c r="J273" s="448"/>
      <c r="K273" s="448"/>
      <c r="L273" s="448"/>
    </row>
    <row r="274" spans="2:12" x14ac:dyDescent="0.15">
      <c r="B274" s="448"/>
      <c r="C274" s="704"/>
      <c r="D274" s="500" t="s">
        <v>147</v>
      </c>
      <c r="E274" s="523"/>
      <c r="F274" s="510">
        <v>9.1999999999999998E-2</v>
      </c>
      <c r="G274" s="511">
        <v>1.7000000000000001E-2</v>
      </c>
      <c r="H274" s="233"/>
      <c r="I274" s="233"/>
      <c r="J274" s="448"/>
      <c r="K274" s="448"/>
      <c r="L274" s="448"/>
    </row>
    <row r="275" spans="2:12" ht="14.5" customHeight="1" x14ac:dyDescent="0.15">
      <c r="B275" s="447"/>
      <c r="C275" s="704"/>
      <c r="D275" s="500" t="s">
        <v>866</v>
      </c>
      <c r="E275" s="523"/>
      <c r="F275" s="510">
        <v>0.92100000000000004</v>
      </c>
      <c r="G275" s="511">
        <v>1.7000000000000001E-2</v>
      </c>
      <c r="H275" s="233"/>
      <c r="I275" s="233"/>
      <c r="J275" s="448"/>
      <c r="K275" s="448"/>
      <c r="L275" s="448"/>
    </row>
    <row r="276" spans="2:12" ht="14.5" customHeight="1" x14ac:dyDescent="0.15">
      <c r="B276" s="447"/>
      <c r="C276" s="705"/>
      <c r="D276" s="500" t="s">
        <v>865</v>
      </c>
      <c r="E276" s="523"/>
      <c r="F276" s="352">
        <v>8.9999999999999993E-3</v>
      </c>
      <c r="G276" s="511">
        <v>2E-3</v>
      </c>
      <c r="H276" s="233"/>
      <c r="I276" s="233"/>
      <c r="J276" s="448"/>
      <c r="K276" s="448"/>
      <c r="L276" s="448"/>
    </row>
    <row r="277" spans="2:12" ht="14.5" customHeight="1" x14ac:dyDescent="0.15">
      <c r="B277" s="447"/>
      <c r="C277" s="706" t="s">
        <v>869</v>
      </c>
      <c r="D277" s="500" t="s">
        <v>862</v>
      </c>
      <c r="E277" s="523"/>
      <c r="F277" s="352">
        <v>0.19</v>
      </c>
      <c r="G277" s="511">
        <v>2.9000000000000001E-2</v>
      </c>
      <c r="H277" s="233"/>
      <c r="I277" s="233"/>
      <c r="J277" s="448"/>
      <c r="K277" s="448"/>
      <c r="L277" s="448"/>
    </row>
    <row r="278" spans="2:12" ht="14.5" customHeight="1" x14ac:dyDescent="0.15">
      <c r="B278" s="447"/>
      <c r="C278" s="704"/>
      <c r="D278" s="524" t="s">
        <v>863</v>
      </c>
      <c r="E278" s="523"/>
      <c r="F278" s="352">
        <v>0.19</v>
      </c>
      <c r="G278" s="511">
        <v>2.9000000000000001E-2</v>
      </c>
      <c r="H278" s="233"/>
      <c r="I278" s="233"/>
      <c r="J278" s="448"/>
      <c r="K278" s="448"/>
      <c r="L278" s="448"/>
    </row>
    <row r="279" spans="2:12" ht="14.5" customHeight="1" x14ac:dyDescent="0.15">
      <c r="B279" s="447"/>
      <c r="C279" s="704"/>
      <c r="D279" s="524" t="s">
        <v>864</v>
      </c>
      <c r="E279" s="523"/>
      <c r="F279" s="352">
        <v>2.7189999999999999</v>
      </c>
      <c r="G279" s="511">
        <v>1.7000000000000001E-2</v>
      </c>
      <c r="H279" s="233"/>
      <c r="I279" s="233"/>
      <c r="J279" s="448"/>
      <c r="K279" s="448"/>
      <c r="L279" s="448"/>
    </row>
    <row r="280" spans="2:12" ht="14.5" customHeight="1" x14ac:dyDescent="0.15">
      <c r="B280" s="447"/>
      <c r="C280" s="704"/>
      <c r="D280" s="524" t="s">
        <v>147</v>
      </c>
      <c r="E280" s="523"/>
      <c r="F280" s="352">
        <v>0.27200000000000002</v>
      </c>
      <c r="G280" s="511">
        <v>1.7000000000000001E-2</v>
      </c>
      <c r="H280" s="233"/>
      <c r="I280" s="233"/>
      <c r="J280" s="448"/>
      <c r="K280" s="448"/>
      <c r="L280" s="448"/>
    </row>
    <row r="281" spans="2:12" ht="14.5" customHeight="1" x14ac:dyDescent="0.15">
      <c r="B281" s="447"/>
      <c r="C281" s="704"/>
      <c r="D281" s="524" t="s">
        <v>866</v>
      </c>
      <c r="E281" s="523"/>
      <c r="F281" s="352">
        <v>2.7189999999999999</v>
      </c>
      <c r="G281" s="511">
        <v>1.7000000000000001E-2</v>
      </c>
      <c r="H281" s="233"/>
      <c r="I281" s="233"/>
      <c r="J281" s="448"/>
      <c r="K281" s="448"/>
      <c r="L281" s="448"/>
    </row>
    <row r="282" spans="2:12" ht="15" customHeight="1" thickBot="1" x14ac:dyDescent="0.2">
      <c r="B282" s="447"/>
      <c r="C282" s="707"/>
      <c r="D282" s="525" t="s">
        <v>865</v>
      </c>
      <c r="E282" s="525"/>
      <c r="F282" s="354">
        <v>8.9999999999999993E-3</v>
      </c>
      <c r="G282" s="517">
        <v>3.0000000000000001E-3</v>
      </c>
      <c r="H282" s="233"/>
      <c r="I282" s="233"/>
      <c r="J282" s="448"/>
      <c r="K282" s="448"/>
      <c r="L282" s="448"/>
    </row>
    <row r="283" spans="2:12" ht="14.5" customHeight="1" x14ac:dyDescent="0.15">
      <c r="B283" s="447"/>
      <c r="C283" s="193" t="s">
        <v>870</v>
      </c>
      <c r="D283" s="448"/>
      <c r="E283" s="448"/>
      <c r="F283" s="448"/>
      <c r="G283" s="448"/>
      <c r="H283" s="448"/>
      <c r="I283" s="180"/>
      <c r="J283" s="448"/>
      <c r="K283" s="448"/>
      <c r="L283" s="448"/>
    </row>
    <row r="284" spans="2:12" x14ac:dyDescent="0.15">
      <c r="B284" s="448"/>
      <c r="C284" s="172" t="s">
        <v>849</v>
      </c>
      <c r="D284" s="228"/>
      <c r="E284" s="228"/>
      <c r="F284" s="228"/>
      <c r="G284" s="234"/>
      <c r="H284" s="228"/>
      <c r="I284" s="448"/>
      <c r="J284" s="448"/>
      <c r="K284" s="448"/>
      <c r="L284" s="448"/>
    </row>
    <row r="285" spans="2:12" ht="26" customHeight="1" x14ac:dyDescent="0.15">
      <c r="B285" s="447"/>
      <c r="C285" s="696" t="s">
        <v>850</v>
      </c>
      <c r="D285" s="699"/>
      <c r="E285" s="699"/>
      <c r="F285" s="699"/>
      <c r="G285" s="699"/>
      <c r="H285" s="699"/>
      <c r="I285" s="699"/>
      <c r="J285" s="699"/>
      <c r="K285" s="699"/>
      <c r="L285" s="699"/>
    </row>
    <row r="286" spans="2:12" ht="14.5" customHeight="1" x14ac:dyDescent="0.15">
      <c r="B286" s="448"/>
      <c r="C286" s="235"/>
      <c r="D286" s="228"/>
      <c r="E286" s="228"/>
      <c r="F286" s="228"/>
      <c r="G286" s="234"/>
      <c r="H286" s="228"/>
      <c r="I286" s="448"/>
      <c r="J286" s="448"/>
      <c r="K286" s="448"/>
      <c r="L286" s="448"/>
    </row>
    <row r="287" spans="2:12" ht="18" customHeight="1" x14ac:dyDescent="0.2">
      <c r="B287" s="229" t="s">
        <v>871</v>
      </c>
      <c r="C287" s="230" t="s">
        <v>872</v>
      </c>
      <c r="D287" s="236"/>
      <c r="E287" s="236"/>
      <c r="F287" s="236"/>
      <c r="G287" s="499"/>
      <c r="H287" s="499"/>
      <c r="I287" s="499"/>
      <c r="J287" s="499"/>
      <c r="K287" s="499"/>
      <c r="L287" s="500"/>
    </row>
    <row r="288" spans="2:12" ht="13.75" customHeight="1" thickBot="1" x14ac:dyDescent="0.2">
      <c r="B288" s="448"/>
      <c r="C288" s="237"/>
      <c r="D288" s="448"/>
      <c r="E288" s="448"/>
      <c r="F288" s="448"/>
      <c r="G288" s="448"/>
      <c r="H288" s="448"/>
      <c r="I288" s="448"/>
      <c r="J288" s="448"/>
      <c r="K288" s="448"/>
      <c r="L288" s="448"/>
    </row>
    <row r="289" spans="2:7" ht="31.75" customHeight="1" thickBot="1" x14ac:dyDescent="0.2">
      <c r="B289" s="448"/>
      <c r="C289" s="238" t="s">
        <v>824</v>
      </c>
      <c r="D289" s="223" t="s">
        <v>132</v>
      </c>
      <c r="E289" s="223" t="s">
        <v>873</v>
      </c>
      <c r="F289" s="224" t="s">
        <v>874</v>
      </c>
      <c r="G289" s="471"/>
    </row>
    <row r="290" spans="2:7" x14ac:dyDescent="0.15">
      <c r="B290" s="448"/>
      <c r="C290" s="732" t="s">
        <v>875</v>
      </c>
      <c r="D290" s="526" t="s">
        <v>817</v>
      </c>
      <c r="E290" s="527">
        <v>1.1000000000000001</v>
      </c>
      <c r="F290" s="528">
        <v>0.31</v>
      </c>
      <c r="G290" s="448"/>
    </row>
    <row r="291" spans="2:7" x14ac:dyDescent="0.15">
      <c r="B291" s="448"/>
      <c r="C291" s="704"/>
      <c r="D291" s="500" t="s">
        <v>876</v>
      </c>
      <c r="E291" s="239">
        <v>4.67</v>
      </c>
      <c r="F291" s="529">
        <v>0.08</v>
      </c>
      <c r="G291" s="448"/>
    </row>
    <row r="292" spans="2:7" x14ac:dyDescent="0.15">
      <c r="B292" s="448"/>
      <c r="C292" s="704"/>
      <c r="D292" s="500" t="s">
        <v>877</v>
      </c>
      <c r="E292" s="239">
        <v>2.27</v>
      </c>
      <c r="F292" s="529">
        <v>0.01</v>
      </c>
      <c r="G292" s="448"/>
    </row>
    <row r="293" spans="2:7" x14ac:dyDescent="0.15">
      <c r="B293" s="448"/>
      <c r="C293" s="705"/>
      <c r="D293" s="500" t="s">
        <v>854</v>
      </c>
      <c r="E293" s="239">
        <v>6.51</v>
      </c>
      <c r="F293" s="529">
        <v>0.17</v>
      </c>
      <c r="G293" s="448"/>
    </row>
    <row r="294" spans="2:7" x14ac:dyDescent="0.15">
      <c r="B294" s="448"/>
      <c r="C294" s="459" t="s">
        <v>878</v>
      </c>
      <c r="D294" s="500" t="s">
        <v>854</v>
      </c>
      <c r="E294" s="530">
        <v>0.8</v>
      </c>
      <c r="F294" s="529">
        <v>0.26</v>
      </c>
      <c r="G294" s="448"/>
    </row>
    <row r="295" spans="2:7" x14ac:dyDescent="0.15">
      <c r="B295" s="448"/>
      <c r="C295" s="703" t="s">
        <v>879</v>
      </c>
      <c r="D295" s="500" t="s">
        <v>880</v>
      </c>
      <c r="E295" s="531">
        <v>0</v>
      </c>
      <c r="F295" s="529">
        <v>0.3</v>
      </c>
      <c r="G295" s="448"/>
    </row>
    <row r="296" spans="2:7" x14ac:dyDescent="0.15">
      <c r="B296" s="448"/>
      <c r="C296" s="705"/>
      <c r="D296" s="500" t="s">
        <v>763</v>
      </c>
      <c r="E296" s="530">
        <v>7.06</v>
      </c>
      <c r="F296" s="529">
        <v>0.11</v>
      </c>
      <c r="G296" s="448"/>
    </row>
    <row r="297" spans="2:7" x14ac:dyDescent="0.15">
      <c r="B297" s="448"/>
      <c r="C297" s="703" t="s">
        <v>881</v>
      </c>
      <c r="D297" s="500" t="s">
        <v>876</v>
      </c>
      <c r="E297" s="239">
        <v>6.9</v>
      </c>
      <c r="F297" s="529">
        <v>0.47</v>
      </c>
      <c r="G297" s="448"/>
    </row>
    <row r="298" spans="2:7" x14ac:dyDescent="0.15">
      <c r="B298" s="448"/>
      <c r="C298" s="704"/>
      <c r="D298" s="500" t="s">
        <v>877</v>
      </c>
      <c r="E298" s="239">
        <v>1.93</v>
      </c>
      <c r="F298" s="240">
        <v>1.2</v>
      </c>
      <c r="G298" s="448"/>
    </row>
    <row r="299" spans="2:7" x14ac:dyDescent="0.15">
      <c r="B299" s="448"/>
      <c r="C299" s="704"/>
      <c r="D299" s="500" t="s">
        <v>882</v>
      </c>
      <c r="E299" s="239">
        <v>1.93</v>
      </c>
      <c r="F299" s="529">
        <v>1.2</v>
      </c>
      <c r="G299" s="448"/>
    </row>
    <row r="300" spans="2:7" x14ac:dyDescent="0.15">
      <c r="B300" s="448"/>
      <c r="C300" s="704"/>
      <c r="D300" s="500" t="s">
        <v>883</v>
      </c>
      <c r="E300" s="239">
        <v>1.26</v>
      </c>
      <c r="F300" s="529">
        <v>1.07</v>
      </c>
      <c r="G300" s="448"/>
    </row>
    <row r="301" spans="2:7" x14ac:dyDescent="0.15">
      <c r="B301" s="448"/>
      <c r="C301" s="704"/>
      <c r="D301" s="500" t="s">
        <v>884</v>
      </c>
      <c r="E301" s="239">
        <v>0.92</v>
      </c>
      <c r="F301" s="529">
        <v>0.56000000000000005</v>
      </c>
      <c r="G301" s="448"/>
    </row>
    <row r="302" spans="2:7" x14ac:dyDescent="0.15">
      <c r="B302" s="448"/>
      <c r="C302" s="705"/>
      <c r="D302" s="500" t="s">
        <v>147</v>
      </c>
      <c r="E302" s="530">
        <v>0.33</v>
      </c>
      <c r="F302" s="240">
        <v>0.94</v>
      </c>
      <c r="G302" s="448"/>
    </row>
    <row r="303" spans="2:7" x14ac:dyDescent="0.15">
      <c r="B303" s="448"/>
      <c r="C303" s="703" t="s">
        <v>885</v>
      </c>
      <c r="D303" s="500" t="s">
        <v>876</v>
      </c>
      <c r="E303" s="239">
        <v>8</v>
      </c>
      <c r="F303" s="529">
        <v>0.12</v>
      </c>
      <c r="G303" s="448"/>
    </row>
    <row r="304" spans="2:7" x14ac:dyDescent="0.15">
      <c r="B304" s="448"/>
      <c r="C304" s="704"/>
      <c r="D304" s="500" t="s">
        <v>877</v>
      </c>
      <c r="E304" s="239">
        <v>2.86</v>
      </c>
      <c r="F304" s="240">
        <v>1.48</v>
      </c>
      <c r="G304" s="448"/>
    </row>
    <row r="305" spans="2:6" x14ac:dyDescent="0.15">
      <c r="B305" s="448"/>
      <c r="C305" s="704"/>
      <c r="D305" s="500" t="s">
        <v>882</v>
      </c>
      <c r="E305" s="239">
        <v>2.86</v>
      </c>
      <c r="F305" s="240">
        <v>1.48</v>
      </c>
    </row>
    <row r="306" spans="2:6" x14ac:dyDescent="0.15">
      <c r="B306" s="448"/>
      <c r="C306" s="704"/>
      <c r="D306" s="500" t="s">
        <v>883</v>
      </c>
      <c r="E306" s="530">
        <v>1.01</v>
      </c>
      <c r="F306" s="529">
        <v>0.94</v>
      </c>
    </row>
    <row r="307" spans="2:6" x14ac:dyDescent="0.15">
      <c r="B307" s="448"/>
      <c r="C307" s="704"/>
      <c r="D307" s="500" t="s">
        <v>884</v>
      </c>
      <c r="E307" s="239">
        <v>0.92</v>
      </c>
      <c r="F307" s="529">
        <v>0.56000000000000005</v>
      </c>
    </row>
    <row r="308" spans="2:6" x14ac:dyDescent="0.15">
      <c r="B308" s="448"/>
      <c r="C308" s="705"/>
      <c r="D308" s="532" t="s">
        <v>147</v>
      </c>
      <c r="E308" s="530">
        <v>0.59</v>
      </c>
      <c r="F308" s="529">
        <v>0.5</v>
      </c>
    </row>
    <row r="309" spans="2:6" x14ac:dyDescent="0.15">
      <c r="B309" s="448"/>
      <c r="C309" s="703" t="s">
        <v>886</v>
      </c>
      <c r="D309" s="500" t="s">
        <v>876</v>
      </c>
      <c r="E309" s="239">
        <v>7.34</v>
      </c>
      <c r="F309" s="529">
        <v>0.31</v>
      </c>
    </row>
    <row r="310" spans="2:6" x14ac:dyDescent="0.15">
      <c r="B310" s="448"/>
      <c r="C310" s="704"/>
      <c r="D310" s="500" t="s">
        <v>877</v>
      </c>
      <c r="E310" s="239">
        <v>3.02</v>
      </c>
      <c r="F310" s="240">
        <v>1.5</v>
      </c>
    </row>
    <row r="311" spans="2:6" x14ac:dyDescent="0.15">
      <c r="B311" s="448"/>
      <c r="C311" s="704"/>
      <c r="D311" s="500" t="s">
        <v>854</v>
      </c>
      <c r="E311" s="239">
        <v>0.67</v>
      </c>
      <c r="F311" s="529">
        <v>0.49</v>
      </c>
    </row>
    <row r="312" spans="2:6" x14ac:dyDescent="0.15">
      <c r="B312" s="448"/>
      <c r="C312" s="705"/>
      <c r="D312" s="533" t="s">
        <v>147</v>
      </c>
      <c r="E312" s="239">
        <v>0.37</v>
      </c>
      <c r="F312" s="529">
        <v>0.63</v>
      </c>
    </row>
    <row r="313" spans="2:6" x14ac:dyDescent="0.15">
      <c r="B313" s="448"/>
      <c r="C313" s="703" t="s">
        <v>887</v>
      </c>
      <c r="D313" s="500" t="s">
        <v>888</v>
      </c>
      <c r="E313" s="239">
        <v>1.07</v>
      </c>
      <c r="F313" s="240">
        <v>1.1200000000000001</v>
      </c>
    </row>
    <row r="314" spans="2:6" x14ac:dyDescent="0.15">
      <c r="B314" s="448"/>
      <c r="C314" s="704"/>
      <c r="D314" s="500" t="s">
        <v>854</v>
      </c>
      <c r="E314" s="239">
        <v>1.98</v>
      </c>
      <c r="F314" s="240">
        <v>1.21</v>
      </c>
    </row>
    <row r="315" spans="2:6" x14ac:dyDescent="0.15">
      <c r="B315" s="448"/>
      <c r="C315" s="705"/>
      <c r="D315" s="500" t="s">
        <v>147</v>
      </c>
      <c r="E315" s="239">
        <v>0.37</v>
      </c>
      <c r="F315" s="240">
        <v>0.93</v>
      </c>
    </row>
    <row r="316" spans="2:6" x14ac:dyDescent="0.15">
      <c r="B316" s="448"/>
      <c r="C316" s="703" t="s">
        <v>889</v>
      </c>
      <c r="D316" s="500" t="s">
        <v>876</v>
      </c>
      <c r="E316" s="239">
        <v>7.3</v>
      </c>
      <c r="F316" s="240">
        <v>0.51</v>
      </c>
    </row>
    <row r="317" spans="2:6" x14ac:dyDescent="0.15">
      <c r="B317" s="448"/>
      <c r="C317" s="704"/>
      <c r="D317" s="500" t="s">
        <v>877</v>
      </c>
      <c r="E317" s="239">
        <v>2.81</v>
      </c>
      <c r="F317" s="240">
        <v>1.57</v>
      </c>
    </row>
    <row r="318" spans="2:6" x14ac:dyDescent="0.15">
      <c r="B318" s="448"/>
      <c r="C318" s="704"/>
      <c r="D318" s="500" t="s">
        <v>854</v>
      </c>
      <c r="E318" s="239">
        <v>0.43</v>
      </c>
      <c r="F318" s="240">
        <v>0.62</v>
      </c>
    </row>
    <row r="319" spans="2:6" x14ac:dyDescent="0.15">
      <c r="B319" s="448"/>
      <c r="C319" s="705"/>
      <c r="D319" s="500" t="s">
        <v>147</v>
      </c>
      <c r="E319" s="239">
        <v>0.46</v>
      </c>
      <c r="F319" s="240">
        <v>0.66</v>
      </c>
    </row>
    <row r="320" spans="2:6" x14ac:dyDescent="0.15">
      <c r="B320" s="448"/>
      <c r="C320" s="703" t="s">
        <v>890</v>
      </c>
      <c r="D320" s="500" t="s">
        <v>876</v>
      </c>
      <c r="E320" s="239">
        <v>9.6199999999999992</v>
      </c>
      <c r="F320" s="534">
        <v>0</v>
      </c>
    </row>
    <row r="321" spans="2:13" x14ac:dyDescent="0.15">
      <c r="B321" s="448"/>
      <c r="C321" s="704"/>
      <c r="D321" s="500" t="s">
        <v>877</v>
      </c>
      <c r="E321" s="239">
        <v>3.22</v>
      </c>
      <c r="F321" s="240">
        <v>2.0499999999999998</v>
      </c>
      <c r="G321" s="448"/>
      <c r="H321" s="448"/>
      <c r="I321" s="448"/>
      <c r="J321" s="448"/>
      <c r="K321" s="448"/>
      <c r="L321" s="448"/>
      <c r="M321" s="448"/>
    </row>
    <row r="322" spans="2:13" x14ac:dyDescent="0.15">
      <c r="B322" s="448"/>
      <c r="C322" s="705"/>
      <c r="D322" s="500" t="s">
        <v>854</v>
      </c>
      <c r="E322" s="530">
        <v>0.49</v>
      </c>
      <c r="F322" s="240">
        <v>1.26</v>
      </c>
      <c r="G322" s="448"/>
      <c r="H322" s="448"/>
      <c r="I322" s="448"/>
      <c r="J322" s="448"/>
      <c r="K322" s="448"/>
      <c r="L322" s="448"/>
      <c r="M322" s="448"/>
    </row>
    <row r="323" spans="2:13" x14ac:dyDescent="0.15">
      <c r="B323" s="448"/>
      <c r="C323" s="703" t="s">
        <v>891</v>
      </c>
      <c r="D323" s="500" t="s">
        <v>888</v>
      </c>
      <c r="E323" s="239">
        <v>3.32</v>
      </c>
      <c r="F323" s="240">
        <v>1.86</v>
      </c>
      <c r="G323" s="448"/>
      <c r="H323" s="448"/>
      <c r="I323" s="448"/>
      <c r="J323" s="448"/>
      <c r="K323" s="448"/>
      <c r="L323" s="448"/>
      <c r="M323" s="448"/>
    </row>
    <row r="324" spans="2:13" x14ac:dyDescent="0.15">
      <c r="B324" s="448"/>
      <c r="C324" s="704"/>
      <c r="D324" s="500" t="s">
        <v>854</v>
      </c>
      <c r="E324" s="239">
        <v>0.41</v>
      </c>
      <c r="F324" s="240">
        <v>0.97</v>
      </c>
      <c r="G324" s="448"/>
      <c r="H324" s="448"/>
      <c r="I324" s="448"/>
      <c r="J324" s="448"/>
      <c r="K324" s="448"/>
      <c r="L324" s="448"/>
      <c r="M324" s="448"/>
    </row>
    <row r="325" spans="2:13" x14ac:dyDescent="0.15">
      <c r="B325" s="448"/>
      <c r="C325" s="705"/>
      <c r="D325" s="500" t="s">
        <v>147</v>
      </c>
      <c r="E325" s="239">
        <v>2.0499999999999998</v>
      </c>
      <c r="F325" s="529">
        <v>0.01</v>
      </c>
      <c r="G325" s="448"/>
      <c r="H325" s="448"/>
      <c r="I325" s="448"/>
      <c r="J325" s="448"/>
      <c r="K325" s="448"/>
      <c r="L325" s="448"/>
      <c r="M325" s="448"/>
    </row>
    <row r="326" spans="2:13" x14ac:dyDescent="0.15">
      <c r="B326" s="448"/>
      <c r="C326" s="706" t="s">
        <v>892</v>
      </c>
      <c r="D326" s="500" t="s">
        <v>876</v>
      </c>
      <c r="E326" s="239">
        <v>9.86</v>
      </c>
      <c r="F326" s="529">
        <v>0.11</v>
      </c>
      <c r="G326" s="448"/>
      <c r="H326" s="448"/>
      <c r="I326" s="448"/>
      <c r="J326" s="448"/>
      <c r="K326" s="448"/>
      <c r="L326" s="448"/>
      <c r="M326" s="448"/>
    </row>
    <row r="327" spans="2:13" x14ac:dyDescent="0.15">
      <c r="B327" s="448"/>
      <c r="C327" s="704"/>
      <c r="D327" s="500" t="s">
        <v>877</v>
      </c>
      <c r="E327" s="239">
        <v>2.74</v>
      </c>
      <c r="F327" s="240">
        <v>1.49</v>
      </c>
      <c r="G327" s="448"/>
      <c r="H327" s="448"/>
      <c r="I327" s="448"/>
      <c r="J327" s="448"/>
      <c r="K327" s="448"/>
      <c r="L327" s="448"/>
      <c r="M327" s="448"/>
    </row>
    <row r="328" spans="2:13" x14ac:dyDescent="0.15">
      <c r="B328" s="448"/>
      <c r="C328" s="704"/>
      <c r="D328" s="500" t="s">
        <v>854</v>
      </c>
      <c r="E328" s="530">
        <v>0.73</v>
      </c>
      <c r="F328" s="529">
        <v>0.66</v>
      </c>
      <c r="G328" s="448"/>
      <c r="H328" s="448"/>
      <c r="I328" s="448"/>
      <c r="J328" s="448"/>
      <c r="K328" s="448"/>
      <c r="L328" s="448"/>
      <c r="M328" s="448"/>
    </row>
    <row r="329" spans="2:13" ht="13.75" customHeight="1" thickBot="1" x14ac:dyDescent="0.2">
      <c r="B329" s="448"/>
      <c r="C329" s="707"/>
      <c r="D329" s="535" t="s">
        <v>147</v>
      </c>
      <c r="E329" s="241">
        <v>0.44</v>
      </c>
      <c r="F329" s="536">
        <v>0.61</v>
      </c>
      <c r="G329" s="448"/>
      <c r="H329" s="448"/>
      <c r="I329" s="448"/>
      <c r="J329" s="448"/>
      <c r="K329" s="448"/>
      <c r="L329" s="448"/>
      <c r="M329" s="448"/>
    </row>
    <row r="330" spans="2:13" x14ac:dyDescent="0.15">
      <c r="B330" s="448"/>
      <c r="C330" s="193" t="s">
        <v>893</v>
      </c>
      <c r="D330" s="228"/>
      <c r="E330" s="228"/>
      <c r="F330" s="228"/>
      <c r="G330" s="471"/>
      <c r="H330" s="471"/>
      <c r="I330" s="448"/>
      <c r="J330" s="448"/>
      <c r="K330" s="448"/>
      <c r="L330" s="448"/>
      <c r="M330" s="448"/>
    </row>
    <row r="331" spans="2:13" x14ac:dyDescent="0.15">
      <c r="B331" s="448"/>
      <c r="C331" s="172" t="s">
        <v>849</v>
      </c>
      <c r="D331" s="228"/>
      <c r="E331" s="228"/>
      <c r="F331" s="228"/>
      <c r="G331" s="471"/>
      <c r="H331" s="471"/>
      <c r="I331" s="448"/>
      <c r="J331" s="448"/>
      <c r="K331" s="448"/>
      <c r="L331" s="448"/>
      <c r="M331" s="448"/>
    </row>
    <row r="332" spans="2:13" ht="55" customHeight="1" x14ac:dyDescent="0.15">
      <c r="B332" s="242"/>
      <c r="C332" s="696" t="s">
        <v>894</v>
      </c>
      <c r="D332" s="699"/>
      <c r="E332" s="699"/>
      <c r="F332" s="699"/>
      <c r="G332" s="699"/>
      <c r="H332" s="699"/>
      <c r="I332" s="448"/>
      <c r="J332" s="448"/>
      <c r="K332" s="448"/>
      <c r="L332" s="448"/>
      <c r="M332" s="448"/>
    </row>
    <row r="333" spans="2:13" x14ac:dyDescent="0.15">
      <c r="B333" s="447"/>
      <c r="C333" s="228"/>
      <c r="D333" s="228"/>
      <c r="E333" s="228"/>
      <c r="F333" s="228"/>
      <c r="G333" s="228"/>
      <c r="H333" s="228"/>
      <c r="I333" s="228"/>
      <c r="J333" s="228"/>
      <c r="K333" s="228"/>
      <c r="L333" s="448"/>
      <c r="M333" s="448"/>
    </row>
    <row r="334" spans="2:13" s="189" customFormat="1" ht="15.5" customHeight="1" x14ac:dyDescent="0.15">
      <c r="B334" s="190" t="s">
        <v>895</v>
      </c>
      <c r="C334" s="191" t="s">
        <v>896</v>
      </c>
      <c r="D334" s="192"/>
      <c r="E334" s="192"/>
      <c r="F334" s="454"/>
      <c r="G334" s="499"/>
      <c r="H334" s="499"/>
      <c r="I334" s="499"/>
      <c r="J334" s="499"/>
      <c r="K334" s="499"/>
      <c r="L334" s="500"/>
      <c r="M334" s="448"/>
    </row>
    <row r="335" spans="2:13" ht="13.75" customHeight="1" thickBot="1" x14ac:dyDescent="0.2">
      <c r="B335" s="447"/>
      <c r="C335" s="237"/>
      <c r="D335" s="237"/>
      <c r="E335" s="237"/>
      <c r="F335" s="448"/>
      <c r="G335" s="448"/>
      <c r="H335" s="448"/>
      <c r="I335" s="448"/>
      <c r="J335" s="448"/>
      <c r="K335" s="448"/>
      <c r="L335" s="448"/>
      <c r="M335" s="448"/>
    </row>
    <row r="336" spans="2:13" ht="13.5" customHeight="1" x14ac:dyDescent="0.2">
      <c r="B336" s="447"/>
      <c r="C336" s="243"/>
      <c r="D336" s="244"/>
      <c r="E336" s="245" t="s">
        <v>897</v>
      </c>
      <c r="F336" s="246"/>
      <c r="G336" s="247"/>
      <c r="H336" s="723" t="s">
        <v>898</v>
      </c>
      <c r="I336" s="724"/>
      <c r="J336" s="725"/>
      <c r="K336" s="248"/>
      <c r="L336" s="448"/>
      <c r="M336" s="448"/>
    </row>
    <row r="337" spans="2:11" ht="15.5" customHeight="1" x14ac:dyDescent="0.15">
      <c r="B337" s="447"/>
      <c r="C337" s="537" t="s">
        <v>899</v>
      </c>
      <c r="D337" s="249" t="s">
        <v>900</v>
      </c>
      <c r="E337" s="207" t="s">
        <v>716</v>
      </c>
      <c r="F337" s="250" t="s">
        <v>717</v>
      </c>
      <c r="G337" s="251" t="s">
        <v>718</v>
      </c>
      <c r="H337" s="207" t="s">
        <v>716</v>
      </c>
      <c r="I337" s="250" t="s">
        <v>717</v>
      </c>
      <c r="J337" s="251" t="s">
        <v>718</v>
      </c>
      <c r="K337" s="252" t="s">
        <v>901</v>
      </c>
    </row>
    <row r="338" spans="2:11" ht="16.25" customHeight="1" thickBot="1" x14ac:dyDescent="0.2">
      <c r="B338" s="447"/>
      <c r="C338" s="253"/>
      <c r="D338" s="254"/>
      <c r="E338" s="255" t="s">
        <v>902</v>
      </c>
      <c r="F338" s="256" t="s">
        <v>903</v>
      </c>
      <c r="G338" s="257" t="s">
        <v>904</v>
      </c>
      <c r="H338" s="255" t="s">
        <v>902</v>
      </c>
      <c r="I338" s="256" t="s">
        <v>903</v>
      </c>
      <c r="J338" s="257" t="s">
        <v>904</v>
      </c>
      <c r="K338" s="258"/>
    </row>
    <row r="339" spans="2:11" ht="14.5" customHeight="1" x14ac:dyDescent="0.15">
      <c r="B339" s="448"/>
      <c r="C339" s="538" t="s">
        <v>905</v>
      </c>
      <c r="D339" s="539" t="s">
        <v>906</v>
      </c>
      <c r="E339" s="356">
        <v>899.00300000000004</v>
      </c>
      <c r="F339" s="357">
        <v>8.5999999999999993E-2</v>
      </c>
      <c r="G339" s="358">
        <v>1.2E-2</v>
      </c>
      <c r="H339" s="356">
        <v>1077.1099999999999</v>
      </c>
      <c r="I339" s="357">
        <v>0.11600000000000001</v>
      </c>
      <c r="J339" s="359">
        <v>1.6E-2</v>
      </c>
      <c r="K339" s="540">
        <v>4.1000000000000002E-2</v>
      </c>
    </row>
    <row r="340" spans="2:11" ht="14.5" customHeight="1" x14ac:dyDescent="0.15">
      <c r="B340" s="448"/>
      <c r="C340" s="541" t="s">
        <v>907</v>
      </c>
      <c r="D340" s="542" t="s">
        <v>908</v>
      </c>
      <c r="E340" s="360">
        <v>519.44500000000005</v>
      </c>
      <c r="F340" s="361">
        <v>2.5999999999999999E-2</v>
      </c>
      <c r="G340" s="362">
        <v>4.0000000000000001E-3</v>
      </c>
      <c r="H340" s="360">
        <v>1548.607</v>
      </c>
      <c r="I340" s="361">
        <v>6.7000000000000004E-2</v>
      </c>
      <c r="J340" s="363">
        <v>1.2E-2</v>
      </c>
      <c r="K340" s="173">
        <v>4.1000000000000002E-2</v>
      </c>
    </row>
    <row r="341" spans="2:11" ht="14.5" customHeight="1" x14ac:dyDescent="0.15">
      <c r="B341" s="448"/>
      <c r="C341" s="541" t="s">
        <v>909</v>
      </c>
      <c r="D341" s="542" t="s">
        <v>910</v>
      </c>
      <c r="E341" s="360">
        <v>740.81</v>
      </c>
      <c r="F341" s="361">
        <v>4.1000000000000002E-2</v>
      </c>
      <c r="G341" s="362">
        <v>6.0000000000000001E-3</v>
      </c>
      <c r="H341" s="360">
        <v>1260.4359999999999</v>
      </c>
      <c r="I341" s="361">
        <v>6.7000000000000004E-2</v>
      </c>
      <c r="J341" s="363">
        <v>8.9999999999999993E-3</v>
      </c>
      <c r="K341" s="173">
        <v>4.1000000000000002E-2</v>
      </c>
    </row>
    <row r="342" spans="2:11" ht="14.5" customHeight="1" x14ac:dyDescent="0.15">
      <c r="B342" s="448"/>
      <c r="C342" s="541" t="s">
        <v>911</v>
      </c>
      <c r="D342" s="542" t="s">
        <v>912</v>
      </c>
      <c r="E342" s="360">
        <v>436.65499999999997</v>
      </c>
      <c r="F342" s="361">
        <v>2.5000000000000001E-2</v>
      </c>
      <c r="G342" s="362">
        <v>3.0000000000000001E-3</v>
      </c>
      <c r="H342" s="360">
        <v>1033.9849999999999</v>
      </c>
      <c r="I342" s="361">
        <v>5.0999999999999997E-2</v>
      </c>
      <c r="J342" s="363">
        <v>7.0000000000000001E-3</v>
      </c>
      <c r="K342" s="173">
        <v>4.1000000000000002E-2</v>
      </c>
    </row>
    <row r="343" spans="2:11" ht="14.5" customHeight="1" x14ac:dyDescent="0.15">
      <c r="B343" s="448"/>
      <c r="C343" s="541" t="s">
        <v>913</v>
      </c>
      <c r="D343" s="542" t="s">
        <v>914</v>
      </c>
      <c r="E343" s="360">
        <v>738.03800000000001</v>
      </c>
      <c r="F343" s="361">
        <v>4.2999999999999997E-2</v>
      </c>
      <c r="G343" s="362">
        <v>6.0000000000000001E-3</v>
      </c>
      <c r="H343" s="360">
        <v>1264.9390000000001</v>
      </c>
      <c r="I343" s="361">
        <v>7.5999999999999998E-2</v>
      </c>
      <c r="J343" s="363">
        <v>0.01</v>
      </c>
      <c r="K343" s="173">
        <v>4.2000000000000003E-2</v>
      </c>
    </row>
    <row r="344" spans="2:11" ht="14.5" customHeight="1" x14ac:dyDescent="0.15">
      <c r="B344" s="448"/>
      <c r="C344" s="541" t="s">
        <v>915</v>
      </c>
      <c r="D344" s="542" t="s">
        <v>916</v>
      </c>
      <c r="E344" s="360">
        <v>801.89099999999996</v>
      </c>
      <c r="F344" s="361">
        <v>4.2000000000000003E-2</v>
      </c>
      <c r="G344" s="362">
        <v>5.0000000000000001E-3</v>
      </c>
      <c r="H344" s="360">
        <v>1033.954</v>
      </c>
      <c r="I344" s="361">
        <v>4.4999999999999998E-2</v>
      </c>
      <c r="J344" s="363">
        <v>6.0000000000000001E-3</v>
      </c>
      <c r="K344" s="173">
        <v>4.2000000000000003E-2</v>
      </c>
    </row>
    <row r="345" spans="2:11" ht="14.5" customHeight="1" x14ac:dyDescent="0.15">
      <c r="B345" s="448"/>
      <c r="C345" s="541" t="s">
        <v>917</v>
      </c>
      <c r="D345" s="542" t="s">
        <v>918</v>
      </c>
      <c r="E345" s="360">
        <v>1122.117</v>
      </c>
      <c r="F345" s="361">
        <v>0.14599999999999999</v>
      </c>
      <c r="G345" s="362">
        <v>2.1999999999999999E-2</v>
      </c>
      <c r="H345" s="360">
        <v>1596.385</v>
      </c>
      <c r="I345" s="361">
        <v>0.17</v>
      </c>
      <c r="J345" s="363">
        <v>2.7E-2</v>
      </c>
      <c r="K345" s="173">
        <v>4.3999999999999997E-2</v>
      </c>
    </row>
    <row r="346" spans="2:11" ht="14.5" customHeight="1" x14ac:dyDescent="0.15">
      <c r="B346" s="448"/>
      <c r="C346" s="541" t="s">
        <v>919</v>
      </c>
      <c r="D346" s="542" t="s">
        <v>920</v>
      </c>
      <c r="E346" s="360">
        <v>1489.3620000000001</v>
      </c>
      <c r="F346" s="361">
        <v>0.13400000000000001</v>
      </c>
      <c r="G346" s="362">
        <v>2.1000000000000001E-2</v>
      </c>
      <c r="H346" s="360">
        <v>1753.441</v>
      </c>
      <c r="I346" s="361">
        <v>0.159</v>
      </c>
      <c r="J346" s="363">
        <v>2.5000000000000001E-2</v>
      </c>
      <c r="K346" s="173">
        <v>4.3999999999999997E-2</v>
      </c>
    </row>
    <row r="347" spans="2:11" ht="14.5" customHeight="1" x14ac:dyDescent="0.15">
      <c r="B347" s="448"/>
      <c r="C347" s="541" t="s">
        <v>921</v>
      </c>
      <c r="D347" s="542" t="s">
        <v>922</v>
      </c>
      <c r="E347" s="360">
        <v>1402.0050000000001</v>
      </c>
      <c r="F347" s="361">
        <v>0.11600000000000001</v>
      </c>
      <c r="G347" s="362">
        <v>1.7000000000000001E-2</v>
      </c>
      <c r="H347" s="360">
        <v>1713.7719999999999</v>
      </c>
      <c r="I347" s="361">
        <v>0.161</v>
      </c>
      <c r="J347" s="363">
        <v>2.3E-2</v>
      </c>
      <c r="K347" s="173">
        <v>4.2000000000000003E-2</v>
      </c>
    </row>
    <row r="348" spans="2:11" ht="14.5" customHeight="1" x14ac:dyDescent="0.15">
      <c r="B348" s="448"/>
      <c r="C348" s="541" t="s">
        <v>923</v>
      </c>
      <c r="D348" s="542" t="s">
        <v>924</v>
      </c>
      <c r="E348" s="360">
        <v>920.02200000000005</v>
      </c>
      <c r="F348" s="361">
        <v>9.7000000000000003E-2</v>
      </c>
      <c r="G348" s="362">
        <v>1.4E-2</v>
      </c>
      <c r="H348" s="360">
        <v>1776.58</v>
      </c>
      <c r="I348" s="361">
        <v>0.18</v>
      </c>
      <c r="J348" s="363">
        <v>2.5999999999999999E-2</v>
      </c>
      <c r="K348" s="173">
        <v>4.2000000000000003E-2</v>
      </c>
    </row>
    <row r="349" spans="2:11" ht="14.5" customHeight="1" x14ac:dyDescent="0.15">
      <c r="B349" s="448"/>
      <c r="C349" s="541" t="s">
        <v>925</v>
      </c>
      <c r="D349" s="542" t="s">
        <v>926</v>
      </c>
      <c r="E349" s="360">
        <v>537.24300000000005</v>
      </c>
      <c r="F349" s="361">
        <v>6.3E-2</v>
      </c>
      <c r="G349" s="362">
        <v>8.0000000000000002E-3</v>
      </c>
      <c r="H349" s="360">
        <v>885.16099999999994</v>
      </c>
      <c r="I349" s="361">
        <v>6.7000000000000004E-2</v>
      </c>
      <c r="J349" s="363">
        <v>8.9999999999999993E-3</v>
      </c>
      <c r="K349" s="173">
        <v>4.2000000000000003E-2</v>
      </c>
    </row>
    <row r="350" spans="2:11" ht="14.5" customHeight="1" x14ac:dyDescent="0.15">
      <c r="B350" s="448"/>
      <c r="C350" s="541" t="s">
        <v>927</v>
      </c>
      <c r="D350" s="542" t="s">
        <v>928</v>
      </c>
      <c r="E350" s="360">
        <v>631.70500000000004</v>
      </c>
      <c r="F350" s="361">
        <v>5.3999999999999999E-2</v>
      </c>
      <c r="G350" s="362">
        <v>8.0000000000000002E-3</v>
      </c>
      <c r="H350" s="360">
        <v>1613.4259999999999</v>
      </c>
      <c r="I350" s="361">
        <v>0.14599999999999999</v>
      </c>
      <c r="J350" s="363">
        <v>2.1000000000000001E-2</v>
      </c>
      <c r="K350" s="173">
        <v>4.1000000000000002E-2</v>
      </c>
    </row>
    <row r="351" spans="2:11" ht="14.5" customHeight="1" x14ac:dyDescent="0.15">
      <c r="B351" s="448"/>
      <c r="C351" s="541" t="s">
        <v>929</v>
      </c>
      <c r="D351" s="542" t="s">
        <v>930</v>
      </c>
      <c r="E351" s="360">
        <v>974.65599999999995</v>
      </c>
      <c r="F351" s="361">
        <v>2.5000000000000001E-2</v>
      </c>
      <c r="G351" s="362">
        <v>3.0000000000000001E-3</v>
      </c>
      <c r="H351" s="360">
        <v>1008.891</v>
      </c>
      <c r="I351" s="361">
        <v>0.02</v>
      </c>
      <c r="J351" s="363">
        <v>2E-3</v>
      </c>
      <c r="K351" s="173">
        <v>4.2000000000000003E-2</v>
      </c>
    </row>
    <row r="352" spans="2:11" ht="14.5" customHeight="1" x14ac:dyDescent="0.15">
      <c r="B352" s="448"/>
      <c r="C352" s="541" t="s">
        <v>931</v>
      </c>
      <c r="D352" s="542" t="s">
        <v>932</v>
      </c>
      <c r="E352" s="360">
        <v>1180.6780000000001</v>
      </c>
      <c r="F352" s="361">
        <v>0.14000000000000001</v>
      </c>
      <c r="G352" s="362">
        <v>1.7999999999999999E-2</v>
      </c>
      <c r="H352" s="360">
        <v>1316.557</v>
      </c>
      <c r="I352" s="361">
        <v>0.05</v>
      </c>
      <c r="J352" s="363">
        <v>6.0000000000000001E-3</v>
      </c>
      <c r="K352" s="173">
        <v>4.2000000000000003E-2</v>
      </c>
    </row>
    <row r="353" spans="2:12" ht="14.5" customHeight="1" x14ac:dyDescent="0.15">
      <c r="B353" s="448"/>
      <c r="C353" s="541" t="s">
        <v>933</v>
      </c>
      <c r="D353" s="542" t="s">
        <v>934</v>
      </c>
      <c r="E353" s="360">
        <v>240.99</v>
      </c>
      <c r="F353" s="361">
        <v>1.0999999999999999E-2</v>
      </c>
      <c r="G353" s="362">
        <v>1E-3</v>
      </c>
      <c r="H353" s="360">
        <v>909.10799999999995</v>
      </c>
      <c r="I353" s="361">
        <v>4.1000000000000002E-2</v>
      </c>
      <c r="J353" s="363">
        <v>5.0000000000000001E-3</v>
      </c>
      <c r="K353" s="173">
        <v>4.2000000000000003E-2</v>
      </c>
      <c r="L353" s="448"/>
    </row>
    <row r="354" spans="2:12" ht="14.5" customHeight="1" x14ac:dyDescent="0.15">
      <c r="B354" s="448"/>
      <c r="C354" s="541" t="s">
        <v>935</v>
      </c>
      <c r="D354" s="542" t="s">
        <v>936</v>
      </c>
      <c r="E354" s="360">
        <v>1542.952</v>
      </c>
      <c r="F354" s="361">
        <v>7.6999999999999999E-2</v>
      </c>
      <c r="G354" s="362">
        <v>1.2E-2</v>
      </c>
      <c r="H354" s="360">
        <v>1636.7380000000001</v>
      </c>
      <c r="I354" s="361">
        <v>7.1999999999999995E-2</v>
      </c>
      <c r="J354" s="363">
        <v>1.2E-2</v>
      </c>
      <c r="K354" s="173"/>
      <c r="L354" s="448"/>
    </row>
    <row r="355" spans="2:12" ht="14.5" customHeight="1" x14ac:dyDescent="0.15">
      <c r="B355" s="448"/>
      <c r="C355" s="541" t="s">
        <v>937</v>
      </c>
      <c r="D355" s="542" t="s">
        <v>938</v>
      </c>
      <c r="E355" s="360">
        <v>594.74</v>
      </c>
      <c r="F355" s="361">
        <v>3.5999999999999997E-2</v>
      </c>
      <c r="G355" s="362">
        <v>5.0000000000000001E-3</v>
      </c>
      <c r="H355" s="360">
        <v>1175.499</v>
      </c>
      <c r="I355" s="361">
        <v>7.6999999999999999E-2</v>
      </c>
      <c r="J355" s="363">
        <v>0.01</v>
      </c>
      <c r="K355" s="173">
        <v>4.2000000000000003E-2</v>
      </c>
      <c r="L355" s="448"/>
    </row>
    <row r="356" spans="2:12" ht="14.5" customHeight="1" x14ac:dyDescent="0.15">
      <c r="B356" s="448"/>
      <c r="C356" s="541" t="s">
        <v>939</v>
      </c>
      <c r="D356" s="542" t="s">
        <v>940</v>
      </c>
      <c r="E356" s="360">
        <v>962.08399999999995</v>
      </c>
      <c r="F356" s="361">
        <v>8.2000000000000003E-2</v>
      </c>
      <c r="G356" s="362">
        <v>1.0999999999999999E-2</v>
      </c>
      <c r="H356" s="360">
        <v>1508.1189999999999</v>
      </c>
      <c r="I356" s="361">
        <v>0.14399999999999999</v>
      </c>
      <c r="J356" s="363">
        <v>0.02</v>
      </c>
      <c r="K356" s="173">
        <v>4.2000000000000003E-2</v>
      </c>
      <c r="L356" s="448"/>
    </row>
    <row r="357" spans="2:12" ht="14.5" customHeight="1" x14ac:dyDescent="0.15">
      <c r="B357" s="448"/>
      <c r="C357" s="541" t="s">
        <v>941</v>
      </c>
      <c r="D357" s="542" t="s">
        <v>942</v>
      </c>
      <c r="E357" s="360">
        <v>911.32100000000003</v>
      </c>
      <c r="F357" s="361">
        <v>7.0999999999999994E-2</v>
      </c>
      <c r="G357" s="362">
        <v>0.01</v>
      </c>
      <c r="H357" s="360">
        <v>1757.345</v>
      </c>
      <c r="I357" s="361">
        <v>0.161</v>
      </c>
      <c r="J357" s="363">
        <v>2.3E-2</v>
      </c>
      <c r="K357" s="173">
        <v>4.2000000000000003E-2</v>
      </c>
      <c r="L357" s="448"/>
    </row>
    <row r="358" spans="2:12" ht="14.5" customHeight="1" x14ac:dyDescent="0.15">
      <c r="B358" s="448"/>
      <c r="C358" s="541" t="s">
        <v>943</v>
      </c>
      <c r="D358" s="542" t="s">
        <v>944</v>
      </c>
      <c r="E358" s="360">
        <v>1036.021</v>
      </c>
      <c r="F358" s="361">
        <v>0.09</v>
      </c>
      <c r="G358" s="362">
        <v>1.2999999999999999E-2</v>
      </c>
      <c r="H358" s="360">
        <v>1620.64</v>
      </c>
      <c r="I358" s="361">
        <v>0.124</v>
      </c>
      <c r="J358" s="363">
        <v>1.7999999999999999E-2</v>
      </c>
      <c r="K358" s="173">
        <v>4.1000000000000002E-2</v>
      </c>
      <c r="L358" s="448"/>
    </row>
    <row r="359" spans="2:12" ht="14.5" customHeight="1" x14ac:dyDescent="0.15">
      <c r="B359" s="448"/>
      <c r="C359" s="541" t="s">
        <v>945</v>
      </c>
      <c r="D359" s="542" t="s">
        <v>946</v>
      </c>
      <c r="E359" s="360">
        <v>861.92499999999995</v>
      </c>
      <c r="F359" s="361">
        <v>8.6999999999999994E-2</v>
      </c>
      <c r="G359" s="362">
        <v>1.2E-2</v>
      </c>
      <c r="H359" s="360">
        <v>1892.0909999999999</v>
      </c>
      <c r="I359" s="361">
        <v>0.188</v>
      </c>
      <c r="J359" s="363">
        <v>2.7E-2</v>
      </c>
      <c r="K359" s="173">
        <v>4.2000000000000003E-2</v>
      </c>
      <c r="L359" s="448"/>
    </row>
    <row r="360" spans="2:12" ht="14.5" customHeight="1" x14ac:dyDescent="0.15">
      <c r="B360" s="448"/>
      <c r="C360" s="541" t="s">
        <v>947</v>
      </c>
      <c r="D360" s="542" t="s">
        <v>948</v>
      </c>
      <c r="E360" s="360">
        <v>891.10299999999995</v>
      </c>
      <c r="F360" s="361">
        <v>5.5E-2</v>
      </c>
      <c r="G360" s="362">
        <v>8.0000000000000002E-3</v>
      </c>
      <c r="H360" s="360">
        <v>1508.425</v>
      </c>
      <c r="I360" s="361">
        <v>9.5000000000000001E-2</v>
      </c>
      <c r="J360" s="363">
        <v>1.2999999999999999E-2</v>
      </c>
      <c r="K360" s="173">
        <v>4.2000000000000003E-2</v>
      </c>
      <c r="L360" s="448"/>
    </row>
    <row r="361" spans="2:12" ht="14.5" customHeight="1" x14ac:dyDescent="0.15">
      <c r="B361" s="448"/>
      <c r="C361" s="541" t="s">
        <v>949</v>
      </c>
      <c r="D361" s="542" t="s">
        <v>950</v>
      </c>
      <c r="E361" s="360">
        <v>739.41499999999996</v>
      </c>
      <c r="F361" s="361">
        <v>3.2000000000000001E-2</v>
      </c>
      <c r="G361" s="362">
        <v>4.0000000000000001E-3</v>
      </c>
      <c r="H361" s="360">
        <v>1145.4870000000001</v>
      </c>
      <c r="I361" s="361">
        <v>6.0999999999999999E-2</v>
      </c>
      <c r="J361" s="363">
        <v>8.0000000000000002E-3</v>
      </c>
      <c r="K361" s="173">
        <v>4.2000000000000003E-2</v>
      </c>
      <c r="L361" s="448"/>
    </row>
    <row r="362" spans="2:12" ht="14.5" customHeight="1" x14ac:dyDescent="0.15">
      <c r="B362" s="448"/>
      <c r="C362" s="541" t="s">
        <v>951</v>
      </c>
      <c r="D362" s="542" t="s">
        <v>952</v>
      </c>
      <c r="E362" s="360">
        <v>1238.3109999999999</v>
      </c>
      <c r="F362" s="361">
        <v>0.13200000000000001</v>
      </c>
      <c r="G362" s="362">
        <v>1.9E-2</v>
      </c>
      <c r="H362" s="360">
        <v>1818.5540000000001</v>
      </c>
      <c r="I362" s="361">
        <v>0.19</v>
      </c>
      <c r="J362" s="363">
        <v>2.7E-2</v>
      </c>
      <c r="K362" s="173">
        <v>4.2000000000000003E-2</v>
      </c>
      <c r="L362" s="448"/>
    </row>
    <row r="363" spans="2:12" ht="14.5" customHeight="1" x14ac:dyDescent="0.15">
      <c r="B363" s="448"/>
      <c r="C363" s="541" t="s">
        <v>953</v>
      </c>
      <c r="D363" s="542" t="s">
        <v>954</v>
      </c>
      <c r="E363" s="360">
        <v>840.89300000000003</v>
      </c>
      <c r="F363" s="361">
        <v>5.5E-2</v>
      </c>
      <c r="G363" s="362">
        <v>8.0000000000000002E-3</v>
      </c>
      <c r="H363" s="360">
        <v>1385.9970000000001</v>
      </c>
      <c r="I363" s="361">
        <v>9.6000000000000002E-2</v>
      </c>
      <c r="J363" s="363">
        <v>1.4E-2</v>
      </c>
      <c r="K363" s="173">
        <v>4.2000000000000003E-2</v>
      </c>
      <c r="L363" s="448"/>
    </row>
    <row r="364" spans="2:12" ht="14.5" customHeight="1" x14ac:dyDescent="0.15">
      <c r="B364" s="448"/>
      <c r="C364" s="541" t="s">
        <v>955</v>
      </c>
      <c r="D364" s="542" t="s">
        <v>956</v>
      </c>
      <c r="E364" s="360">
        <v>895.69299999999998</v>
      </c>
      <c r="F364" s="361">
        <v>7.9000000000000001E-2</v>
      </c>
      <c r="G364" s="362">
        <v>1.0999999999999999E-2</v>
      </c>
      <c r="H364" s="360">
        <v>1665.7550000000001</v>
      </c>
      <c r="I364" s="361">
        <v>0.154</v>
      </c>
      <c r="J364" s="363">
        <v>2.1999999999999999E-2</v>
      </c>
      <c r="K364" s="173">
        <v>4.2000000000000003E-2</v>
      </c>
      <c r="L364" s="448"/>
    </row>
    <row r="365" spans="2:12" ht="14.5" customHeight="1" x14ac:dyDescent="0.15">
      <c r="B365" s="448"/>
      <c r="C365" s="541" t="s">
        <v>957</v>
      </c>
      <c r="D365" s="542" t="s">
        <v>958</v>
      </c>
      <c r="E365" s="360">
        <v>590.22900000000004</v>
      </c>
      <c r="F365" s="361">
        <v>4.4999999999999998E-2</v>
      </c>
      <c r="G365" s="362">
        <v>6.0000000000000001E-3</v>
      </c>
      <c r="H365" s="360">
        <v>1286.77</v>
      </c>
      <c r="I365" s="361">
        <v>0.1</v>
      </c>
      <c r="J365" s="363">
        <v>1.4E-2</v>
      </c>
      <c r="K365" s="173">
        <v>4.2000000000000003E-2</v>
      </c>
      <c r="L365" s="448"/>
    </row>
    <row r="366" spans="2:12" ht="15" customHeight="1" thickBot="1" x14ac:dyDescent="0.2">
      <c r="B366" s="448"/>
      <c r="C366" s="543" t="s">
        <v>288</v>
      </c>
      <c r="D366" s="544" t="s">
        <v>288</v>
      </c>
      <c r="E366" s="364">
        <v>771.52300000000002</v>
      </c>
      <c r="F366" s="365">
        <v>5.7000000000000002E-2</v>
      </c>
      <c r="G366" s="366">
        <v>8.0000000000000002E-3</v>
      </c>
      <c r="H366" s="364">
        <v>1393.7</v>
      </c>
      <c r="I366" s="365">
        <v>0.104</v>
      </c>
      <c r="J366" s="367">
        <v>1.4999999999999999E-2</v>
      </c>
      <c r="K366" s="174">
        <v>4.2000000000000003E-2</v>
      </c>
      <c r="L366" s="448"/>
    </row>
    <row r="367" spans="2:12" x14ac:dyDescent="0.15">
      <c r="B367" s="447"/>
      <c r="C367" s="259" t="s">
        <v>959</v>
      </c>
      <c r="D367" s="260"/>
      <c r="E367" s="260"/>
      <c r="F367" s="261"/>
      <c r="G367" s="228"/>
      <c r="H367" s="228"/>
      <c r="I367" s="228"/>
      <c r="J367" s="448"/>
      <c r="K367" s="545"/>
      <c r="L367" s="545"/>
    </row>
    <row r="368" spans="2:12" s="187" customFormat="1" ht="11.5" customHeight="1" x14ac:dyDescent="0.15">
      <c r="B368" s="188"/>
      <c r="C368" s="175" t="s">
        <v>960</v>
      </c>
      <c r="D368" s="228"/>
      <c r="E368" s="228"/>
      <c r="F368" s="228"/>
      <c r="G368" s="228"/>
      <c r="H368" s="228"/>
      <c r="I368" s="228"/>
      <c r="K368" s="368"/>
      <c r="L368" s="349"/>
    </row>
    <row r="369" spans="3:11" x14ac:dyDescent="0.15">
      <c r="C369" s="728" t="s">
        <v>961</v>
      </c>
      <c r="D369" s="699"/>
      <c r="E369" s="699"/>
      <c r="F369" s="699"/>
      <c r="G369" s="699"/>
      <c r="H369" s="699"/>
      <c r="I369" s="699"/>
      <c r="J369" s="699"/>
      <c r="K369" s="180"/>
    </row>
    <row r="370" spans="3:11" x14ac:dyDescent="0.15">
      <c r="C370" s="696" t="s">
        <v>962</v>
      </c>
      <c r="D370" s="699"/>
      <c r="E370" s="699"/>
      <c r="F370" s="699"/>
      <c r="G370" s="699"/>
      <c r="H370" s="699"/>
      <c r="I370" s="699"/>
      <c r="J370" s="699"/>
      <c r="K370" s="180"/>
    </row>
    <row r="371" spans="3:11" x14ac:dyDescent="0.15">
      <c r="C371" s="262" t="s">
        <v>963</v>
      </c>
      <c r="D371" s="228"/>
      <c r="E371" s="228"/>
      <c r="F371" s="228"/>
      <c r="G371" s="228"/>
      <c r="H371" s="228"/>
      <c r="I371" s="228"/>
      <c r="J371" s="228"/>
      <c r="K371" s="180"/>
    </row>
    <row r="372" spans="3:11" x14ac:dyDescent="0.15">
      <c r="C372" s="262" t="s">
        <v>964</v>
      </c>
      <c r="D372" s="228"/>
      <c r="E372" s="228"/>
      <c r="F372" s="228"/>
      <c r="G372" s="228"/>
      <c r="H372" s="228"/>
      <c r="I372" s="228"/>
      <c r="J372" s="228"/>
      <c r="K372" s="180"/>
    </row>
    <row r="373" spans="3:11" x14ac:dyDescent="0.15">
      <c r="C373" s="262" t="s">
        <v>965</v>
      </c>
      <c r="D373" s="228"/>
      <c r="E373" s="228"/>
      <c r="F373" s="228"/>
      <c r="G373" s="228"/>
      <c r="H373" s="228"/>
      <c r="I373" s="228"/>
      <c r="J373" s="228"/>
      <c r="K373" s="180"/>
    </row>
    <row r="374" spans="3:11" x14ac:dyDescent="0.15">
      <c r="C374" s="176" t="s">
        <v>966</v>
      </c>
      <c r="D374" s="228"/>
      <c r="E374" s="228"/>
      <c r="F374" s="228"/>
      <c r="G374" s="228"/>
      <c r="H374" s="228"/>
      <c r="I374" s="228"/>
      <c r="J374" s="228"/>
      <c r="K374" s="180"/>
    </row>
    <row r="375" spans="3:11" x14ac:dyDescent="0.15">
      <c r="C375" s="220" t="s">
        <v>821</v>
      </c>
      <c r="D375" s="228"/>
      <c r="E375" s="228"/>
      <c r="F375" s="228"/>
      <c r="G375" s="228"/>
      <c r="H375" s="228"/>
      <c r="I375" s="228"/>
      <c r="J375" s="228"/>
      <c r="K375" s="228"/>
    </row>
    <row r="376" spans="3:11" x14ac:dyDescent="0.15">
      <c r="C376" s="448"/>
      <c r="D376" s="237"/>
      <c r="E376" s="237"/>
      <c r="F376" s="448"/>
      <c r="G376" s="448"/>
      <c r="H376" s="448"/>
      <c r="I376" s="448"/>
      <c r="J376" s="448"/>
      <c r="K376" s="448"/>
    </row>
    <row r="377" spans="3:11" x14ac:dyDescent="0.15">
      <c r="C377" s="448"/>
      <c r="D377" s="237"/>
      <c r="E377" s="237"/>
      <c r="F377" s="448"/>
      <c r="G377" s="448"/>
      <c r="H377" s="448"/>
      <c r="I377" s="448"/>
      <c r="J377" s="448"/>
      <c r="K377" s="448"/>
    </row>
    <row r="378" spans="3:11" x14ac:dyDescent="0.15">
      <c r="C378" s="448"/>
      <c r="D378" s="237"/>
      <c r="E378" s="237"/>
      <c r="F378" s="448"/>
      <c r="G378" s="448"/>
      <c r="H378" s="448"/>
      <c r="I378" s="448"/>
      <c r="J378" s="448"/>
      <c r="K378" s="448"/>
    </row>
    <row r="379" spans="3:11" x14ac:dyDescent="0.15">
      <c r="C379" s="448"/>
      <c r="D379" s="237"/>
      <c r="E379" s="237"/>
      <c r="F379" s="448"/>
      <c r="G379" s="448"/>
      <c r="H379" s="448"/>
      <c r="I379" s="448"/>
      <c r="J379" s="448"/>
      <c r="K379" s="448"/>
    </row>
    <row r="380" spans="3:11" x14ac:dyDescent="0.15">
      <c r="C380" s="448"/>
      <c r="D380" s="237"/>
      <c r="E380" s="237"/>
      <c r="F380" s="448"/>
      <c r="G380" s="448"/>
      <c r="H380" s="448"/>
      <c r="I380" s="448"/>
      <c r="J380" s="448"/>
      <c r="K380" s="448"/>
    </row>
    <row r="381" spans="3:11" x14ac:dyDescent="0.15">
      <c r="C381" s="448"/>
      <c r="D381" s="237"/>
      <c r="E381" s="237"/>
      <c r="F381" s="448"/>
      <c r="G381" s="448"/>
      <c r="H381" s="448"/>
      <c r="I381" s="448"/>
      <c r="J381" s="448"/>
      <c r="K381" s="448"/>
    </row>
    <row r="382" spans="3:11" x14ac:dyDescent="0.15">
      <c r="C382" s="448"/>
      <c r="D382" s="237"/>
      <c r="E382" s="237"/>
      <c r="F382" s="448"/>
      <c r="G382" s="448"/>
      <c r="H382" s="448"/>
      <c r="I382" s="448"/>
      <c r="J382" s="448"/>
      <c r="K382" s="448"/>
    </row>
    <row r="383" spans="3:11" x14ac:dyDescent="0.15">
      <c r="C383" s="448"/>
      <c r="D383" s="237"/>
      <c r="E383" s="237"/>
      <c r="F383" s="448"/>
      <c r="G383" s="448"/>
      <c r="H383" s="448"/>
      <c r="I383" s="448"/>
      <c r="J383" s="448"/>
      <c r="K383" s="448"/>
    </row>
    <row r="384" spans="3:11" x14ac:dyDescent="0.15">
      <c r="C384" s="448"/>
      <c r="D384" s="237"/>
      <c r="E384" s="237"/>
      <c r="F384" s="448"/>
      <c r="G384" s="448"/>
      <c r="H384" s="448"/>
      <c r="I384" s="448"/>
      <c r="J384" s="448"/>
      <c r="K384" s="448"/>
    </row>
    <row r="385" spans="4:5" x14ac:dyDescent="0.15">
      <c r="D385" s="237"/>
      <c r="E385" s="237"/>
    </row>
    <row r="386" spans="4:5" x14ac:dyDescent="0.15">
      <c r="D386" s="237"/>
      <c r="E386" s="237"/>
    </row>
    <row r="387" spans="4:5" x14ac:dyDescent="0.15">
      <c r="D387" s="237"/>
      <c r="E387" s="237"/>
    </row>
    <row r="388" spans="4:5" x14ac:dyDescent="0.15">
      <c r="D388" s="237"/>
      <c r="E388" s="237"/>
    </row>
    <row r="389" spans="4:5" x14ac:dyDescent="0.15">
      <c r="D389" s="237"/>
      <c r="E389" s="237"/>
    </row>
    <row r="390" spans="4:5" x14ac:dyDescent="0.15">
      <c r="D390" s="237"/>
      <c r="E390" s="237"/>
    </row>
    <row r="391" spans="4:5" x14ac:dyDescent="0.15">
      <c r="D391" s="237"/>
      <c r="E391" s="237"/>
    </row>
    <row r="392" spans="4:5" x14ac:dyDescent="0.15">
      <c r="D392" s="237"/>
      <c r="E392" s="237"/>
    </row>
    <row r="393" spans="4:5" x14ac:dyDescent="0.15">
      <c r="D393" s="237"/>
      <c r="E393" s="237"/>
    </row>
    <row r="394" spans="4:5" x14ac:dyDescent="0.15">
      <c r="D394" s="237"/>
      <c r="E394" s="237"/>
    </row>
    <row r="395" spans="4:5" x14ac:dyDescent="0.15">
      <c r="D395" s="237"/>
      <c r="E395" s="237"/>
    </row>
    <row r="396" spans="4:5" x14ac:dyDescent="0.15">
      <c r="D396" s="237"/>
      <c r="E396" s="237"/>
    </row>
    <row r="397" spans="4:5" x14ac:dyDescent="0.15">
      <c r="D397" s="237"/>
      <c r="E397" s="237"/>
    </row>
    <row r="398" spans="4:5" x14ac:dyDescent="0.15">
      <c r="D398" s="237"/>
      <c r="E398" s="237"/>
    </row>
    <row r="399" spans="4:5" x14ac:dyDescent="0.15">
      <c r="D399" s="237"/>
      <c r="E399" s="237"/>
    </row>
    <row r="400" spans="4:5" x14ac:dyDescent="0.15">
      <c r="D400" s="237"/>
      <c r="E400" s="237"/>
    </row>
    <row r="401" spans="2:12" x14ac:dyDescent="0.15">
      <c r="B401" s="447"/>
      <c r="C401" s="448"/>
      <c r="D401" s="237"/>
      <c r="E401" s="237"/>
      <c r="F401" s="448"/>
      <c r="G401" s="448"/>
      <c r="H401" s="448"/>
      <c r="I401" s="448"/>
      <c r="J401" s="448"/>
      <c r="K401" s="448"/>
      <c r="L401" s="448"/>
    </row>
    <row r="402" spans="2:12" x14ac:dyDescent="0.15">
      <c r="B402" s="447"/>
      <c r="C402" s="448"/>
      <c r="D402" s="237"/>
      <c r="E402" s="237"/>
      <c r="F402" s="448"/>
      <c r="G402" s="448"/>
      <c r="H402" s="448"/>
      <c r="I402" s="448"/>
      <c r="J402" s="448"/>
      <c r="K402" s="448"/>
      <c r="L402" s="448"/>
    </row>
    <row r="403" spans="2:12" x14ac:dyDescent="0.15">
      <c r="B403" s="447"/>
      <c r="C403" s="448"/>
      <c r="D403" s="237"/>
      <c r="E403" s="237"/>
      <c r="F403" s="448"/>
      <c r="G403" s="448"/>
      <c r="H403" s="448"/>
      <c r="I403" s="448"/>
      <c r="J403" s="448"/>
      <c r="K403" s="448"/>
      <c r="L403" s="448"/>
    </row>
    <row r="404" spans="2:12" x14ac:dyDescent="0.15">
      <c r="B404" s="447"/>
      <c r="C404" s="448"/>
      <c r="D404" s="237"/>
      <c r="E404" s="237"/>
      <c r="F404" s="448"/>
      <c r="G404" s="448"/>
      <c r="H404" s="448"/>
      <c r="I404" s="448"/>
      <c r="J404" s="448"/>
      <c r="K404" s="448"/>
      <c r="L404" s="448"/>
    </row>
    <row r="405" spans="2:12" x14ac:dyDescent="0.15">
      <c r="B405" s="447"/>
      <c r="C405" s="448"/>
      <c r="D405" s="237"/>
      <c r="E405" s="237"/>
      <c r="F405" s="448"/>
      <c r="G405" s="448"/>
      <c r="H405" s="448"/>
      <c r="I405" s="448"/>
      <c r="J405" s="448"/>
      <c r="K405" s="448"/>
      <c r="L405" s="448"/>
    </row>
    <row r="406" spans="2:12" ht="16" customHeight="1" x14ac:dyDescent="0.15">
      <c r="B406" s="447"/>
      <c r="C406" s="448"/>
      <c r="D406" s="237"/>
      <c r="E406" s="237"/>
      <c r="F406" s="448"/>
      <c r="G406" s="448"/>
      <c r="H406" s="448"/>
      <c r="I406" s="448"/>
      <c r="J406" s="448"/>
      <c r="K406" s="448"/>
      <c r="L406" s="448"/>
    </row>
    <row r="407" spans="2:12" ht="15.5" customHeight="1" x14ac:dyDescent="0.2">
      <c r="B407" s="229" t="s">
        <v>967</v>
      </c>
      <c r="C407" s="230" t="s">
        <v>968</v>
      </c>
      <c r="D407" s="263"/>
      <c r="E407" s="263"/>
      <c r="F407" s="499"/>
      <c r="G407" s="499"/>
      <c r="H407" s="499"/>
      <c r="I407" s="499"/>
      <c r="J407" s="499"/>
      <c r="K407" s="499"/>
      <c r="L407" s="500"/>
    </row>
    <row r="408" spans="2:12" ht="13.75" customHeight="1" thickBot="1" x14ac:dyDescent="0.2">
      <c r="B408" s="447"/>
      <c r="C408" s="448"/>
      <c r="D408" s="448"/>
      <c r="E408" s="448"/>
      <c r="F408" s="448"/>
      <c r="G408" s="448"/>
      <c r="H408" s="448"/>
      <c r="I408" s="448"/>
      <c r="J408" s="448"/>
      <c r="K408" s="448"/>
      <c r="L408" s="448"/>
    </row>
    <row r="409" spans="2:12" ht="31.75" customHeight="1" thickBot="1" x14ac:dyDescent="0.2">
      <c r="B409" s="447"/>
      <c r="C409" s="238"/>
      <c r="D409" s="264" t="s">
        <v>309</v>
      </c>
      <c r="E409" s="223" t="s">
        <v>310</v>
      </c>
      <c r="F409" s="224" t="s">
        <v>311</v>
      </c>
      <c r="G409" s="180"/>
      <c r="H409" s="457"/>
      <c r="I409" s="448"/>
      <c r="J409" s="448"/>
      <c r="K409" s="448"/>
      <c r="L409" s="448"/>
    </row>
    <row r="410" spans="2:12" ht="13.75" customHeight="1" thickBot="1" x14ac:dyDescent="0.2">
      <c r="B410" s="447"/>
      <c r="C410" s="546" t="s">
        <v>968</v>
      </c>
      <c r="D410" s="497">
        <v>66.33</v>
      </c>
      <c r="E410" s="547">
        <v>1.25</v>
      </c>
      <c r="F410" s="548">
        <v>0.125</v>
      </c>
      <c r="G410" s="448"/>
      <c r="H410" s="457"/>
      <c r="I410" s="448"/>
      <c r="J410" s="448"/>
      <c r="K410" s="448"/>
      <c r="L410" s="448"/>
    </row>
    <row r="411" spans="2:12" x14ac:dyDescent="0.15">
      <c r="B411" s="447"/>
      <c r="C411" s="219" t="s">
        <v>961</v>
      </c>
      <c r="D411" s="456"/>
      <c r="E411" s="484"/>
      <c r="F411" s="484"/>
      <c r="G411" s="484"/>
      <c r="H411" s="456"/>
      <c r="I411" s="456"/>
      <c r="J411" s="456"/>
      <c r="K411" s="456"/>
      <c r="L411" s="448"/>
    </row>
    <row r="412" spans="2:12" x14ac:dyDescent="0.15">
      <c r="B412" s="447"/>
      <c r="C412" s="193" t="s">
        <v>969</v>
      </c>
      <c r="D412" s="456"/>
      <c r="E412" s="484"/>
      <c r="F412" s="484"/>
      <c r="G412" s="484"/>
      <c r="H412" s="456"/>
      <c r="I412" s="456"/>
      <c r="J412" s="456"/>
      <c r="K412" s="456"/>
      <c r="L412" s="448"/>
    </row>
    <row r="413" spans="2:12" x14ac:dyDescent="0.15">
      <c r="B413" s="447"/>
      <c r="C413" s="220" t="s">
        <v>821</v>
      </c>
      <c r="D413" s="228"/>
      <c r="E413" s="228"/>
      <c r="F413" s="228"/>
      <c r="G413" s="228"/>
      <c r="H413" s="228"/>
      <c r="I413" s="228"/>
      <c r="J413" s="228"/>
      <c r="K413" s="228"/>
      <c r="L413" s="448"/>
    </row>
    <row r="414" spans="2:12" x14ac:dyDescent="0.15">
      <c r="B414" s="447"/>
      <c r="C414" s="221"/>
      <c r="D414" s="221"/>
      <c r="E414" s="221"/>
      <c r="F414" s="221"/>
      <c r="G414" s="221"/>
      <c r="H414" s="221"/>
      <c r="I414" s="221"/>
      <c r="J414" s="221"/>
      <c r="K414" s="221"/>
      <c r="L414" s="448"/>
    </row>
    <row r="415" spans="2:12" ht="15.5" customHeight="1" x14ac:dyDescent="0.2">
      <c r="B415" s="708" t="s">
        <v>970</v>
      </c>
      <c r="C415" s="709"/>
      <c r="D415" s="709"/>
      <c r="E415" s="709"/>
      <c r="F415" s="709"/>
      <c r="G415" s="709"/>
      <c r="H415" s="709"/>
      <c r="I415" s="709"/>
      <c r="J415" s="709"/>
      <c r="K415" s="709"/>
      <c r="L415" s="710"/>
    </row>
    <row r="416" spans="2:12" ht="27" customHeight="1" x14ac:dyDescent="0.2">
      <c r="B416" s="727" t="s">
        <v>971</v>
      </c>
      <c r="C416" s="717"/>
      <c r="D416" s="717"/>
      <c r="E416" s="717"/>
      <c r="F416" s="717"/>
      <c r="G416" s="717"/>
      <c r="H416" s="717"/>
      <c r="I416" s="717"/>
      <c r="J416" s="717"/>
      <c r="K416" s="717"/>
      <c r="L416" s="717"/>
    </row>
    <row r="417" spans="2:12" x14ac:dyDescent="0.15">
      <c r="B417" s="177" t="s">
        <v>972</v>
      </c>
      <c r="C417" s="448"/>
      <c r="D417" s="448"/>
      <c r="E417" s="448"/>
      <c r="F417" s="448"/>
      <c r="G417" s="448"/>
      <c r="H417" s="448"/>
      <c r="I417" s="448"/>
      <c r="J417" s="448"/>
      <c r="K417" s="448"/>
      <c r="L417" s="448"/>
    </row>
    <row r="419" spans="2:12" ht="15.5" customHeight="1" x14ac:dyDescent="0.2">
      <c r="B419" s="229" t="s">
        <v>973</v>
      </c>
      <c r="C419" s="230" t="s">
        <v>974</v>
      </c>
      <c r="D419" s="263"/>
      <c r="E419" s="263"/>
      <c r="F419" s="499"/>
      <c r="G419" s="499"/>
      <c r="H419" s="499"/>
      <c r="I419" s="499"/>
      <c r="J419" s="499"/>
      <c r="K419" s="499"/>
      <c r="L419" s="500"/>
    </row>
    <row r="420" spans="2:12" ht="32" customHeight="1" thickBot="1" x14ac:dyDescent="0.25">
      <c r="B420" s="265"/>
      <c r="C420" s="716" t="s">
        <v>975</v>
      </c>
      <c r="D420" s="717"/>
      <c r="E420" s="717"/>
      <c r="F420" s="717"/>
      <c r="G420" s="717"/>
      <c r="H420" s="717"/>
      <c r="I420" s="717"/>
      <c r="J420" s="717"/>
      <c r="K420" s="717"/>
      <c r="L420" s="717"/>
    </row>
    <row r="421" spans="2:12" ht="31.75" customHeight="1" thickBot="1" x14ac:dyDescent="0.2">
      <c r="B421" s="447"/>
      <c r="C421" s="238" t="s">
        <v>824</v>
      </c>
      <c r="D421" s="223" t="s">
        <v>976</v>
      </c>
      <c r="E421" s="223" t="s">
        <v>977</v>
      </c>
      <c r="F421" s="223" t="s">
        <v>978</v>
      </c>
      <c r="G421" s="224" t="s">
        <v>979</v>
      </c>
      <c r="H421" s="180"/>
      <c r="I421" s="336"/>
      <c r="J421" s="448"/>
      <c r="K421" s="448"/>
      <c r="L421" s="448"/>
    </row>
    <row r="422" spans="2:12" ht="15" customHeight="1" x14ac:dyDescent="0.15">
      <c r="B422" s="447"/>
      <c r="C422" s="549" t="s">
        <v>980</v>
      </c>
      <c r="D422" s="266">
        <v>1.298</v>
      </c>
      <c r="E422" s="369">
        <v>1.15E-2</v>
      </c>
      <c r="F422" s="369">
        <v>3.7600000000000001E-2</v>
      </c>
      <c r="G422" s="550" t="s">
        <v>981</v>
      </c>
      <c r="H422" s="267"/>
      <c r="I422" s="370"/>
      <c r="J422" s="370"/>
      <c r="K422" s="448"/>
      <c r="L422" s="448"/>
    </row>
    <row r="423" spans="2:12" ht="15" customHeight="1" x14ac:dyDescent="0.15">
      <c r="B423" s="447"/>
      <c r="C423" s="551" t="s">
        <v>982</v>
      </c>
      <c r="D423" s="268">
        <v>0.29699999999999999</v>
      </c>
      <c r="E423" s="371">
        <v>5.8999999999999999E-3</v>
      </c>
      <c r="F423" s="371">
        <v>5.3E-3</v>
      </c>
      <c r="G423" s="552" t="s">
        <v>981</v>
      </c>
      <c r="H423" s="267"/>
      <c r="I423" s="370"/>
      <c r="J423" s="370"/>
      <c r="K423" s="448"/>
      <c r="L423" s="448"/>
    </row>
    <row r="424" spans="2:12" ht="15" customHeight="1" thickBot="1" x14ac:dyDescent="0.2">
      <c r="B424" s="447"/>
      <c r="C424" s="485" t="s">
        <v>983</v>
      </c>
      <c r="D424" s="269">
        <v>0.39400000000000002</v>
      </c>
      <c r="E424" s="372">
        <v>1.09E-2</v>
      </c>
      <c r="F424" s="372">
        <v>8.8000000000000005E-3</v>
      </c>
      <c r="G424" s="553" t="s">
        <v>981</v>
      </c>
      <c r="H424" s="267"/>
      <c r="I424" s="370"/>
      <c r="J424" s="370"/>
      <c r="K424" s="448"/>
      <c r="L424" s="448"/>
    </row>
    <row r="425" spans="2:12" ht="15" customHeight="1" x14ac:dyDescent="0.15">
      <c r="B425" s="447"/>
      <c r="C425" s="549" t="s">
        <v>984</v>
      </c>
      <c r="D425" s="266">
        <v>0.186</v>
      </c>
      <c r="E425" s="369">
        <v>1.6000000000000001E-3</v>
      </c>
      <c r="F425" s="369">
        <v>5.4000000000000003E-3</v>
      </c>
      <c r="G425" s="550" t="s">
        <v>985</v>
      </c>
      <c r="H425" s="267"/>
      <c r="I425" s="370"/>
      <c r="J425" s="370"/>
      <c r="K425" s="448"/>
      <c r="L425" s="448"/>
    </row>
    <row r="426" spans="2:12" ht="15" customHeight="1" x14ac:dyDescent="0.15">
      <c r="B426" s="447"/>
      <c r="C426" s="459" t="s">
        <v>986</v>
      </c>
      <c r="D426" s="268">
        <v>2.1000000000000001E-2</v>
      </c>
      <c r="E426" s="371">
        <v>1.6000000000000001E-3</v>
      </c>
      <c r="F426" s="371">
        <v>5.0000000000000001E-4</v>
      </c>
      <c r="G426" s="554" t="s">
        <v>985</v>
      </c>
      <c r="H426" s="267"/>
      <c r="I426" s="370"/>
      <c r="J426" s="370"/>
      <c r="K426" s="448"/>
      <c r="L426" s="448"/>
    </row>
    <row r="427" spans="2:12" ht="15" customHeight="1" x14ac:dyDescent="0.15">
      <c r="B427" s="447"/>
      <c r="C427" s="459" t="s">
        <v>987</v>
      </c>
      <c r="D427" s="268">
        <v>7.6999999999999999E-2</v>
      </c>
      <c r="E427" s="371">
        <v>3.1E-2</v>
      </c>
      <c r="F427" s="371">
        <v>2E-3</v>
      </c>
      <c r="G427" s="554" t="s">
        <v>985</v>
      </c>
      <c r="H427" s="267"/>
      <c r="I427" s="370"/>
      <c r="J427" s="370"/>
      <c r="K427" s="448"/>
      <c r="L427" s="448"/>
    </row>
    <row r="428" spans="2:12" ht="15" customHeight="1" thickBot="1" x14ac:dyDescent="0.2">
      <c r="B428" s="447"/>
      <c r="C428" s="485" t="s">
        <v>879</v>
      </c>
      <c r="D428" s="269">
        <v>1.0860000000000001</v>
      </c>
      <c r="E428" s="555">
        <v>0</v>
      </c>
      <c r="F428" s="372">
        <v>3.3399999999999999E-2</v>
      </c>
      <c r="G428" s="553" t="s">
        <v>985</v>
      </c>
      <c r="H428" s="267"/>
      <c r="I428" s="370"/>
      <c r="J428" s="370"/>
      <c r="K428" s="448"/>
      <c r="L428" s="448"/>
    </row>
    <row r="429" spans="2:12" ht="67.5" customHeight="1" x14ac:dyDescent="0.15">
      <c r="B429" s="447"/>
      <c r="C429" s="726" t="s">
        <v>988</v>
      </c>
      <c r="D429" s="699"/>
      <c r="E429" s="699"/>
      <c r="F429" s="699"/>
      <c r="G429" s="699"/>
      <c r="H429" s="699"/>
      <c r="I429" s="699"/>
      <c r="J429" s="699"/>
      <c r="K429" s="699"/>
      <c r="L429" s="699"/>
    </row>
    <row r="430" spans="2:12" ht="102" customHeight="1" x14ac:dyDescent="0.15">
      <c r="B430" s="447"/>
      <c r="C430" s="696" t="s">
        <v>989</v>
      </c>
      <c r="D430" s="699"/>
      <c r="E430" s="699"/>
      <c r="F430" s="699"/>
      <c r="G430" s="699"/>
      <c r="H430" s="699"/>
      <c r="I430" s="699"/>
      <c r="J430" s="699"/>
      <c r="K430" s="699"/>
      <c r="L430" s="699"/>
    </row>
    <row r="431" spans="2:12" x14ac:dyDescent="0.15">
      <c r="B431" s="447"/>
      <c r="C431" s="228"/>
      <c r="D431" s="228"/>
      <c r="E431" s="228"/>
      <c r="F431" s="228"/>
      <c r="G431" s="228"/>
      <c r="H431" s="228"/>
      <c r="I431" s="228"/>
      <c r="J431" s="228"/>
      <c r="K431" s="228"/>
      <c r="L431" s="448"/>
    </row>
    <row r="432" spans="2:12" ht="15.5" customHeight="1" x14ac:dyDescent="0.2">
      <c r="B432" s="229" t="s">
        <v>990</v>
      </c>
      <c r="C432" s="230" t="s">
        <v>991</v>
      </c>
      <c r="D432" s="499"/>
      <c r="E432" s="499"/>
      <c r="F432" s="499"/>
      <c r="G432" s="499"/>
      <c r="H432" s="499"/>
      <c r="I432" s="499"/>
      <c r="J432" s="499"/>
      <c r="K432" s="499"/>
      <c r="L432" s="500"/>
    </row>
    <row r="433" spans="2:16" ht="45" customHeight="1" thickBot="1" x14ac:dyDescent="0.25">
      <c r="B433" s="270"/>
      <c r="C433" s="716" t="s">
        <v>992</v>
      </c>
      <c r="D433" s="717"/>
      <c r="E433" s="717"/>
      <c r="F433" s="717"/>
      <c r="G433" s="717"/>
      <c r="H433" s="717"/>
      <c r="I433" s="717"/>
      <c r="J433" s="717"/>
      <c r="K433" s="717"/>
      <c r="L433" s="448"/>
      <c r="M433" s="448"/>
      <c r="N433" s="448"/>
      <c r="O433" s="448"/>
      <c r="P433" s="448"/>
    </row>
    <row r="434" spans="2:16" ht="16.25" customHeight="1" thickBot="1" x14ac:dyDescent="0.25">
      <c r="B434" s="447"/>
      <c r="C434" s="556"/>
      <c r="D434" s="720" t="s">
        <v>993</v>
      </c>
      <c r="E434" s="721"/>
      <c r="F434" s="721"/>
      <c r="G434" s="721"/>
      <c r="H434" s="721"/>
      <c r="I434" s="722"/>
      <c r="J434" s="448"/>
      <c r="K434" s="448"/>
      <c r="L434" s="448"/>
      <c r="M434" s="448"/>
      <c r="N434" s="448"/>
      <c r="O434" s="448"/>
      <c r="P434" s="448"/>
    </row>
    <row r="435" spans="2:16" ht="48.5" customHeight="1" thickBot="1" x14ac:dyDescent="0.2">
      <c r="B435" s="447"/>
      <c r="C435" s="271" t="s">
        <v>994</v>
      </c>
      <c r="D435" s="272" t="s">
        <v>995</v>
      </c>
      <c r="E435" s="272" t="s">
        <v>996</v>
      </c>
      <c r="F435" s="272" t="s">
        <v>997</v>
      </c>
      <c r="G435" s="272" t="s">
        <v>998</v>
      </c>
      <c r="H435" s="272" t="s">
        <v>999</v>
      </c>
      <c r="I435" s="273" t="s">
        <v>1000</v>
      </c>
      <c r="J435" s="471"/>
      <c r="K435" s="471"/>
      <c r="L435" s="471"/>
      <c r="M435" s="448"/>
      <c r="N435" s="448"/>
      <c r="O435" s="448"/>
      <c r="P435" s="448"/>
    </row>
    <row r="436" spans="2:16" x14ac:dyDescent="0.15">
      <c r="B436" s="447"/>
      <c r="C436" s="557" t="s">
        <v>1001</v>
      </c>
      <c r="D436" s="558">
        <v>0.06</v>
      </c>
      <c r="E436" s="274">
        <v>0.02</v>
      </c>
      <c r="F436" s="274">
        <v>0.01</v>
      </c>
      <c r="G436" s="274" t="s">
        <v>1002</v>
      </c>
      <c r="H436" s="559" t="s">
        <v>1002</v>
      </c>
      <c r="I436" s="560" t="s">
        <v>1002</v>
      </c>
      <c r="J436" s="471"/>
      <c r="K436" s="471"/>
      <c r="L436" s="471"/>
      <c r="M436" s="471"/>
      <c r="N436" s="471"/>
      <c r="O436" s="471"/>
      <c r="P436" s="471"/>
    </row>
    <row r="437" spans="2:16" x14ac:dyDescent="0.15">
      <c r="B437" s="447"/>
      <c r="C437" s="561" t="s">
        <v>1003</v>
      </c>
      <c r="D437" s="562">
        <v>0.04</v>
      </c>
      <c r="E437" s="274">
        <v>0.02</v>
      </c>
      <c r="F437" s="274">
        <v>0.01</v>
      </c>
      <c r="G437" s="274" t="s">
        <v>1002</v>
      </c>
      <c r="H437" s="563" t="s">
        <v>1002</v>
      </c>
      <c r="I437" s="564" t="s">
        <v>1002</v>
      </c>
      <c r="J437" s="471"/>
      <c r="K437" s="471"/>
      <c r="L437" s="471"/>
      <c r="M437" s="471"/>
      <c r="N437" s="471"/>
      <c r="O437" s="471"/>
      <c r="P437" s="471"/>
    </row>
    <row r="438" spans="2:16" x14ac:dyDescent="0.15">
      <c r="B438" s="447"/>
      <c r="C438" s="561" t="s">
        <v>1004</v>
      </c>
      <c r="D438" s="562">
        <v>0.32</v>
      </c>
      <c r="E438" s="274">
        <v>0.02</v>
      </c>
      <c r="F438" s="274">
        <v>0.01</v>
      </c>
      <c r="G438" s="274" t="s">
        <v>1002</v>
      </c>
      <c r="H438" s="563" t="s">
        <v>1002</v>
      </c>
      <c r="I438" s="564" t="s">
        <v>1002</v>
      </c>
      <c r="J438" s="471"/>
      <c r="K438" s="471"/>
      <c r="L438" s="471"/>
      <c r="M438" s="471"/>
      <c r="N438" s="471"/>
      <c r="O438" s="471"/>
      <c r="P438" s="471"/>
    </row>
    <row r="439" spans="2:16" x14ac:dyDescent="0.15">
      <c r="B439" s="447"/>
      <c r="C439" s="561" t="s">
        <v>1005</v>
      </c>
      <c r="D439" s="562">
        <v>0.18</v>
      </c>
      <c r="E439" s="274">
        <v>0.02</v>
      </c>
      <c r="F439" s="274">
        <v>0.01</v>
      </c>
      <c r="G439" s="274" t="s">
        <v>1002</v>
      </c>
      <c r="H439" s="563" t="s">
        <v>1002</v>
      </c>
      <c r="I439" s="564" t="s">
        <v>1002</v>
      </c>
      <c r="J439" s="471"/>
      <c r="K439" s="471"/>
      <c r="L439" s="471"/>
      <c r="M439" s="471"/>
      <c r="N439" s="471"/>
      <c r="O439" s="471"/>
      <c r="P439" s="471"/>
    </row>
    <row r="440" spans="2:16" x14ac:dyDescent="0.15">
      <c r="B440" s="447"/>
      <c r="C440" s="561" t="s">
        <v>1006</v>
      </c>
      <c r="D440" s="562">
        <v>0.05</v>
      </c>
      <c r="E440" s="274">
        <v>0.02</v>
      </c>
      <c r="F440" s="274">
        <v>0.01</v>
      </c>
      <c r="G440" s="274" t="s">
        <v>1002</v>
      </c>
      <c r="H440" s="563" t="s">
        <v>1002</v>
      </c>
      <c r="I440" s="564" t="s">
        <v>1002</v>
      </c>
      <c r="J440" s="471"/>
      <c r="K440" s="471"/>
      <c r="L440" s="471"/>
      <c r="M440" s="471"/>
      <c r="N440" s="471"/>
      <c r="O440" s="471"/>
      <c r="P440" s="471"/>
    </row>
    <row r="441" spans="2:16" x14ac:dyDescent="0.15">
      <c r="B441" s="447"/>
      <c r="C441" s="561" t="s">
        <v>1007</v>
      </c>
      <c r="D441" s="562">
        <v>0.21</v>
      </c>
      <c r="E441" s="274">
        <v>0.02</v>
      </c>
      <c r="F441" s="274">
        <v>2.8</v>
      </c>
      <c r="G441" s="274" t="s">
        <v>1002</v>
      </c>
      <c r="H441" s="563" t="s">
        <v>1002</v>
      </c>
      <c r="I441" s="564" t="s">
        <v>1002</v>
      </c>
      <c r="J441" s="471"/>
      <c r="K441" s="471"/>
      <c r="L441" s="471"/>
      <c r="M441" s="471"/>
      <c r="N441" s="471"/>
      <c r="O441" s="471"/>
      <c r="P441" s="471"/>
    </row>
    <row r="442" spans="2:16" x14ac:dyDescent="0.15">
      <c r="B442" s="447"/>
      <c r="C442" s="561" t="s">
        <v>1008</v>
      </c>
      <c r="D442" s="562" t="s">
        <v>1002</v>
      </c>
      <c r="E442" s="562">
        <v>0.02</v>
      </c>
      <c r="F442" s="562">
        <v>2.8</v>
      </c>
      <c r="G442" s="562" t="s">
        <v>1002</v>
      </c>
      <c r="H442" s="563" t="s">
        <v>1002</v>
      </c>
      <c r="I442" s="564" t="s">
        <v>1002</v>
      </c>
      <c r="J442" s="471"/>
      <c r="K442" s="471"/>
      <c r="L442" s="471"/>
      <c r="M442" s="471"/>
      <c r="N442" s="471"/>
      <c r="O442" s="471"/>
      <c r="P442" s="471"/>
    </row>
    <row r="443" spans="2:16" x14ac:dyDescent="0.15">
      <c r="B443" s="447"/>
      <c r="C443" s="561" t="s">
        <v>1009</v>
      </c>
      <c r="D443" s="562">
        <v>0.23</v>
      </c>
      <c r="E443" s="562">
        <v>0.02</v>
      </c>
      <c r="F443" s="562">
        <v>2.0499999999999998</v>
      </c>
      <c r="G443" s="562" t="s">
        <v>1002</v>
      </c>
      <c r="H443" s="563" t="s">
        <v>1002</v>
      </c>
      <c r="I443" s="564" t="s">
        <v>1002</v>
      </c>
      <c r="J443" s="471"/>
      <c r="K443" s="471"/>
      <c r="L443" s="471"/>
      <c r="M443" s="471"/>
      <c r="N443" s="471"/>
      <c r="O443" s="471"/>
      <c r="P443" s="471"/>
    </row>
    <row r="444" spans="2:16" x14ac:dyDescent="0.15">
      <c r="B444" s="447"/>
      <c r="C444" s="561" t="s">
        <v>1010</v>
      </c>
      <c r="D444" s="562" t="s">
        <v>1002</v>
      </c>
      <c r="E444" s="562">
        <v>0.02</v>
      </c>
      <c r="F444" s="562">
        <v>2.8</v>
      </c>
      <c r="G444" s="562" t="s">
        <v>1002</v>
      </c>
      <c r="H444" s="563" t="s">
        <v>1002</v>
      </c>
      <c r="I444" s="564" t="s">
        <v>1002</v>
      </c>
      <c r="J444" s="471"/>
      <c r="K444" s="471"/>
      <c r="L444" s="471"/>
      <c r="M444" s="471"/>
      <c r="N444" s="471"/>
      <c r="O444" s="471"/>
      <c r="P444" s="471"/>
    </row>
    <row r="445" spans="2:16" x14ac:dyDescent="0.15">
      <c r="B445" s="447"/>
      <c r="C445" s="561" t="s">
        <v>1011</v>
      </c>
      <c r="D445" s="562">
        <v>0.2</v>
      </c>
      <c r="E445" s="562">
        <v>0.02</v>
      </c>
      <c r="F445" s="562">
        <v>2.8</v>
      </c>
      <c r="G445" s="562" t="s">
        <v>1002</v>
      </c>
      <c r="H445" s="563" t="s">
        <v>1002</v>
      </c>
      <c r="I445" s="564" t="s">
        <v>1002</v>
      </c>
      <c r="J445" s="471"/>
      <c r="K445" s="471"/>
      <c r="L445" s="471"/>
      <c r="M445" s="471"/>
      <c r="N445" s="471"/>
      <c r="O445" s="471"/>
      <c r="P445" s="471"/>
    </row>
    <row r="446" spans="2:16" x14ac:dyDescent="0.15">
      <c r="B446" s="447"/>
      <c r="C446" s="561" t="s">
        <v>1012</v>
      </c>
      <c r="D446" s="562" t="s">
        <v>1002</v>
      </c>
      <c r="E446" s="562">
        <v>0.02</v>
      </c>
      <c r="F446" s="562">
        <v>3.02</v>
      </c>
      <c r="G446" s="562" t="s">
        <v>1002</v>
      </c>
      <c r="H446" s="563" t="s">
        <v>1002</v>
      </c>
      <c r="I446" s="564" t="s">
        <v>1002</v>
      </c>
      <c r="J446" s="471"/>
      <c r="K446" s="471"/>
      <c r="L446" s="471"/>
      <c r="M446" s="471"/>
      <c r="N446" s="471"/>
      <c r="O446" s="471"/>
      <c r="P446" s="471"/>
    </row>
    <row r="447" spans="2:16" x14ac:dyDescent="0.15">
      <c r="B447" s="447"/>
      <c r="C447" s="561" t="s">
        <v>1013</v>
      </c>
      <c r="D447" s="562" t="s">
        <v>1002</v>
      </c>
      <c r="E447" s="562">
        <v>0.02</v>
      </c>
      <c r="F447" s="562">
        <v>1.26</v>
      </c>
      <c r="G447" s="562" t="s">
        <v>1002</v>
      </c>
      <c r="H447" s="563" t="s">
        <v>1002</v>
      </c>
      <c r="I447" s="564" t="s">
        <v>1002</v>
      </c>
      <c r="J447" s="471"/>
      <c r="K447" s="471"/>
      <c r="L447" s="471"/>
      <c r="M447" s="471"/>
      <c r="N447" s="471"/>
      <c r="O447" s="471"/>
      <c r="P447" s="471"/>
    </row>
    <row r="448" spans="2:16" x14ac:dyDescent="0.15">
      <c r="B448" s="447"/>
      <c r="C448" s="561" t="s">
        <v>1014</v>
      </c>
      <c r="D448" s="562" t="s">
        <v>1002</v>
      </c>
      <c r="E448" s="562">
        <v>0.02</v>
      </c>
      <c r="F448" s="562">
        <v>0.01</v>
      </c>
      <c r="G448" s="562">
        <v>0.13</v>
      </c>
      <c r="H448" s="563" t="s">
        <v>1002</v>
      </c>
      <c r="I448" s="564" t="s">
        <v>1002</v>
      </c>
      <c r="J448" s="471"/>
      <c r="K448" s="471"/>
      <c r="L448" s="471"/>
      <c r="M448" s="471"/>
      <c r="N448" s="471"/>
      <c r="O448" s="471"/>
      <c r="P448" s="471"/>
    </row>
    <row r="449" spans="3:16" x14ac:dyDescent="0.15">
      <c r="C449" s="561" t="s">
        <v>1015</v>
      </c>
      <c r="D449" s="562">
        <v>0.11</v>
      </c>
      <c r="E449" s="562">
        <v>1</v>
      </c>
      <c r="F449" s="562">
        <v>0.05</v>
      </c>
      <c r="G449" s="562" t="s">
        <v>1002</v>
      </c>
      <c r="H449" s="563" t="s">
        <v>1002</v>
      </c>
      <c r="I449" s="564" t="s">
        <v>1002</v>
      </c>
      <c r="J449" s="471"/>
      <c r="K449" s="471"/>
      <c r="L449" s="471"/>
      <c r="M449" s="471"/>
      <c r="N449" s="471"/>
      <c r="O449" s="471"/>
      <c r="P449" s="471"/>
    </row>
    <row r="450" spans="3:16" x14ac:dyDescent="0.15">
      <c r="C450" s="561" t="s">
        <v>1016</v>
      </c>
      <c r="D450" s="562">
        <v>0.02</v>
      </c>
      <c r="E450" s="562">
        <v>0.46</v>
      </c>
      <c r="F450" s="562">
        <v>0.05</v>
      </c>
      <c r="G450" s="562" t="s">
        <v>1002</v>
      </c>
      <c r="H450" s="563" t="s">
        <v>1002</v>
      </c>
      <c r="I450" s="564" t="s">
        <v>1002</v>
      </c>
      <c r="J450" s="471"/>
      <c r="K450" s="471"/>
      <c r="L450" s="471"/>
      <c r="M450" s="471"/>
      <c r="N450" s="471"/>
      <c r="O450" s="471"/>
      <c r="P450" s="471"/>
    </row>
    <row r="451" spans="3:16" x14ac:dyDescent="0.15">
      <c r="C451" s="561" t="s">
        <v>1017</v>
      </c>
      <c r="D451" s="562">
        <v>0.02</v>
      </c>
      <c r="E451" s="562">
        <v>0.39</v>
      </c>
      <c r="F451" s="562">
        <v>0.05</v>
      </c>
      <c r="G451" s="562" t="s">
        <v>1002</v>
      </c>
      <c r="H451" s="563" t="s">
        <v>1002</v>
      </c>
      <c r="I451" s="564" t="s">
        <v>1002</v>
      </c>
      <c r="J451" s="471"/>
      <c r="K451" s="471"/>
      <c r="L451" s="471"/>
      <c r="M451" s="471"/>
      <c r="N451" s="471"/>
      <c r="O451" s="471"/>
      <c r="P451" s="471"/>
    </row>
    <row r="452" spans="3:16" x14ac:dyDescent="0.15">
      <c r="C452" s="561" t="s">
        <v>1018</v>
      </c>
      <c r="D452" s="562">
        <v>0.02</v>
      </c>
      <c r="E452" s="562">
        <v>1.41</v>
      </c>
      <c r="F452" s="562">
        <v>0.05</v>
      </c>
      <c r="G452" s="562" t="s">
        <v>1002</v>
      </c>
      <c r="H452" s="563" t="s">
        <v>1002</v>
      </c>
      <c r="I452" s="564" t="s">
        <v>1002</v>
      </c>
      <c r="J452" s="471"/>
      <c r="K452" s="471"/>
      <c r="L452" s="471"/>
      <c r="M452" s="471"/>
      <c r="N452" s="471"/>
      <c r="O452" s="471"/>
      <c r="P452" s="471"/>
    </row>
    <row r="453" spans="3:16" x14ac:dyDescent="0.15">
      <c r="C453" s="561" t="s">
        <v>1019</v>
      </c>
      <c r="D453" s="562">
        <v>0.04</v>
      </c>
      <c r="E453" s="562">
        <v>0.39</v>
      </c>
      <c r="F453" s="562">
        <v>0.05</v>
      </c>
      <c r="G453" s="562" t="s">
        <v>1002</v>
      </c>
      <c r="H453" s="563" t="s">
        <v>1002</v>
      </c>
      <c r="I453" s="564" t="s">
        <v>1002</v>
      </c>
      <c r="J453" s="471"/>
      <c r="K453" s="471"/>
      <c r="L453" s="471"/>
      <c r="M453" s="471"/>
      <c r="N453" s="471"/>
      <c r="O453" s="471"/>
      <c r="P453" s="471"/>
    </row>
    <row r="454" spans="3:16" x14ac:dyDescent="0.15">
      <c r="C454" s="561" t="s">
        <v>1020</v>
      </c>
      <c r="D454" s="562">
        <v>0.04</v>
      </c>
      <c r="E454" s="562">
        <v>1.41</v>
      </c>
      <c r="F454" s="562">
        <v>0.05</v>
      </c>
      <c r="G454" s="562" t="s">
        <v>1002</v>
      </c>
      <c r="H454" s="563" t="s">
        <v>1002</v>
      </c>
      <c r="I454" s="564" t="s">
        <v>1002</v>
      </c>
      <c r="J454" s="471"/>
      <c r="K454" s="471"/>
      <c r="L454" s="471"/>
      <c r="M454" s="471"/>
      <c r="N454" s="471"/>
      <c r="O454" s="471"/>
      <c r="P454" s="471"/>
    </row>
    <row r="455" spans="3:16" x14ac:dyDescent="0.15">
      <c r="C455" s="561" t="s">
        <v>1021</v>
      </c>
      <c r="D455" s="562" t="s">
        <v>1002</v>
      </c>
      <c r="E455" s="562">
        <v>0.17</v>
      </c>
      <c r="F455" s="562">
        <v>0.05</v>
      </c>
      <c r="G455" s="562" t="s">
        <v>1002</v>
      </c>
      <c r="H455" s="563" t="s">
        <v>1002</v>
      </c>
      <c r="I455" s="564" t="s">
        <v>1002</v>
      </c>
      <c r="J455" s="471"/>
      <c r="K455" s="471"/>
      <c r="L455" s="471"/>
      <c r="M455" s="471"/>
      <c r="N455" s="471"/>
      <c r="O455" s="471"/>
      <c r="P455" s="471"/>
    </row>
    <row r="456" spans="3:16" x14ac:dyDescent="0.15">
      <c r="C456" s="561" t="s">
        <v>1022</v>
      </c>
      <c r="D456" s="562" t="s">
        <v>1002</v>
      </c>
      <c r="E456" s="562">
        <v>7.0000000000000007E-2</v>
      </c>
      <c r="F456" s="562">
        <v>0.05</v>
      </c>
      <c r="G456" s="562" t="s">
        <v>1002</v>
      </c>
      <c r="H456" s="563" t="s">
        <v>1002</v>
      </c>
      <c r="I456" s="564" t="s">
        <v>1002</v>
      </c>
      <c r="J456" s="471"/>
      <c r="K456" s="471"/>
      <c r="L456" s="471"/>
      <c r="M456" s="471"/>
      <c r="N456" s="471"/>
      <c r="O456" s="471"/>
      <c r="P456" s="471"/>
    </row>
    <row r="457" spans="3:16" x14ac:dyDescent="0.15">
      <c r="C457" s="561" t="s">
        <v>1023</v>
      </c>
      <c r="D457" s="562" t="s">
        <v>1002</v>
      </c>
      <c r="E457" s="562">
        <v>0.67</v>
      </c>
      <c r="F457" s="562">
        <v>0.05</v>
      </c>
      <c r="G457" s="562">
        <v>0.11</v>
      </c>
      <c r="H457" s="565">
        <v>0.14000000000000001</v>
      </c>
      <c r="I457" s="566">
        <v>0.11</v>
      </c>
      <c r="J457" s="471"/>
      <c r="K457" s="471"/>
      <c r="L457" s="471"/>
      <c r="M457" s="471"/>
      <c r="N457" s="471"/>
      <c r="O457" s="471"/>
      <c r="P457" s="471"/>
    </row>
    <row r="458" spans="3:16" x14ac:dyDescent="0.15">
      <c r="C458" s="561" t="s">
        <v>1024</v>
      </c>
      <c r="D458" s="562" t="s">
        <v>1002</v>
      </c>
      <c r="E458" s="562">
        <v>0.69</v>
      </c>
      <c r="F458" s="562">
        <v>0.05</v>
      </c>
      <c r="G458" s="562">
        <v>0.11</v>
      </c>
      <c r="H458" s="565">
        <v>0.14000000000000001</v>
      </c>
      <c r="I458" s="566">
        <v>0.11</v>
      </c>
      <c r="J458" s="471"/>
      <c r="K458" s="471"/>
      <c r="L458" s="471"/>
      <c r="M458" s="471"/>
      <c r="N458" s="471"/>
      <c r="O458" s="471"/>
      <c r="P458" s="471"/>
    </row>
    <row r="459" spans="3:16" x14ac:dyDescent="0.15">
      <c r="C459" s="561" t="s">
        <v>1025</v>
      </c>
      <c r="D459" s="562" t="s">
        <v>1002</v>
      </c>
      <c r="E459" s="562">
        <v>0.64</v>
      </c>
      <c r="F459" s="562">
        <v>0.05</v>
      </c>
      <c r="G459" s="562">
        <v>0.11</v>
      </c>
      <c r="H459" s="565">
        <v>0.14000000000000001</v>
      </c>
      <c r="I459" s="566">
        <v>0.11</v>
      </c>
      <c r="J459" s="471"/>
      <c r="K459" s="471"/>
      <c r="L459" s="471"/>
      <c r="M459" s="471"/>
      <c r="N459" s="471"/>
      <c r="O459" s="471"/>
      <c r="P459" s="471"/>
    </row>
    <row r="460" spans="3:16" x14ac:dyDescent="0.15">
      <c r="C460" s="561" t="s">
        <v>1026</v>
      </c>
      <c r="D460" s="562" t="s">
        <v>1002</v>
      </c>
      <c r="E460" s="562">
        <v>0.73</v>
      </c>
      <c r="F460" s="562">
        <v>0.05</v>
      </c>
      <c r="G460" s="562">
        <v>0.11</v>
      </c>
      <c r="H460" s="565">
        <v>0.14000000000000001</v>
      </c>
      <c r="I460" s="566">
        <v>0.11</v>
      </c>
      <c r="J460" s="471"/>
      <c r="K460" s="471"/>
      <c r="L460" s="471"/>
      <c r="M460" s="471"/>
      <c r="N460" s="471"/>
      <c r="O460" s="471"/>
      <c r="P460" s="471"/>
    </row>
    <row r="461" spans="3:16" x14ac:dyDescent="0.15">
      <c r="C461" s="561" t="s">
        <v>1027</v>
      </c>
      <c r="D461" s="562" t="s">
        <v>1002</v>
      </c>
      <c r="E461" s="562">
        <v>2.06</v>
      </c>
      <c r="F461" s="562">
        <v>0.05</v>
      </c>
      <c r="G461" s="562">
        <v>0.11</v>
      </c>
      <c r="H461" s="565">
        <v>0.14000000000000001</v>
      </c>
      <c r="I461" s="566">
        <v>0.11</v>
      </c>
      <c r="J461" s="471"/>
      <c r="K461" s="471"/>
      <c r="L461" s="471"/>
      <c r="M461" s="471"/>
      <c r="N461" s="471"/>
      <c r="O461" s="471"/>
      <c r="P461" s="471"/>
    </row>
    <row r="462" spans="3:16" x14ac:dyDescent="0.15">
      <c r="C462" s="561" t="s">
        <v>1028</v>
      </c>
      <c r="D462" s="562" t="s">
        <v>1002</v>
      </c>
      <c r="E462" s="562">
        <v>1.49</v>
      </c>
      <c r="F462" s="562">
        <v>0.05</v>
      </c>
      <c r="G462" s="562">
        <v>0.11</v>
      </c>
      <c r="H462" s="565">
        <v>0.14000000000000001</v>
      </c>
      <c r="I462" s="566">
        <v>0.11</v>
      </c>
      <c r="J462" s="471"/>
      <c r="K462" s="471"/>
      <c r="L462" s="471"/>
      <c r="M462" s="471"/>
      <c r="N462" s="471"/>
      <c r="O462" s="471"/>
      <c r="P462" s="471"/>
    </row>
    <row r="463" spans="3:16" x14ac:dyDescent="0.15">
      <c r="C463" s="561" t="s">
        <v>1029</v>
      </c>
      <c r="D463" s="562" t="s">
        <v>1002</v>
      </c>
      <c r="E463" s="562">
        <v>0.28000000000000003</v>
      </c>
      <c r="F463" s="562">
        <v>0.05</v>
      </c>
      <c r="G463" s="562">
        <v>0.11</v>
      </c>
      <c r="H463" s="565">
        <v>0.14000000000000001</v>
      </c>
      <c r="I463" s="566">
        <v>0.11</v>
      </c>
      <c r="J463" s="471"/>
      <c r="K463" s="471"/>
      <c r="L463" s="471"/>
      <c r="M463" s="471"/>
      <c r="N463" s="471"/>
      <c r="O463" s="471"/>
      <c r="P463" s="471"/>
    </row>
    <row r="464" spans="3:16" x14ac:dyDescent="0.15">
      <c r="C464" s="561" t="s">
        <v>1030</v>
      </c>
      <c r="D464" s="562" t="s">
        <v>1002</v>
      </c>
      <c r="E464" s="562">
        <v>0.72</v>
      </c>
      <c r="F464" s="562">
        <v>0.05</v>
      </c>
      <c r="G464" s="562">
        <v>0.11</v>
      </c>
      <c r="H464" s="565">
        <v>0.14000000000000001</v>
      </c>
      <c r="I464" s="566">
        <v>0.11</v>
      </c>
      <c r="J464" s="471"/>
      <c r="K464" s="471"/>
      <c r="L464" s="471"/>
      <c r="M464" s="471"/>
      <c r="N464" s="471"/>
      <c r="O464" s="471"/>
      <c r="P464" s="471"/>
    </row>
    <row r="465" spans="3:16" x14ac:dyDescent="0.15">
      <c r="C465" s="561" t="s">
        <v>1031</v>
      </c>
      <c r="D465" s="562" t="s">
        <v>1002</v>
      </c>
      <c r="E465" s="562">
        <v>0.36</v>
      </c>
      <c r="F465" s="562">
        <v>0.05</v>
      </c>
      <c r="G465" s="562">
        <v>0.14000000000000001</v>
      </c>
      <c r="H465" s="565">
        <v>0.11</v>
      </c>
      <c r="I465" s="566" t="s">
        <v>1002</v>
      </c>
      <c r="J465" s="471"/>
      <c r="K465" s="471"/>
      <c r="L465" s="471"/>
      <c r="M465" s="471"/>
      <c r="N465" s="471"/>
      <c r="O465" s="471"/>
      <c r="P465" s="471"/>
    </row>
    <row r="466" spans="3:16" x14ac:dyDescent="0.15">
      <c r="C466" s="561" t="s">
        <v>1032</v>
      </c>
      <c r="D466" s="562" t="s">
        <v>1002</v>
      </c>
      <c r="E466" s="562">
        <v>0.28000000000000003</v>
      </c>
      <c r="F466" s="562">
        <v>0.05</v>
      </c>
      <c r="G466" s="562">
        <v>0.14000000000000001</v>
      </c>
      <c r="H466" s="565">
        <v>0.09</v>
      </c>
      <c r="I466" s="566" t="s">
        <v>1002</v>
      </c>
      <c r="J466" s="471"/>
      <c r="K466" s="471"/>
      <c r="L466" s="471"/>
      <c r="M466" s="471"/>
      <c r="N466" s="471"/>
      <c r="O466" s="471"/>
      <c r="P466" s="471"/>
    </row>
    <row r="467" spans="3:16" x14ac:dyDescent="0.15">
      <c r="C467" s="561" t="s">
        <v>1033</v>
      </c>
      <c r="D467" s="562" t="s">
        <v>1002</v>
      </c>
      <c r="E467" s="562">
        <v>0.28000000000000003</v>
      </c>
      <c r="F467" s="562">
        <v>0.05</v>
      </c>
      <c r="G467" s="562">
        <v>0.14000000000000001</v>
      </c>
      <c r="H467" s="565">
        <v>0.12</v>
      </c>
      <c r="I467" s="566" t="s">
        <v>1002</v>
      </c>
      <c r="J467" s="471"/>
      <c r="K467" s="471"/>
      <c r="L467" s="471"/>
      <c r="M467" s="471"/>
      <c r="N467" s="471"/>
      <c r="O467" s="471"/>
      <c r="P467" s="471"/>
    </row>
    <row r="468" spans="3:16" x14ac:dyDescent="0.15">
      <c r="C468" s="561" t="s">
        <v>1034</v>
      </c>
      <c r="D468" s="562" t="s">
        <v>1002</v>
      </c>
      <c r="E468" s="562">
        <v>0.57999999999999996</v>
      </c>
      <c r="F468" s="562">
        <v>0.05</v>
      </c>
      <c r="G468" s="562">
        <v>0.14000000000000001</v>
      </c>
      <c r="H468" s="565">
        <v>0.15</v>
      </c>
      <c r="I468" s="566" t="s">
        <v>1002</v>
      </c>
      <c r="J468" s="471"/>
      <c r="K468" s="471"/>
      <c r="L468" s="471"/>
      <c r="M468" s="471"/>
      <c r="N468" s="471"/>
      <c r="O468" s="471"/>
      <c r="P468" s="471"/>
    </row>
    <row r="469" spans="3:16" x14ac:dyDescent="0.15">
      <c r="C469" s="561" t="s">
        <v>1035</v>
      </c>
      <c r="D469" s="562">
        <v>7.0000000000000007E-2</v>
      </c>
      <c r="E469" s="562">
        <v>0.89</v>
      </c>
      <c r="F469" s="562">
        <v>0.05</v>
      </c>
      <c r="G469" s="562" t="s">
        <v>1002</v>
      </c>
      <c r="H469" s="565" t="s">
        <v>1002</v>
      </c>
      <c r="I469" s="566" t="s">
        <v>1002</v>
      </c>
      <c r="J469" s="471"/>
      <c r="K469" s="471"/>
      <c r="L469" s="471"/>
      <c r="M469" s="471"/>
      <c r="N469" s="471"/>
      <c r="O469" s="471"/>
      <c r="P469" s="471"/>
    </row>
    <row r="470" spans="3:16" x14ac:dyDescent="0.15">
      <c r="C470" s="561" t="s">
        <v>1036</v>
      </c>
      <c r="D470" s="562">
        <v>7.0000000000000007E-2</v>
      </c>
      <c r="E470" s="562">
        <v>0.86</v>
      </c>
      <c r="F470" s="562">
        <v>0.05</v>
      </c>
      <c r="G470" s="562" t="s">
        <v>1002</v>
      </c>
      <c r="H470" s="565" t="s">
        <v>1002</v>
      </c>
      <c r="I470" s="566" t="s">
        <v>1002</v>
      </c>
      <c r="J470" s="471"/>
      <c r="K470" s="471"/>
      <c r="L470" s="471"/>
      <c r="M470" s="471"/>
      <c r="N470" s="471"/>
      <c r="O470" s="471"/>
      <c r="P470" s="471"/>
    </row>
    <row r="471" spans="3:16" x14ac:dyDescent="0.15">
      <c r="C471" s="561" t="s">
        <v>1037</v>
      </c>
      <c r="D471" s="562">
        <v>0.03</v>
      </c>
      <c r="E471" s="562">
        <v>0.84</v>
      </c>
      <c r="F471" s="562">
        <v>0.05</v>
      </c>
      <c r="G471" s="562" t="s">
        <v>1002</v>
      </c>
      <c r="H471" s="565" t="s">
        <v>1002</v>
      </c>
      <c r="I471" s="566" t="s">
        <v>1002</v>
      </c>
      <c r="J471" s="471"/>
      <c r="K471" s="471"/>
      <c r="L471" s="471"/>
      <c r="M471" s="471"/>
      <c r="N471" s="471"/>
      <c r="O471" s="471"/>
      <c r="P471" s="471"/>
    </row>
    <row r="472" spans="3:16" x14ac:dyDescent="0.15">
      <c r="C472" s="561" t="s">
        <v>1038</v>
      </c>
      <c r="D472" s="562">
        <v>0.23</v>
      </c>
      <c r="E472" s="562">
        <v>0.02</v>
      </c>
      <c r="F472" s="562">
        <v>0.01</v>
      </c>
      <c r="G472" s="562" t="s">
        <v>1002</v>
      </c>
      <c r="H472" s="565" t="s">
        <v>1002</v>
      </c>
      <c r="I472" s="566" t="s">
        <v>1002</v>
      </c>
      <c r="J472" s="471"/>
      <c r="K472" s="471"/>
      <c r="L472" s="471"/>
      <c r="M472" s="471"/>
      <c r="N472" s="471"/>
      <c r="O472" s="471"/>
      <c r="P472" s="471"/>
    </row>
    <row r="473" spans="3:16" x14ac:dyDescent="0.15">
      <c r="C473" s="561" t="s">
        <v>1039</v>
      </c>
      <c r="D473" s="562">
        <v>0.22</v>
      </c>
      <c r="E473" s="562">
        <v>0.02</v>
      </c>
      <c r="F473" s="562">
        <v>2.34</v>
      </c>
      <c r="G473" s="562" t="s">
        <v>1002</v>
      </c>
      <c r="H473" s="565" t="s">
        <v>1002</v>
      </c>
      <c r="I473" s="566" t="s">
        <v>1002</v>
      </c>
      <c r="J473" s="471"/>
      <c r="K473" s="471"/>
      <c r="L473" s="471"/>
      <c r="M473" s="471"/>
      <c r="N473" s="471"/>
      <c r="O473" s="471"/>
      <c r="P473" s="471"/>
    </row>
    <row r="474" spans="3:16" x14ac:dyDescent="0.15">
      <c r="C474" s="561" t="s">
        <v>1040</v>
      </c>
      <c r="D474" s="562">
        <v>0.09</v>
      </c>
      <c r="E474" s="562">
        <v>0.75</v>
      </c>
      <c r="F474" s="562">
        <v>0.11</v>
      </c>
      <c r="G474" s="562" t="s">
        <v>1002</v>
      </c>
      <c r="H474" s="565" t="s">
        <v>1002</v>
      </c>
      <c r="I474" s="566" t="s">
        <v>1002</v>
      </c>
      <c r="J474" s="471"/>
      <c r="K474" s="471"/>
      <c r="L474" s="471"/>
      <c r="M474" s="471"/>
      <c r="N474" s="471"/>
      <c r="O474" s="471"/>
      <c r="P474" s="471"/>
    </row>
    <row r="475" spans="3:16" x14ac:dyDescent="0.15">
      <c r="C475" s="561" t="s">
        <v>1041</v>
      </c>
      <c r="D475" s="562" t="s">
        <v>1002</v>
      </c>
      <c r="E475" s="562">
        <v>0.68</v>
      </c>
      <c r="F475" s="562">
        <v>0.05</v>
      </c>
      <c r="G475" s="562">
        <v>0.11</v>
      </c>
      <c r="H475" s="565" t="s">
        <v>1002</v>
      </c>
      <c r="I475" s="566" t="s">
        <v>1002</v>
      </c>
      <c r="J475" s="471"/>
      <c r="K475" s="471"/>
      <c r="L475" s="471"/>
      <c r="M475" s="471"/>
      <c r="N475" s="471"/>
      <c r="O475" s="471"/>
      <c r="P475" s="471"/>
    </row>
    <row r="476" spans="3:16" x14ac:dyDescent="0.15">
      <c r="C476" s="561" t="s">
        <v>1042</v>
      </c>
      <c r="D476" s="562" t="s">
        <v>1002</v>
      </c>
      <c r="E476" s="562">
        <v>0.54</v>
      </c>
      <c r="F476" s="562">
        <v>0.05</v>
      </c>
      <c r="G476" s="562">
        <v>0.13</v>
      </c>
      <c r="H476" s="565" t="s">
        <v>1002</v>
      </c>
      <c r="I476" s="566" t="s">
        <v>1002</v>
      </c>
      <c r="J476" s="471"/>
      <c r="K476" s="471"/>
      <c r="L476" s="471"/>
      <c r="M476" s="471"/>
      <c r="N476" s="471"/>
      <c r="O476" s="471"/>
      <c r="P476" s="471"/>
    </row>
    <row r="477" spans="3:16" x14ac:dyDescent="0.15">
      <c r="C477" s="561" t="s">
        <v>1043</v>
      </c>
      <c r="D477" s="562" t="s">
        <v>1002</v>
      </c>
      <c r="E477" s="562">
        <v>0.57999999999999996</v>
      </c>
      <c r="F477" s="562">
        <v>0.43</v>
      </c>
      <c r="G477" s="562" t="s">
        <v>1002</v>
      </c>
      <c r="H477" s="565" t="s">
        <v>1002</v>
      </c>
      <c r="I477" s="566" t="s">
        <v>1002</v>
      </c>
      <c r="J477" s="471"/>
      <c r="K477" s="471"/>
      <c r="L477" s="471"/>
      <c r="M477" s="471"/>
      <c r="N477" s="471"/>
      <c r="O477" s="471"/>
      <c r="P477" s="471"/>
    </row>
    <row r="478" spans="3:16" x14ac:dyDescent="0.15">
      <c r="C478" s="561" t="s">
        <v>1044</v>
      </c>
      <c r="D478" s="562" t="s">
        <v>1002</v>
      </c>
      <c r="E478" s="562">
        <v>0.02</v>
      </c>
      <c r="F478" s="562">
        <v>1.68</v>
      </c>
      <c r="G478" s="562" t="s">
        <v>1002</v>
      </c>
      <c r="H478" s="563" t="s">
        <v>1002</v>
      </c>
      <c r="I478" s="564" t="s">
        <v>1002</v>
      </c>
      <c r="J478" s="471"/>
      <c r="K478" s="471"/>
      <c r="L478" s="471"/>
      <c r="M478" s="471"/>
      <c r="N478" s="471"/>
      <c r="O478" s="471"/>
      <c r="P478" s="471"/>
    </row>
    <row r="479" spans="3:16" x14ac:dyDescent="0.15">
      <c r="C479" s="561" t="s">
        <v>1045</v>
      </c>
      <c r="D479" s="562">
        <v>0.01</v>
      </c>
      <c r="E479" s="562">
        <v>0.02</v>
      </c>
      <c r="F479" s="562">
        <v>0.4</v>
      </c>
      <c r="G479" s="562" t="s">
        <v>1002</v>
      </c>
      <c r="H479" s="563" t="s">
        <v>1002</v>
      </c>
      <c r="I479" s="564" t="s">
        <v>1002</v>
      </c>
      <c r="J479" s="471"/>
      <c r="K479" s="471"/>
      <c r="L479" s="471"/>
      <c r="M479" s="471"/>
      <c r="N479" s="471"/>
      <c r="O479" s="471"/>
      <c r="P479" s="471"/>
    </row>
    <row r="480" spans="3:16" x14ac:dyDescent="0.15">
      <c r="C480" s="561" t="s">
        <v>1046</v>
      </c>
      <c r="D480" s="562">
        <v>0.02</v>
      </c>
      <c r="E480" s="562">
        <v>0.02</v>
      </c>
      <c r="F480" s="562">
        <v>0.89</v>
      </c>
      <c r="G480" s="562" t="s">
        <v>1002</v>
      </c>
      <c r="H480" s="563" t="s">
        <v>1002</v>
      </c>
      <c r="I480" s="564" t="s">
        <v>1002</v>
      </c>
      <c r="J480" s="471"/>
      <c r="K480" s="471"/>
      <c r="L480" s="471"/>
      <c r="M480" s="471"/>
      <c r="N480" s="471"/>
      <c r="O480" s="471"/>
      <c r="P480" s="471"/>
    </row>
    <row r="481" spans="3:16" x14ac:dyDescent="0.15">
      <c r="C481" s="561" t="s">
        <v>1047</v>
      </c>
      <c r="D481" s="562">
        <v>0.02</v>
      </c>
      <c r="E481" s="562">
        <v>0.02</v>
      </c>
      <c r="F481" s="562">
        <v>0.74</v>
      </c>
      <c r="G481" s="562" t="s">
        <v>1002</v>
      </c>
      <c r="H481" s="563" t="s">
        <v>1002</v>
      </c>
      <c r="I481" s="564" t="s">
        <v>1002</v>
      </c>
      <c r="J481" s="471"/>
      <c r="K481" s="471"/>
      <c r="L481" s="471"/>
      <c r="M481" s="471"/>
      <c r="N481" s="471"/>
      <c r="O481" s="471"/>
      <c r="P481" s="471"/>
    </row>
    <row r="482" spans="3:16" x14ac:dyDescent="0.15">
      <c r="C482" s="561" t="s">
        <v>1048</v>
      </c>
      <c r="D482" s="562" t="s">
        <v>1002</v>
      </c>
      <c r="E482" s="562">
        <v>0.02</v>
      </c>
      <c r="F482" s="562">
        <v>0.64</v>
      </c>
      <c r="G482" s="562" t="s">
        <v>1002</v>
      </c>
      <c r="H482" s="563" t="s">
        <v>1002</v>
      </c>
      <c r="I482" s="564" t="s">
        <v>1002</v>
      </c>
      <c r="J482" s="471"/>
      <c r="K482" s="471"/>
      <c r="L482" s="471"/>
      <c r="M482" s="471"/>
      <c r="N482" s="471"/>
      <c r="O482" s="471"/>
      <c r="P482" s="471"/>
    </row>
    <row r="483" spans="3:16" x14ac:dyDescent="0.15">
      <c r="C483" s="561" t="s">
        <v>1049</v>
      </c>
      <c r="D483" s="562">
        <v>0.05</v>
      </c>
      <c r="E483" s="562">
        <v>0.02</v>
      </c>
      <c r="F483" s="562">
        <v>2.23</v>
      </c>
      <c r="G483" s="562" t="s">
        <v>1002</v>
      </c>
      <c r="H483" s="563" t="s">
        <v>1002</v>
      </c>
      <c r="I483" s="564" t="s">
        <v>1002</v>
      </c>
      <c r="J483" s="471"/>
      <c r="K483" s="471"/>
      <c r="L483" s="471"/>
      <c r="M483" s="471"/>
      <c r="N483" s="471"/>
      <c r="O483" s="471"/>
      <c r="P483" s="471"/>
    </row>
    <row r="484" spans="3:16" x14ac:dyDescent="0.15">
      <c r="C484" s="561" t="s">
        <v>1050</v>
      </c>
      <c r="D484" s="562">
        <v>0.01</v>
      </c>
      <c r="E484" s="562">
        <v>0.02</v>
      </c>
      <c r="F484" s="562">
        <v>1.92</v>
      </c>
      <c r="G484" s="562" t="s">
        <v>1002</v>
      </c>
      <c r="H484" s="563" t="s">
        <v>1002</v>
      </c>
      <c r="I484" s="564" t="s">
        <v>1002</v>
      </c>
      <c r="J484" s="471"/>
      <c r="K484" s="471"/>
      <c r="L484" s="471"/>
      <c r="M484" s="471"/>
      <c r="N484" s="471"/>
      <c r="O484" s="471"/>
      <c r="P484" s="471"/>
    </row>
    <row r="485" spans="3:16" x14ac:dyDescent="0.15">
      <c r="C485" s="561" t="s">
        <v>1051</v>
      </c>
      <c r="D485" s="562">
        <v>0.02</v>
      </c>
      <c r="E485" s="562">
        <v>0.02</v>
      </c>
      <c r="F485" s="562">
        <v>0.96</v>
      </c>
      <c r="G485" s="562" t="s">
        <v>1002</v>
      </c>
      <c r="H485" s="563" t="s">
        <v>1002</v>
      </c>
      <c r="I485" s="564" t="s">
        <v>1002</v>
      </c>
      <c r="J485" s="471"/>
      <c r="K485" s="471"/>
      <c r="L485" s="471"/>
      <c r="M485" s="471"/>
      <c r="N485" s="471"/>
      <c r="O485" s="471"/>
      <c r="P485" s="471"/>
    </row>
    <row r="486" spans="3:16" x14ac:dyDescent="0.15">
      <c r="C486" s="561" t="s">
        <v>1052</v>
      </c>
      <c r="D486" s="562" t="s">
        <v>1002</v>
      </c>
      <c r="E486" s="562">
        <v>0.02</v>
      </c>
      <c r="F486" s="562" t="s">
        <v>1002</v>
      </c>
      <c r="G486" s="562" t="s">
        <v>1002</v>
      </c>
      <c r="H486" s="563" t="s">
        <v>1002</v>
      </c>
      <c r="I486" s="564" t="s">
        <v>1002</v>
      </c>
      <c r="J486" s="471"/>
      <c r="K486" s="471"/>
      <c r="L486" s="471"/>
      <c r="M486" s="471"/>
      <c r="N486" s="471"/>
      <c r="O486" s="471"/>
      <c r="P486" s="471"/>
    </row>
    <row r="487" spans="3:16" x14ac:dyDescent="0.15">
      <c r="C487" s="561" t="s">
        <v>1053</v>
      </c>
      <c r="D487" s="562">
        <v>0.01</v>
      </c>
      <c r="E487" s="562">
        <v>0.02</v>
      </c>
      <c r="F487" s="562" t="s">
        <v>1002</v>
      </c>
      <c r="G487" s="562" t="s">
        <v>1002</v>
      </c>
      <c r="H487" s="563" t="s">
        <v>1002</v>
      </c>
      <c r="I487" s="564" t="s">
        <v>1002</v>
      </c>
      <c r="J487" s="471"/>
      <c r="K487" s="471"/>
      <c r="L487" s="471"/>
      <c r="M487" s="471"/>
      <c r="N487" s="471"/>
      <c r="O487" s="471"/>
      <c r="P487" s="471"/>
    </row>
    <row r="488" spans="3:16" x14ac:dyDescent="0.15">
      <c r="C488" s="561" t="s">
        <v>1054</v>
      </c>
      <c r="D488" s="562">
        <v>0.01</v>
      </c>
      <c r="E488" s="562">
        <v>0.02</v>
      </c>
      <c r="F488" s="562" t="s">
        <v>1002</v>
      </c>
      <c r="G488" s="562" t="s">
        <v>1002</v>
      </c>
      <c r="H488" s="563" t="s">
        <v>1002</v>
      </c>
      <c r="I488" s="564" t="s">
        <v>1002</v>
      </c>
      <c r="J488" s="471"/>
      <c r="K488" s="471"/>
      <c r="L488" s="471"/>
      <c r="M488" s="471"/>
      <c r="N488" s="471"/>
      <c r="O488" s="471"/>
      <c r="P488" s="471"/>
    </row>
    <row r="489" spans="3:16" x14ac:dyDescent="0.15">
      <c r="C489" s="561" t="s">
        <v>739</v>
      </c>
      <c r="D489" s="562">
        <v>0.1</v>
      </c>
      <c r="E489" s="562">
        <v>0.02</v>
      </c>
      <c r="F489" s="562">
        <v>2.21</v>
      </c>
      <c r="G489" s="562" t="s">
        <v>1002</v>
      </c>
      <c r="H489" s="563" t="s">
        <v>1002</v>
      </c>
      <c r="I489" s="564" t="s">
        <v>1002</v>
      </c>
      <c r="J489" s="471"/>
      <c r="K489" s="471"/>
      <c r="L489" s="471"/>
      <c r="M489" s="471"/>
      <c r="N489" s="471"/>
      <c r="O489" s="471"/>
      <c r="P489" s="471"/>
    </row>
    <row r="490" spans="3:16" x14ac:dyDescent="0.15">
      <c r="C490" s="561" t="s">
        <v>1055</v>
      </c>
      <c r="D490" s="567">
        <v>3.520538495466667E-3</v>
      </c>
      <c r="E490" s="562">
        <v>0.02</v>
      </c>
      <c r="F490" s="562" t="s">
        <v>1002</v>
      </c>
      <c r="G490" s="562" t="s">
        <v>1002</v>
      </c>
      <c r="H490" s="563" t="s">
        <v>1002</v>
      </c>
      <c r="I490" s="564" t="s">
        <v>1002</v>
      </c>
      <c r="J490" s="471"/>
      <c r="K490" s="471"/>
      <c r="L490" s="471"/>
      <c r="M490" s="471"/>
      <c r="N490" s="471"/>
      <c r="O490" s="471"/>
      <c r="P490" s="471"/>
    </row>
    <row r="491" spans="3:16" x14ac:dyDescent="0.15">
      <c r="C491" s="561" t="s">
        <v>1056</v>
      </c>
      <c r="D491" s="562">
        <v>0.03</v>
      </c>
      <c r="E491" s="562">
        <v>0.02</v>
      </c>
      <c r="F491" s="562">
        <v>0.7</v>
      </c>
      <c r="G491" s="562" t="s">
        <v>1002</v>
      </c>
      <c r="H491" s="563" t="s">
        <v>1002</v>
      </c>
      <c r="I491" s="564" t="s">
        <v>1002</v>
      </c>
      <c r="J491" s="471"/>
      <c r="K491" s="471"/>
      <c r="L491" s="471"/>
      <c r="M491" s="471"/>
      <c r="N491" s="471"/>
      <c r="O491" s="471"/>
      <c r="P491" s="471"/>
    </row>
    <row r="492" spans="3:16" x14ac:dyDescent="0.15">
      <c r="C492" s="561" t="s">
        <v>1057</v>
      </c>
      <c r="D492" s="562" t="s">
        <v>1002</v>
      </c>
      <c r="E492" s="562">
        <v>0.02</v>
      </c>
      <c r="F492" s="562" t="s">
        <v>1002</v>
      </c>
      <c r="G492" s="562" t="s">
        <v>1002</v>
      </c>
      <c r="H492" s="563" t="s">
        <v>1002</v>
      </c>
      <c r="I492" s="564" t="s">
        <v>1002</v>
      </c>
      <c r="J492" s="471"/>
      <c r="K492" s="471"/>
      <c r="L492" s="471"/>
      <c r="M492" s="471"/>
      <c r="N492" s="471"/>
      <c r="O492" s="471"/>
      <c r="P492" s="471"/>
    </row>
    <row r="493" spans="3:16" x14ac:dyDescent="0.15">
      <c r="C493" s="561" t="s">
        <v>1058</v>
      </c>
      <c r="D493" s="562">
        <v>0.05</v>
      </c>
      <c r="E493" s="562">
        <v>0.02</v>
      </c>
      <c r="F493" s="562" t="s">
        <v>1002</v>
      </c>
      <c r="G493" s="562" t="s">
        <v>1002</v>
      </c>
      <c r="H493" s="563" t="s">
        <v>1002</v>
      </c>
      <c r="I493" s="564" t="s">
        <v>1002</v>
      </c>
      <c r="J493" s="471"/>
      <c r="K493" s="471"/>
      <c r="L493" s="471"/>
      <c r="M493" s="471"/>
      <c r="N493" s="471"/>
      <c r="O493" s="471"/>
      <c r="P493" s="471"/>
    </row>
    <row r="494" spans="3:16" x14ac:dyDescent="0.15">
      <c r="C494" s="561" t="s">
        <v>1059</v>
      </c>
      <c r="D494" s="562">
        <v>0.04</v>
      </c>
      <c r="E494" s="562">
        <v>0.02</v>
      </c>
      <c r="F494" s="562" t="s">
        <v>1002</v>
      </c>
      <c r="G494" s="562" t="s">
        <v>1002</v>
      </c>
      <c r="H494" s="563" t="s">
        <v>1002</v>
      </c>
      <c r="I494" s="564" t="s">
        <v>1002</v>
      </c>
      <c r="J494" s="471"/>
      <c r="K494" s="471"/>
      <c r="L494" s="471"/>
      <c r="M494" s="471"/>
      <c r="N494" s="471"/>
      <c r="O494" s="471"/>
      <c r="P494" s="471"/>
    </row>
    <row r="495" spans="3:16" x14ac:dyDescent="0.15">
      <c r="C495" s="561" t="s">
        <v>1060</v>
      </c>
      <c r="D495" s="562" t="s">
        <v>1002</v>
      </c>
      <c r="E495" s="562">
        <v>0.02</v>
      </c>
      <c r="F495" s="562">
        <v>0.28999999999999998</v>
      </c>
      <c r="G495" s="562" t="s">
        <v>1002</v>
      </c>
      <c r="H495" s="563" t="s">
        <v>1002</v>
      </c>
      <c r="I495" s="564" t="s">
        <v>1002</v>
      </c>
      <c r="J495" s="471"/>
      <c r="K495" s="471"/>
      <c r="L495" s="471"/>
      <c r="M495" s="471"/>
      <c r="N495" s="471"/>
      <c r="O495" s="471"/>
      <c r="P495" s="471"/>
    </row>
    <row r="496" spans="3:16" ht="13.75" customHeight="1" thickBot="1" x14ac:dyDescent="0.2">
      <c r="C496" s="568" t="s">
        <v>1061</v>
      </c>
      <c r="D496" s="569" t="s">
        <v>1002</v>
      </c>
      <c r="E496" s="569">
        <v>0.18</v>
      </c>
      <c r="F496" s="569">
        <v>0.08</v>
      </c>
      <c r="G496" s="569" t="s">
        <v>1002</v>
      </c>
      <c r="H496" s="570" t="s">
        <v>1002</v>
      </c>
      <c r="I496" s="571" t="s">
        <v>1002</v>
      </c>
      <c r="J496" s="471"/>
      <c r="K496" s="471"/>
      <c r="L496" s="471"/>
      <c r="M496" s="471"/>
      <c r="N496" s="471"/>
      <c r="O496" s="471"/>
      <c r="P496" s="471"/>
    </row>
    <row r="497" spans="2:12" x14ac:dyDescent="0.15">
      <c r="B497" s="447"/>
      <c r="C497" s="728" t="s">
        <v>1062</v>
      </c>
      <c r="D497" s="699"/>
      <c r="E497" s="699"/>
      <c r="F497" s="699"/>
      <c r="G497" s="699"/>
      <c r="H497" s="699"/>
      <c r="I497" s="699"/>
      <c r="J497" s="699"/>
      <c r="K497" s="699"/>
      <c r="L497" s="699"/>
    </row>
    <row r="498" spans="2:12" ht="28.5" customHeight="1" x14ac:dyDescent="0.15">
      <c r="B498" s="447"/>
      <c r="C498" s="729" t="s">
        <v>1063</v>
      </c>
      <c r="D498" s="699"/>
      <c r="E498" s="699"/>
      <c r="F498" s="699"/>
      <c r="G498" s="699"/>
      <c r="H498" s="699"/>
      <c r="I498" s="699"/>
      <c r="J498" s="699"/>
      <c r="K498" s="699"/>
      <c r="L498" s="699"/>
    </row>
    <row r="499" spans="2:12" ht="161" customHeight="1" x14ac:dyDescent="0.15">
      <c r="B499" s="457"/>
      <c r="C499" s="696" t="s">
        <v>1064</v>
      </c>
      <c r="D499" s="699"/>
      <c r="E499" s="699"/>
      <c r="F499" s="699"/>
      <c r="G499" s="699"/>
      <c r="H499" s="699"/>
      <c r="I499" s="699"/>
      <c r="J499" s="699"/>
      <c r="K499" s="699"/>
      <c r="L499" s="699"/>
    </row>
    <row r="501" spans="2:12" ht="15.5" customHeight="1" x14ac:dyDescent="0.2">
      <c r="B501" s="229" t="s">
        <v>1065</v>
      </c>
      <c r="C501" s="275" t="s">
        <v>1066</v>
      </c>
      <c r="D501" s="276"/>
      <c r="E501" s="276"/>
      <c r="F501" s="276"/>
      <c r="G501" s="276"/>
      <c r="H501" s="499"/>
      <c r="I501" s="499"/>
      <c r="J501" s="499"/>
      <c r="K501" s="499"/>
      <c r="L501" s="500"/>
    </row>
    <row r="502" spans="2:12" s="189" customFormat="1" ht="25.5" customHeight="1" thickBot="1" x14ac:dyDescent="0.25">
      <c r="B502" s="277"/>
      <c r="C502" s="733" t="s">
        <v>1067</v>
      </c>
      <c r="D502" s="697"/>
      <c r="E502" s="697"/>
      <c r="F502" s="697"/>
      <c r="G502" s="697"/>
      <c r="H502" s="697"/>
      <c r="I502" s="697"/>
      <c r="J502" s="697"/>
      <c r="K502" s="697"/>
      <c r="L502" s="456"/>
    </row>
    <row r="503" spans="2:12" ht="31.75" customHeight="1" thickBot="1" x14ac:dyDescent="0.2">
      <c r="B503" s="447"/>
      <c r="C503" s="238" t="s">
        <v>824</v>
      </c>
      <c r="D503" s="223" t="s">
        <v>976</v>
      </c>
      <c r="E503" s="223" t="s">
        <v>977</v>
      </c>
      <c r="F503" s="223" t="s">
        <v>978</v>
      </c>
      <c r="G503" s="224" t="s">
        <v>979</v>
      </c>
      <c r="H503" s="180"/>
      <c r="I503" s="336"/>
      <c r="J503" s="448"/>
      <c r="K503" s="448"/>
      <c r="L503" s="448"/>
    </row>
    <row r="504" spans="2:12" ht="15" customHeight="1" x14ac:dyDescent="0.15">
      <c r="B504" s="447"/>
      <c r="C504" s="572" t="s">
        <v>982</v>
      </c>
      <c r="D504" s="373">
        <v>0.29699999999999999</v>
      </c>
      <c r="E504" s="374">
        <v>5.8999999999999999E-3</v>
      </c>
      <c r="F504" s="374">
        <v>5.3E-3</v>
      </c>
      <c r="G504" s="550" t="s">
        <v>981</v>
      </c>
      <c r="H504" s="336"/>
      <c r="I504" s="375"/>
      <c r="J504" s="375"/>
      <c r="K504" s="448"/>
      <c r="L504" s="448"/>
    </row>
    <row r="505" spans="2:12" ht="15" customHeight="1" x14ac:dyDescent="0.15">
      <c r="B505" s="447"/>
      <c r="C505" s="477" t="s">
        <v>983</v>
      </c>
      <c r="D505" s="376">
        <v>0.39400000000000002</v>
      </c>
      <c r="E505" s="377">
        <v>1.09E-2</v>
      </c>
      <c r="F505" s="377">
        <v>8.8000000000000005E-3</v>
      </c>
      <c r="G505" s="554" t="s">
        <v>981</v>
      </c>
      <c r="H505" s="336"/>
      <c r="I505" s="375"/>
      <c r="J505" s="375"/>
      <c r="K505" s="448"/>
      <c r="L505" s="448"/>
    </row>
    <row r="506" spans="2:12" ht="15" customHeight="1" thickBot="1" x14ac:dyDescent="0.2">
      <c r="B506" s="447"/>
      <c r="C506" s="496" t="s">
        <v>1068</v>
      </c>
      <c r="D506" s="378">
        <v>0.36799999999999999</v>
      </c>
      <c r="E506" s="379">
        <v>8.8800000000000004E-2</v>
      </c>
      <c r="F506" s="379">
        <v>1.8800000000000001E-2</v>
      </c>
      <c r="G506" s="553" t="s">
        <v>981</v>
      </c>
      <c r="H506" s="336"/>
      <c r="I506" s="375"/>
      <c r="J506" s="375"/>
      <c r="K506" s="448"/>
      <c r="L506" s="448"/>
    </row>
    <row r="507" spans="2:12" ht="15" customHeight="1" x14ac:dyDescent="0.15">
      <c r="B507" s="447"/>
      <c r="C507" s="278" t="s">
        <v>1069</v>
      </c>
      <c r="D507" s="573">
        <v>2.3E-2</v>
      </c>
      <c r="E507" s="574">
        <v>1E-3</v>
      </c>
      <c r="F507" s="574">
        <v>1E-4</v>
      </c>
      <c r="G507" s="552" t="s">
        <v>1070</v>
      </c>
      <c r="H507" s="336"/>
      <c r="I507" s="375"/>
      <c r="J507" s="375"/>
      <c r="K507" s="575"/>
      <c r="L507" s="448"/>
    </row>
    <row r="508" spans="2:12" ht="15" customHeight="1" x14ac:dyDescent="0.15">
      <c r="B508" s="447"/>
      <c r="C508" s="576" t="s">
        <v>1071</v>
      </c>
      <c r="D508" s="376">
        <v>0.14899999999999999</v>
      </c>
      <c r="E508" s="377">
        <v>1.2E-2</v>
      </c>
      <c r="F508" s="377">
        <v>4.0000000000000001E-3</v>
      </c>
      <c r="G508" s="552" t="s">
        <v>1070</v>
      </c>
      <c r="H508" s="336"/>
      <c r="I508" s="375"/>
      <c r="J508" s="375"/>
      <c r="K508" s="575"/>
      <c r="L508" s="448"/>
    </row>
    <row r="509" spans="2:12" ht="15" customHeight="1" x14ac:dyDescent="0.15">
      <c r="B509" s="447"/>
      <c r="C509" s="576" t="s">
        <v>1072</v>
      </c>
      <c r="D509" s="376">
        <v>9.6000000000000002E-2</v>
      </c>
      <c r="E509" s="377">
        <v>8.0000000000000002E-3</v>
      </c>
      <c r="F509" s="377">
        <v>2E-3</v>
      </c>
      <c r="G509" s="552" t="s">
        <v>1070</v>
      </c>
      <c r="H509" s="336"/>
      <c r="I509" s="375"/>
      <c r="J509" s="375"/>
      <c r="K509" s="575"/>
      <c r="L509" s="448"/>
    </row>
    <row r="510" spans="2:12" ht="15" customHeight="1" x14ac:dyDescent="0.15">
      <c r="B510" s="447"/>
      <c r="C510" s="577" t="s">
        <v>1073</v>
      </c>
      <c r="D510" s="578">
        <v>0.13300000000000001</v>
      </c>
      <c r="E510" s="579">
        <v>1.0500000000000001E-2</v>
      </c>
      <c r="F510" s="579">
        <v>2.5999999999999999E-3</v>
      </c>
      <c r="G510" s="554" t="s">
        <v>1070</v>
      </c>
      <c r="H510" s="336"/>
      <c r="I510" s="375"/>
      <c r="J510" s="375"/>
      <c r="K510" s="575"/>
      <c r="L510" s="448"/>
    </row>
    <row r="511" spans="2:12" ht="15" customHeight="1" thickBot="1" x14ac:dyDescent="0.2">
      <c r="B511" s="447"/>
      <c r="C511" s="580" t="s">
        <v>1074</v>
      </c>
      <c r="D511" s="547">
        <v>9.2999999999999999E-2</v>
      </c>
      <c r="E511" s="581">
        <v>7.4999999999999997E-3</v>
      </c>
      <c r="F511" s="581">
        <v>1E-3</v>
      </c>
      <c r="G511" s="553" t="s">
        <v>1070</v>
      </c>
      <c r="H511" s="336"/>
      <c r="I511" s="375"/>
      <c r="J511" s="375"/>
      <c r="K511" s="575"/>
      <c r="L511" s="448"/>
    </row>
    <row r="512" spans="2:12" ht="15" customHeight="1" x14ac:dyDescent="0.15">
      <c r="B512" s="447"/>
      <c r="C512" s="582" t="s">
        <v>1075</v>
      </c>
      <c r="D512" s="380">
        <v>6.6000000000000003E-2</v>
      </c>
      <c r="E512" s="381">
        <v>4.5999999999999999E-3</v>
      </c>
      <c r="F512" s="381">
        <v>1.9E-3</v>
      </c>
      <c r="G512" s="552" t="s">
        <v>1070</v>
      </c>
      <c r="H512" s="336"/>
      <c r="I512" s="375"/>
      <c r="J512" s="375"/>
      <c r="K512" s="448"/>
      <c r="L512" s="448"/>
    </row>
    <row r="513" spans="2:12" ht="15" customHeight="1" x14ac:dyDescent="0.15">
      <c r="B513" s="188"/>
      <c r="C513" s="477" t="s">
        <v>1076</v>
      </c>
      <c r="D513" s="583">
        <v>0.20699999999999999</v>
      </c>
      <c r="E513" s="584">
        <v>6.4000000000000003E-3</v>
      </c>
      <c r="F513" s="585">
        <v>6.6E-3</v>
      </c>
      <c r="G513" s="554" t="s">
        <v>1070</v>
      </c>
      <c r="H513" s="336"/>
      <c r="I513" s="375"/>
      <c r="J513" s="375"/>
      <c r="K513" s="448"/>
      <c r="L513" s="448"/>
    </row>
    <row r="514" spans="2:12" ht="25.5" customHeight="1" x14ac:dyDescent="0.15">
      <c r="B514" s="188"/>
      <c r="C514" s="586" t="s">
        <v>1077</v>
      </c>
      <c r="D514" s="587">
        <v>0.129</v>
      </c>
      <c r="E514" s="585">
        <v>5.9999999999999995E-4</v>
      </c>
      <c r="F514" s="585">
        <v>4.1000000000000003E-3</v>
      </c>
      <c r="G514" s="554" t="s">
        <v>1070</v>
      </c>
      <c r="H514" s="336"/>
      <c r="I514" s="375"/>
      <c r="J514" s="375"/>
      <c r="K514" s="448"/>
      <c r="L514" s="448"/>
    </row>
    <row r="515" spans="2:12" ht="25.5" customHeight="1" thickBot="1" x14ac:dyDescent="0.2">
      <c r="B515" s="188"/>
      <c r="C515" s="588" t="s">
        <v>1078</v>
      </c>
      <c r="D515" s="547">
        <v>0.16300000000000001</v>
      </c>
      <c r="E515" s="589">
        <v>5.9999999999999995E-4</v>
      </c>
      <c r="F515" s="581">
        <v>5.1999999999999998E-3</v>
      </c>
      <c r="G515" s="553" t="s">
        <v>1070</v>
      </c>
      <c r="H515" s="336"/>
      <c r="I515" s="375"/>
      <c r="J515" s="375"/>
      <c r="K515" s="448"/>
      <c r="L515" s="448"/>
    </row>
    <row r="516" spans="2:12" ht="120" customHeight="1" x14ac:dyDescent="0.15">
      <c r="B516" s="188"/>
      <c r="C516" s="696" t="s">
        <v>1079</v>
      </c>
      <c r="D516" s="699"/>
      <c r="E516" s="699"/>
      <c r="F516" s="699"/>
      <c r="G516" s="699"/>
      <c r="H516" s="699"/>
      <c r="I516" s="699"/>
      <c r="J516" s="699"/>
      <c r="K516" s="699"/>
      <c r="L516" s="699"/>
    </row>
    <row r="517" spans="2:12" ht="112.5" customHeight="1" x14ac:dyDescent="0.15">
      <c r="B517" s="447"/>
      <c r="C517" s="696" t="s">
        <v>1080</v>
      </c>
      <c r="D517" s="699"/>
      <c r="E517" s="699"/>
      <c r="F517" s="699"/>
      <c r="G517" s="699"/>
      <c r="H517" s="699"/>
      <c r="I517" s="699"/>
      <c r="J517" s="699"/>
      <c r="K517" s="699"/>
      <c r="L517" s="699"/>
    </row>
    <row r="518" spans="2:12" x14ac:dyDescent="0.15">
      <c r="B518" s="447"/>
      <c r="C518" s="220"/>
      <c r="D518" s="228"/>
      <c r="E518" s="228"/>
      <c r="F518" s="228"/>
      <c r="G518" s="228"/>
      <c r="H518" s="228"/>
      <c r="I518" s="228"/>
      <c r="J518" s="228"/>
      <c r="K518" s="228"/>
      <c r="L518" s="448"/>
    </row>
    <row r="519" spans="2:12" ht="15.5" customHeight="1" x14ac:dyDescent="0.2">
      <c r="B519" s="708" t="s">
        <v>1081</v>
      </c>
      <c r="C519" s="709"/>
      <c r="D519" s="709"/>
      <c r="E519" s="709"/>
      <c r="F519" s="709"/>
      <c r="G519" s="709"/>
      <c r="H519" s="709"/>
      <c r="I519" s="709"/>
      <c r="J519" s="709"/>
      <c r="K519" s="709"/>
      <c r="L519" s="710"/>
    </row>
    <row r="521" spans="2:12" ht="15.5" customHeight="1" x14ac:dyDescent="0.2">
      <c r="B521" s="229" t="s">
        <v>1082</v>
      </c>
      <c r="C521" s="230" t="s">
        <v>1083</v>
      </c>
      <c r="D521" s="499"/>
      <c r="E521" s="499"/>
      <c r="F521" s="499"/>
      <c r="G521" s="499"/>
      <c r="H521" s="499"/>
      <c r="I521" s="499"/>
      <c r="J521" s="499"/>
      <c r="K521" s="499"/>
      <c r="L521" s="500"/>
    </row>
    <row r="522" spans="2:12" ht="13.75" customHeight="1" thickBot="1" x14ac:dyDescent="0.2">
      <c r="B522" s="448"/>
      <c r="C522" s="448"/>
      <c r="D522" s="448"/>
      <c r="E522" s="448"/>
      <c r="F522" s="448"/>
      <c r="G522" s="448"/>
      <c r="H522" s="448"/>
      <c r="I522" s="448"/>
      <c r="J522" s="448"/>
      <c r="K522" s="448"/>
      <c r="L522" s="448"/>
    </row>
    <row r="523" spans="2:12" ht="27" customHeight="1" thickBot="1" x14ac:dyDescent="0.2">
      <c r="B523" s="448"/>
      <c r="C523" s="279" t="s">
        <v>1084</v>
      </c>
      <c r="D523" s="223" t="s">
        <v>1085</v>
      </c>
      <c r="E523" s="280" t="s">
        <v>709</v>
      </c>
      <c r="F523" s="180"/>
      <c r="G523" s="448"/>
      <c r="H523" s="180"/>
      <c r="I523" s="448"/>
      <c r="J523" s="448"/>
      <c r="K523" s="448"/>
      <c r="L523" s="448"/>
    </row>
    <row r="524" spans="2:12" ht="16" customHeight="1" x14ac:dyDescent="0.15">
      <c r="B524" s="448"/>
      <c r="C524" s="572" t="s">
        <v>1086</v>
      </c>
      <c r="D524" s="590" t="s">
        <v>1087</v>
      </c>
      <c r="E524" s="591">
        <v>1</v>
      </c>
      <c r="F524" s="180"/>
      <c r="G524" s="180"/>
      <c r="H524" s="448"/>
      <c r="I524" s="448"/>
      <c r="J524" s="448"/>
      <c r="K524" s="448"/>
      <c r="L524" s="448"/>
    </row>
    <row r="525" spans="2:12" ht="16" customHeight="1" x14ac:dyDescent="0.15">
      <c r="B525" s="448"/>
      <c r="C525" s="477" t="s">
        <v>1088</v>
      </c>
      <c r="D525" s="592" t="s">
        <v>710</v>
      </c>
      <c r="E525" s="593">
        <v>28</v>
      </c>
      <c r="F525" s="448"/>
      <c r="G525" s="448"/>
      <c r="H525" s="448"/>
      <c r="I525" s="448"/>
      <c r="J525" s="448"/>
      <c r="K525" s="448"/>
      <c r="L525" s="448"/>
    </row>
    <row r="526" spans="2:12" ht="16" customHeight="1" x14ac:dyDescent="0.15">
      <c r="B526" s="448"/>
      <c r="C526" s="477" t="s">
        <v>1089</v>
      </c>
      <c r="D526" s="592" t="s">
        <v>711</v>
      </c>
      <c r="E526" s="593">
        <v>265</v>
      </c>
      <c r="F526" s="448"/>
      <c r="G526" s="448"/>
      <c r="H526" s="448"/>
      <c r="I526" s="448"/>
      <c r="J526" s="448"/>
      <c r="K526" s="448"/>
      <c r="L526" s="448"/>
    </row>
    <row r="527" spans="2:12" ht="16" customHeight="1" x14ac:dyDescent="0.15">
      <c r="B527" s="448"/>
      <c r="C527" s="477" t="s">
        <v>1090</v>
      </c>
      <c r="D527" s="592" t="s">
        <v>1091</v>
      </c>
      <c r="E527" s="593">
        <v>12400</v>
      </c>
      <c r="F527" s="448"/>
      <c r="G527" s="448"/>
      <c r="H527" s="448"/>
      <c r="I527" s="448"/>
      <c r="J527" s="448"/>
      <c r="K527" s="448"/>
      <c r="L527" s="448"/>
    </row>
    <row r="528" spans="2:12" ht="16" customHeight="1" x14ac:dyDescent="0.15">
      <c r="B528" s="448"/>
      <c r="C528" s="477" t="s">
        <v>1092</v>
      </c>
      <c r="D528" s="592" t="s">
        <v>1093</v>
      </c>
      <c r="E528" s="593">
        <v>677</v>
      </c>
      <c r="F528" s="448"/>
      <c r="G528" s="448"/>
      <c r="H528" s="448"/>
      <c r="I528" s="448"/>
      <c r="J528" s="448"/>
      <c r="K528" s="448"/>
      <c r="L528" s="448"/>
    </row>
    <row r="529" spans="2:14" ht="16" customHeight="1" x14ac:dyDescent="0.15">
      <c r="B529" s="448"/>
      <c r="C529" s="477" t="s">
        <v>1094</v>
      </c>
      <c r="D529" s="592" t="s">
        <v>1095</v>
      </c>
      <c r="E529" s="593">
        <v>116</v>
      </c>
      <c r="F529" s="448"/>
      <c r="G529" s="448"/>
      <c r="H529" s="448"/>
      <c r="I529" s="448"/>
      <c r="J529" s="448"/>
      <c r="K529" s="448"/>
      <c r="L529" s="448"/>
      <c r="M529" s="448"/>
      <c r="N529" s="448"/>
    </row>
    <row r="530" spans="2:14" ht="16" customHeight="1" x14ac:dyDescent="0.15">
      <c r="B530" s="448"/>
      <c r="C530" s="477" t="s">
        <v>1096</v>
      </c>
      <c r="D530" s="592" t="s">
        <v>1097</v>
      </c>
      <c r="E530" s="593">
        <v>3170</v>
      </c>
      <c r="F530" s="448"/>
      <c r="G530" s="448"/>
      <c r="H530" s="698"/>
      <c r="I530" s="699"/>
      <c r="J530" s="699"/>
      <c r="K530" s="699"/>
      <c r="L530" s="699"/>
      <c r="M530" s="699"/>
      <c r="N530" s="699"/>
    </row>
    <row r="531" spans="2:14" ht="16" customHeight="1" x14ac:dyDescent="0.15">
      <c r="B531" s="448"/>
      <c r="C531" s="477" t="s">
        <v>1098</v>
      </c>
      <c r="D531" s="592" t="s">
        <v>1099</v>
      </c>
      <c r="E531" s="593">
        <v>1120</v>
      </c>
      <c r="F531" s="448"/>
      <c r="G531" s="448"/>
      <c r="H531" s="698"/>
      <c r="I531" s="699"/>
      <c r="J531" s="699"/>
      <c r="K531" s="699"/>
      <c r="L531" s="699"/>
      <c r="M531" s="699"/>
      <c r="N531" s="699"/>
    </row>
    <row r="532" spans="2:14" ht="16" customHeight="1" x14ac:dyDescent="0.15">
      <c r="B532" s="448"/>
      <c r="C532" s="477" t="s">
        <v>655</v>
      </c>
      <c r="D532" s="592" t="s">
        <v>1100</v>
      </c>
      <c r="E532" s="593">
        <v>1300</v>
      </c>
      <c r="F532" s="448"/>
      <c r="G532" s="448"/>
      <c r="H532" s="448"/>
      <c r="I532" s="448"/>
      <c r="J532" s="448"/>
      <c r="K532" s="448"/>
      <c r="L532" s="448"/>
      <c r="M532" s="448"/>
      <c r="N532" s="448"/>
    </row>
    <row r="533" spans="2:14" ht="16" customHeight="1" x14ac:dyDescent="0.15">
      <c r="B533" s="448"/>
      <c r="C533" s="477" t="s">
        <v>1101</v>
      </c>
      <c r="D533" s="592" t="s">
        <v>1102</v>
      </c>
      <c r="E533" s="593">
        <v>328</v>
      </c>
      <c r="F533" s="448"/>
      <c r="G533" s="448"/>
      <c r="H533" s="448"/>
      <c r="I533" s="448"/>
      <c r="J533" s="448"/>
      <c r="K533" s="448"/>
      <c r="L533" s="448"/>
      <c r="M533" s="448"/>
      <c r="N533" s="448"/>
    </row>
    <row r="534" spans="2:14" ht="16" customHeight="1" x14ac:dyDescent="0.15">
      <c r="B534" s="448"/>
      <c r="C534" s="477" t="s">
        <v>1103</v>
      </c>
      <c r="D534" s="592" t="s">
        <v>1104</v>
      </c>
      <c r="E534" s="593">
        <v>4800</v>
      </c>
      <c r="F534" s="448"/>
      <c r="G534" s="448"/>
      <c r="H534" s="448"/>
      <c r="I534" s="448"/>
      <c r="J534" s="448"/>
      <c r="K534" s="448"/>
      <c r="L534" s="448"/>
      <c r="M534" s="448"/>
      <c r="N534" s="448"/>
    </row>
    <row r="535" spans="2:14" ht="16" customHeight="1" x14ac:dyDescent="0.15">
      <c r="B535" s="448"/>
      <c r="C535" s="477" t="s">
        <v>1105</v>
      </c>
      <c r="D535" s="592" t="s">
        <v>1106</v>
      </c>
      <c r="E535" s="593">
        <v>16</v>
      </c>
      <c r="F535" s="448"/>
      <c r="G535" s="448"/>
      <c r="H535" s="448"/>
      <c r="I535" s="448"/>
      <c r="J535" s="448"/>
      <c r="K535" s="448"/>
      <c r="L535" s="448"/>
      <c r="M535" s="448"/>
      <c r="N535" s="448"/>
    </row>
    <row r="536" spans="2:14" ht="16" customHeight="1" x14ac:dyDescent="0.15">
      <c r="B536" s="448"/>
      <c r="C536" s="477" t="s">
        <v>1107</v>
      </c>
      <c r="D536" s="592" t="s">
        <v>1108</v>
      </c>
      <c r="E536" s="593">
        <v>138</v>
      </c>
      <c r="F536" s="448"/>
      <c r="G536" s="448"/>
      <c r="H536" s="448"/>
      <c r="I536" s="448"/>
      <c r="J536" s="448"/>
      <c r="K536" s="448"/>
      <c r="L536" s="448"/>
      <c r="M536" s="448"/>
      <c r="N536" s="448"/>
    </row>
    <row r="537" spans="2:14" ht="16" customHeight="1" x14ac:dyDescent="0.15">
      <c r="B537" s="448"/>
      <c r="C537" s="477" t="s">
        <v>1109</v>
      </c>
      <c r="D537" s="592" t="s">
        <v>1110</v>
      </c>
      <c r="E537" s="593">
        <v>4</v>
      </c>
      <c r="F537" s="448"/>
      <c r="G537" s="448"/>
      <c r="H537" s="448"/>
      <c r="I537" s="448"/>
      <c r="J537" s="448"/>
      <c r="K537" s="448"/>
      <c r="L537" s="448"/>
      <c r="M537" s="448"/>
      <c r="N537" s="448"/>
    </row>
    <row r="538" spans="2:14" ht="16" customHeight="1" x14ac:dyDescent="0.15">
      <c r="B538" s="448"/>
      <c r="C538" s="477" t="s">
        <v>1111</v>
      </c>
      <c r="D538" s="592" t="s">
        <v>1112</v>
      </c>
      <c r="E538" s="593">
        <v>3350</v>
      </c>
      <c r="F538" s="448"/>
      <c r="G538" s="448"/>
      <c r="H538" s="698"/>
      <c r="I538" s="699"/>
      <c r="J538" s="699"/>
      <c r="K538" s="699"/>
      <c r="L538" s="699"/>
      <c r="M538" s="699"/>
      <c r="N538" s="699"/>
    </row>
    <row r="539" spans="2:14" ht="16" customHeight="1" x14ac:dyDescent="0.15">
      <c r="B539" s="448"/>
      <c r="C539" s="477" t="s">
        <v>1113</v>
      </c>
      <c r="D539" s="592" t="s">
        <v>1114</v>
      </c>
      <c r="E539" s="593">
        <v>1210</v>
      </c>
      <c r="F539" s="448"/>
      <c r="G539" s="448"/>
      <c r="H539" s="698"/>
      <c r="I539" s="699"/>
      <c r="J539" s="699"/>
      <c r="K539" s="699"/>
      <c r="L539" s="699"/>
      <c r="M539" s="699"/>
      <c r="N539" s="699"/>
    </row>
    <row r="540" spans="2:14" ht="16" customHeight="1" x14ac:dyDescent="0.15">
      <c r="B540" s="448"/>
      <c r="C540" s="477" t="s">
        <v>1115</v>
      </c>
      <c r="D540" s="592" t="s">
        <v>1116</v>
      </c>
      <c r="E540" s="593">
        <v>1330</v>
      </c>
      <c r="F540" s="448"/>
      <c r="G540" s="448"/>
      <c r="H540" s="448"/>
      <c r="I540" s="448"/>
      <c r="J540" s="448"/>
      <c r="K540" s="448"/>
      <c r="L540" s="448"/>
      <c r="M540" s="448"/>
      <c r="N540" s="448"/>
    </row>
    <row r="541" spans="2:14" ht="16" customHeight="1" x14ac:dyDescent="0.15">
      <c r="B541" s="448"/>
      <c r="C541" s="477" t="s">
        <v>1117</v>
      </c>
      <c r="D541" s="592" t="s">
        <v>1118</v>
      </c>
      <c r="E541" s="593">
        <v>8060</v>
      </c>
      <c r="F541" s="448"/>
      <c r="G541" s="448"/>
      <c r="H541" s="448"/>
      <c r="I541" s="448"/>
      <c r="J541" s="448"/>
      <c r="K541" s="448"/>
      <c r="L541" s="448"/>
      <c r="M541" s="448"/>
      <c r="N541" s="448"/>
    </row>
    <row r="542" spans="2:14" ht="16" customHeight="1" x14ac:dyDescent="0.15">
      <c r="B542" s="448"/>
      <c r="C542" s="477" t="s">
        <v>1119</v>
      </c>
      <c r="D542" s="592" t="s">
        <v>1120</v>
      </c>
      <c r="E542" s="593">
        <v>716</v>
      </c>
      <c r="F542" s="448"/>
      <c r="G542" s="448"/>
      <c r="H542" s="448"/>
      <c r="I542" s="448"/>
      <c r="J542" s="448"/>
      <c r="K542" s="448"/>
      <c r="L542" s="448"/>
      <c r="M542" s="448"/>
      <c r="N542" s="448"/>
    </row>
    <row r="543" spans="2:14" ht="16" customHeight="1" x14ac:dyDescent="0.15">
      <c r="B543" s="448"/>
      <c r="C543" s="477" t="s">
        <v>1121</v>
      </c>
      <c r="D543" s="592" t="s">
        <v>1122</v>
      </c>
      <c r="E543" s="593">
        <v>858</v>
      </c>
      <c r="F543" s="448"/>
      <c r="G543" s="448"/>
      <c r="H543" s="448"/>
      <c r="I543" s="448"/>
      <c r="J543" s="448"/>
      <c r="K543" s="448"/>
      <c r="L543" s="448"/>
      <c r="M543" s="448"/>
      <c r="N543" s="448"/>
    </row>
    <row r="544" spans="2:14" ht="16" customHeight="1" x14ac:dyDescent="0.15">
      <c r="B544" s="448"/>
      <c r="C544" s="477" t="s">
        <v>1123</v>
      </c>
      <c r="D544" s="592" t="s">
        <v>1124</v>
      </c>
      <c r="E544" s="593">
        <v>804</v>
      </c>
      <c r="F544" s="448"/>
      <c r="G544" s="448"/>
      <c r="H544" s="448"/>
      <c r="I544" s="448"/>
      <c r="J544" s="448"/>
      <c r="K544" s="448"/>
      <c r="L544" s="448"/>
      <c r="M544" s="448"/>
      <c r="N544" s="448"/>
    </row>
    <row r="545" spans="2:15" ht="16" customHeight="1" x14ac:dyDescent="0.15">
      <c r="B545" s="448"/>
      <c r="C545" s="477" t="s">
        <v>1125</v>
      </c>
      <c r="D545" s="592" t="s">
        <v>1126</v>
      </c>
      <c r="E545" s="593">
        <v>1650</v>
      </c>
      <c r="F545" s="448"/>
      <c r="G545" s="448"/>
      <c r="H545" s="448"/>
      <c r="I545" s="448"/>
      <c r="J545" s="448"/>
      <c r="K545" s="448"/>
      <c r="L545" s="448"/>
      <c r="M545" s="448"/>
      <c r="N545" s="448"/>
      <c r="O545" s="448"/>
    </row>
    <row r="546" spans="2:15" ht="16" customHeight="1" x14ac:dyDescent="0.15">
      <c r="B546" s="448"/>
      <c r="C546" s="477" t="s">
        <v>1127</v>
      </c>
      <c r="D546" s="592" t="s">
        <v>1128</v>
      </c>
      <c r="E546" s="593">
        <v>23500</v>
      </c>
      <c r="F546" s="448"/>
      <c r="G546" s="448"/>
      <c r="H546" s="448"/>
      <c r="I546" s="448"/>
      <c r="J546" s="448"/>
      <c r="K546" s="448"/>
      <c r="L546" s="448"/>
      <c r="M546" s="448"/>
      <c r="N546" s="448"/>
      <c r="O546" s="448"/>
    </row>
    <row r="547" spans="2:15" ht="16" customHeight="1" x14ac:dyDescent="0.15">
      <c r="B547" s="448"/>
      <c r="C547" s="477" t="s">
        <v>1129</v>
      </c>
      <c r="D547" s="592" t="s">
        <v>1130</v>
      </c>
      <c r="E547" s="593">
        <v>16100</v>
      </c>
      <c r="F547" s="448"/>
      <c r="G547" s="448"/>
      <c r="H547" s="448"/>
      <c r="I547" s="448"/>
      <c r="J547" s="448"/>
      <c r="K547" s="448"/>
      <c r="L547" s="448"/>
      <c r="M547" s="448"/>
      <c r="N547" s="448"/>
      <c r="O547" s="448"/>
    </row>
    <row r="548" spans="2:15" ht="16" customHeight="1" x14ac:dyDescent="0.15">
      <c r="B548" s="448"/>
      <c r="C548" s="477" t="s">
        <v>1131</v>
      </c>
      <c r="D548" s="592" t="s">
        <v>1132</v>
      </c>
      <c r="E548" s="593">
        <v>6630</v>
      </c>
      <c r="F548" s="180"/>
      <c r="G548" s="448"/>
      <c r="H548" s="448"/>
      <c r="I548" s="448"/>
      <c r="J548" s="448"/>
      <c r="K548" s="448"/>
      <c r="L548" s="448"/>
      <c r="M548" s="448"/>
      <c r="N548" s="448"/>
      <c r="O548" s="448"/>
    </row>
    <row r="549" spans="2:15" ht="16" customHeight="1" x14ac:dyDescent="0.15">
      <c r="B549" s="448"/>
      <c r="C549" s="477" t="s">
        <v>1133</v>
      </c>
      <c r="D549" s="592" t="s">
        <v>1134</v>
      </c>
      <c r="E549" s="593">
        <v>11100</v>
      </c>
      <c r="F549" s="448"/>
      <c r="G549" s="448"/>
      <c r="H549" s="448"/>
      <c r="I549" s="448"/>
      <c r="J549" s="448"/>
      <c r="K549" s="448"/>
      <c r="L549" s="448"/>
      <c r="M549" s="448"/>
      <c r="N549" s="448"/>
      <c r="O549" s="448"/>
    </row>
    <row r="550" spans="2:15" ht="16" customHeight="1" x14ac:dyDescent="0.15">
      <c r="B550" s="448"/>
      <c r="C550" s="477" t="s">
        <v>1135</v>
      </c>
      <c r="D550" s="592" t="s">
        <v>1136</v>
      </c>
      <c r="E550" s="593">
        <v>8900</v>
      </c>
      <c r="F550" s="448"/>
      <c r="G550" s="448"/>
      <c r="H550" s="448"/>
      <c r="I550" s="448"/>
      <c r="J550" s="448"/>
      <c r="K550" s="448"/>
      <c r="L550" s="448"/>
      <c r="M550" s="448"/>
      <c r="N550" s="448"/>
      <c r="O550" s="448"/>
    </row>
    <row r="551" spans="2:15" ht="16" customHeight="1" x14ac:dyDescent="0.15">
      <c r="B551" s="448"/>
      <c r="C551" s="477" t="s">
        <v>1137</v>
      </c>
      <c r="D551" s="592" t="s">
        <v>1138</v>
      </c>
      <c r="E551" s="593">
        <v>9540</v>
      </c>
      <c r="F551" s="448"/>
      <c r="G551" s="448"/>
      <c r="H551" s="448"/>
      <c r="I551" s="448"/>
      <c r="J551" s="448"/>
      <c r="K551" s="448"/>
      <c r="L551" s="448"/>
      <c r="M551" s="448"/>
      <c r="N551" s="448"/>
      <c r="O551" s="448"/>
    </row>
    <row r="552" spans="2:15" ht="16" customHeight="1" x14ac:dyDescent="0.15">
      <c r="B552" s="448"/>
      <c r="C552" s="477" t="s">
        <v>1139</v>
      </c>
      <c r="D552" s="592" t="s">
        <v>1140</v>
      </c>
      <c r="E552" s="593">
        <v>9200</v>
      </c>
      <c r="F552" s="448"/>
      <c r="G552" s="448"/>
      <c r="H552" s="448"/>
      <c r="I552" s="448"/>
      <c r="J552" s="448"/>
      <c r="K552" s="448"/>
      <c r="L552" s="448"/>
      <c r="M552" s="448"/>
      <c r="N552" s="448"/>
      <c r="O552" s="448"/>
    </row>
    <row r="553" spans="2:15" ht="16" customHeight="1" x14ac:dyDescent="0.15">
      <c r="B553" s="448"/>
      <c r="C553" s="477" t="s">
        <v>1141</v>
      </c>
      <c r="D553" s="592" t="s">
        <v>1142</v>
      </c>
      <c r="E553" s="593">
        <v>8550</v>
      </c>
      <c r="F553" s="448"/>
      <c r="G553" s="448"/>
      <c r="H553" s="448"/>
      <c r="I553" s="448"/>
      <c r="J553" s="448"/>
      <c r="K553" s="448"/>
      <c r="L553" s="448"/>
      <c r="M553" s="448"/>
      <c r="N553" s="448"/>
      <c r="O553" s="187"/>
    </row>
    <row r="554" spans="2:15" ht="16" customHeight="1" x14ac:dyDescent="0.15">
      <c r="B554" s="448"/>
      <c r="C554" s="477" t="s">
        <v>1143</v>
      </c>
      <c r="D554" s="592" t="s">
        <v>1144</v>
      </c>
      <c r="E554" s="593">
        <v>7910</v>
      </c>
      <c r="F554" s="448"/>
      <c r="G554" s="448"/>
      <c r="H554" s="448"/>
      <c r="I554" s="448"/>
      <c r="J554" s="448"/>
      <c r="K554" s="448"/>
      <c r="L554" s="448"/>
      <c r="M554" s="448"/>
      <c r="N554" s="448"/>
      <c r="O554" s="448"/>
    </row>
    <row r="555" spans="2:15" ht="16" customHeight="1" thickBot="1" x14ac:dyDescent="0.2">
      <c r="B555" s="448"/>
      <c r="C555" s="496" t="s">
        <v>1145</v>
      </c>
      <c r="D555" s="594" t="s">
        <v>1146</v>
      </c>
      <c r="E555" s="595">
        <v>7190</v>
      </c>
      <c r="F555" s="448"/>
      <c r="G555" s="448"/>
      <c r="H555" s="448"/>
      <c r="I555" s="448"/>
      <c r="J555" s="448"/>
      <c r="K555" s="448"/>
      <c r="L555" s="448"/>
      <c r="M555" s="448"/>
      <c r="N555" s="448"/>
      <c r="O555" s="187"/>
    </row>
    <row r="556" spans="2:15" ht="48.5" customHeight="1" x14ac:dyDescent="0.15">
      <c r="B556" s="448"/>
      <c r="C556" s="696" t="s">
        <v>1147</v>
      </c>
      <c r="D556" s="699"/>
      <c r="E556" s="699"/>
      <c r="F556" s="699"/>
      <c r="G556" s="699"/>
      <c r="H556" s="699"/>
      <c r="I556" s="699"/>
      <c r="J556" s="699"/>
      <c r="K556" s="699"/>
      <c r="L556" s="699"/>
      <c r="M556" s="448"/>
      <c r="N556" s="448"/>
      <c r="O556" s="448"/>
    </row>
    <row r="557" spans="2:15" x14ac:dyDescent="0.15">
      <c r="B557" s="448"/>
      <c r="C557" s="448"/>
      <c r="D557" s="448"/>
      <c r="E557" s="448"/>
      <c r="F557" s="448"/>
      <c r="G557" s="448"/>
      <c r="H557" s="448"/>
      <c r="I557" s="448"/>
      <c r="J557" s="448"/>
      <c r="K557" s="448"/>
      <c r="L557" s="448"/>
      <c r="M557" s="448"/>
      <c r="N557" s="448"/>
      <c r="O557" s="448"/>
    </row>
    <row r="558" spans="2:15" ht="15.5" customHeight="1" x14ac:dyDescent="0.2">
      <c r="B558" s="229" t="s">
        <v>1148</v>
      </c>
      <c r="C558" s="230" t="s">
        <v>1149</v>
      </c>
      <c r="D558" s="499"/>
      <c r="E558" s="499"/>
      <c r="F558" s="499"/>
      <c r="G558" s="499"/>
      <c r="H558" s="499"/>
      <c r="I558" s="499"/>
      <c r="J558" s="499"/>
      <c r="K558" s="499"/>
      <c r="L558" s="500"/>
      <c r="M558" s="448"/>
      <c r="N558" s="448"/>
      <c r="O558" s="448"/>
    </row>
    <row r="559" spans="2:15" ht="16.25" customHeight="1" thickBot="1" x14ac:dyDescent="0.25">
      <c r="B559" s="265"/>
      <c r="C559" s="281"/>
      <c r="D559" s="448"/>
      <c r="E559" s="448"/>
      <c r="F559" s="448"/>
      <c r="G559" s="448"/>
      <c r="H559" s="448"/>
      <c r="I559" s="180"/>
      <c r="J559" s="448"/>
      <c r="K559" s="448"/>
      <c r="L559" s="448"/>
      <c r="M559" s="448"/>
      <c r="N559" s="448"/>
      <c r="O559" s="448"/>
    </row>
    <row r="560" spans="2:15" ht="13.75" customHeight="1" thickBot="1" x14ac:dyDescent="0.2">
      <c r="B560" s="448"/>
      <c r="C560" s="282" t="s">
        <v>1150</v>
      </c>
      <c r="D560" s="283" t="s">
        <v>1151</v>
      </c>
      <c r="E560" s="284" t="s">
        <v>1152</v>
      </c>
      <c r="F560" s="285"/>
      <c r="G560" s="285"/>
      <c r="H560" s="286"/>
      <c r="I560" s="180"/>
      <c r="J560" s="448"/>
      <c r="K560" s="448"/>
      <c r="L560" s="448"/>
      <c r="M560" s="448"/>
      <c r="N560" s="448"/>
      <c r="O560" s="448"/>
    </row>
    <row r="561" spans="2:9" x14ac:dyDescent="0.15">
      <c r="B561" s="448"/>
      <c r="C561" s="549" t="s">
        <v>1153</v>
      </c>
      <c r="D561" s="596">
        <v>18</v>
      </c>
      <c r="E561" s="597" t="s">
        <v>1154</v>
      </c>
      <c r="F561" s="598"/>
      <c r="G561" s="598"/>
      <c r="H561" s="599"/>
      <c r="I561" s="382"/>
    </row>
    <row r="562" spans="2:9" x14ac:dyDescent="0.15">
      <c r="B562" s="448"/>
      <c r="C562" s="459" t="s">
        <v>1155</v>
      </c>
      <c r="D562" s="600">
        <v>15</v>
      </c>
      <c r="E562" s="601" t="s">
        <v>1156</v>
      </c>
      <c r="F562" s="602"/>
      <c r="G562" s="602"/>
      <c r="H562" s="603"/>
      <c r="I562" s="604"/>
    </row>
    <row r="563" spans="2:9" x14ac:dyDescent="0.15">
      <c r="B563" s="448"/>
      <c r="C563" s="459" t="s">
        <v>1157</v>
      </c>
      <c r="D563" s="600">
        <v>21</v>
      </c>
      <c r="E563" s="601" t="s">
        <v>1158</v>
      </c>
      <c r="F563" s="602"/>
      <c r="G563" s="602"/>
      <c r="H563" s="603"/>
      <c r="I563" s="604"/>
    </row>
    <row r="564" spans="2:9" x14ac:dyDescent="0.15">
      <c r="B564" s="448"/>
      <c r="C564" s="459" t="s">
        <v>1159</v>
      </c>
      <c r="D564" s="600">
        <v>1902</v>
      </c>
      <c r="E564" s="601" t="s">
        <v>1160</v>
      </c>
      <c r="F564" s="602"/>
      <c r="G564" s="602"/>
      <c r="H564" s="603"/>
      <c r="I564" s="604"/>
    </row>
    <row r="565" spans="2:9" x14ac:dyDescent="0.15">
      <c r="B565" s="448"/>
      <c r="C565" s="459" t="s">
        <v>1161</v>
      </c>
      <c r="D565" s="600">
        <v>1205</v>
      </c>
      <c r="E565" s="601" t="s">
        <v>1162</v>
      </c>
      <c r="F565" s="602"/>
      <c r="G565" s="602"/>
      <c r="H565" s="603"/>
      <c r="I565" s="604"/>
    </row>
    <row r="566" spans="2:9" x14ac:dyDescent="0.15">
      <c r="B566" s="448"/>
      <c r="C566" s="459" t="s">
        <v>1163</v>
      </c>
      <c r="D566" s="600">
        <v>3471</v>
      </c>
      <c r="E566" s="601" t="s">
        <v>1164</v>
      </c>
      <c r="F566" s="602"/>
      <c r="G566" s="602"/>
      <c r="H566" s="603"/>
      <c r="I566" s="604"/>
    </row>
    <row r="567" spans="2:9" x14ac:dyDescent="0.15">
      <c r="B567" s="448"/>
      <c r="C567" s="459" t="s">
        <v>1165</v>
      </c>
      <c r="D567" s="600">
        <v>3943</v>
      </c>
      <c r="E567" s="601" t="s">
        <v>1166</v>
      </c>
      <c r="F567" s="602"/>
      <c r="G567" s="602"/>
      <c r="H567" s="603"/>
      <c r="I567" s="604"/>
    </row>
    <row r="568" spans="2:9" x14ac:dyDescent="0.15">
      <c r="B568" s="448"/>
      <c r="C568" s="459" t="s">
        <v>1167</v>
      </c>
      <c r="D568" s="600">
        <v>0</v>
      </c>
      <c r="E568" s="601" t="s">
        <v>1168</v>
      </c>
      <c r="F568" s="602"/>
      <c r="G568" s="602"/>
      <c r="H568" s="603"/>
      <c r="I568" s="604"/>
    </row>
    <row r="569" spans="2:9" x14ac:dyDescent="0.15">
      <c r="B569" s="448"/>
      <c r="C569" s="459" t="s">
        <v>1169</v>
      </c>
      <c r="D569" s="600">
        <v>1923</v>
      </c>
      <c r="E569" s="601" t="s">
        <v>1170</v>
      </c>
      <c r="F569" s="602"/>
      <c r="G569" s="602"/>
      <c r="H569" s="603"/>
      <c r="I569" s="604"/>
    </row>
    <row r="570" spans="2:9" x14ac:dyDescent="0.15">
      <c r="B570" s="448"/>
      <c r="C570" s="459" t="s">
        <v>1171</v>
      </c>
      <c r="D570" s="600">
        <v>2547</v>
      </c>
      <c r="E570" s="601" t="s">
        <v>1172</v>
      </c>
      <c r="F570" s="602"/>
      <c r="G570" s="602"/>
      <c r="H570" s="603"/>
      <c r="I570" s="604"/>
    </row>
    <row r="571" spans="2:9" x14ac:dyDescent="0.15">
      <c r="B571" s="448"/>
      <c r="C571" s="459" t="s">
        <v>1173</v>
      </c>
      <c r="D571" s="600">
        <v>1624</v>
      </c>
      <c r="E571" s="601" t="s">
        <v>1174</v>
      </c>
      <c r="F571" s="602"/>
      <c r="G571" s="602"/>
      <c r="H571" s="603"/>
      <c r="I571" s="604"/>
    </row>
    <row r="572" spans="2:9" x14ac:dyDescent="0.15">
      <c r="B572" s="448"/>
      <c r="C572" s="459" t="s">
        <v>1175</v>
      </c>
      <c r="D572" s="600">
        <v>1487</v>
      </c>
      <c r="E572" s="601" t="s">
        <v>1176</v>
      </c>
      <c r="F572" s="602"/>
      <c r="G572" s="602"/>
      <c r="H572" s="603"/>
      <c r="I572" s="604"/>
    </row>
    <row r="573" spans="2:9" x14ac:dyDescent="0.15">
      <c r="B573" s="448"/>
      <c r="C573" s="459" t="s">
        <v>1177</v>
      </c>
      <c r="D573" s="600">
        <v>2430</v>
      </c>
      <c r="E573" s="601" t="s">
        <v>1178</v>
      </c>
      <c r="F573" s="602"/>
      <c r="G573" s="602"/>
      <c r="H573" s="603"/>
      <c r="I573" s="604"/>
    </row>
    <row r="574" spans="2:9" x14ac:dyDescent="0.15">
      <c r="B574" s="448"/>
      <c r="C574" s="459" t="s">
        <v>1179</v>
      </c>
      <c r="D574" s="600">
        <v>0</v>
      </c>
      <c r="E574" s="601" t="s">
        <v>1180</v>
      </c>
      <c r="F574" s="602"/>
      <c r="G574" s="602"/>
      <c r="H574" s="603"/>
      <c r="I574" s="604"/>
    </row>
    <row r="575" spans="2:9" x14ac:dyDescent="0.15">
      <c r="B575" s="448"/>
      <c r="C575" s="459" t="s">
        <v>1181</v>
      </c>
      <c r="D575" s="600">
        <v>1924</v>
      </c>
      <c r="E575" s="601" t="s">
        <v>1182</v>
      </c>
      <c r="F575" s="602"/>
      <c r="G575" s="602"/>
      <c r="H575" s="603"/>
      <c r="I575" s="604"/>
    </row>
    <row r="576" spans="2:9" x14ac:dyDescent="0.15">
      <c r="B576" s="448"/>
      <c r="C576" s="459" t="s">
        <v>1183</v>
      </c>
      <c r="D576" s="600">
        <v>2048</v>
      </c>
      <c r="E576" s="601" t="s">
        <v>1184</v>
      </c>
      <c r="F576" s="602"/>
      <c r="G576" s="602"/>
      <c r="H576" s="603"/>
      <c r="I576" s="604"/>
    </row>
    <row r="577" spans="2:13" x14ac:dyDescent="0.15">
      <c r="B577" s="448"/>
      <c r="C577" s="459" t="s">
        <v>1185</v>
      </c>
      <c r="D577" s="600">
        <v>15</v>
      </c>
      <c r="E577" s="601" t="s">
        <v>1186</v>
      </c>
      <c r="F577" s="602"/>
      <c r="G577" s="602"/>
      <c r="H577" s="603"/>
      <c r="I577" s="604"/>
      <c r="J577" s="448"/>
      <c r="K577" s="448"/>
      <c r="L577" s="448"/>
      <c r="M577" s="448"/>
    </row>
    <row r="578" spans="2:13" x14ac:dyDescent="0.15">
      <c r="B578" s="448"/>
      <c r="C578" s="459" t="s">
        <v>1187</v>
      </c>
      <c r="D578" s="600">
        <v>4</v>
      </c>
      <c r="E578" s="601" t="s">
        <v>1188</v>
      </c>
      <c r="F578" s="602"/>
      <c r="G578" s="602"/>
      <c r="H578" s="603"/>
      <c r="I578" s="604"/>
      <c r="J578" s="448"/>
      <c r="K578" s="448"/>
      <c r="L578" s="448"/>
      <c r="M578" s="448"/>
    </row>
    <row r="579" spans="2:13" x14ac:dyDescent="0.15">
      <c r="B579" s="448"/>
      <c r="C579" s="459" t="s">
        <v>1189</v>
      </c>
      <c r="D579" s="600">
        <v>0</v>
      </c>
      <c r="E579" s="601" t="s">
        <v>1190</v>
      </c>
      <c r="F579" s="602"/>
      <c r="G579" s="602"/>
      <c r="H579" s="603"/>
      <c r="I579" s="604"/>
      <c r="J579" s="448"/>
      <c r="K579" s="448"/>
      <c r="L579" s="448"/>
      <c r="M579" s="448"/>
    </row>
    <row r="580" spans="2:13" x14ac:dyDescent="0.15">
      <c r="B580" s="448"/>
      <c r="C580" s="459" t="s">
        <v>1191</v>
      </c>
      <c r="D580" s="600">
        <v>0</v>
      </c>
      <c r="E580" s="601" t="s">
        <v>1192</v>
      </c>
      <c r="F580" s="602"/>
      <c r="G580" s="602"/>
      <c r="H580" s="603"/>
      <c r="I580" s="604"/>
      <c r="J580" s="448"/>
      <c r="K580" s="448"/>
      <c r="L580" s="448"/>
      <c r="M580" s="448"/>
    </row>
    <row r="581" spans="2:13" x14ac:dyDescent="0.15">
      <c r="B581" s="448"/>
      <c r="C581" s="459" t="s">
        <v>1193</v>
      </c>
      <c r="D581" s="600">
        <v>2127</v>
      </c>
      <c r="E581" s="601" t="s">
        <v>1194</v>
      </c>
      <c r="F581" s="602"/>
      <c r="G581" s="602"/>
      <c r="H581" s="603"/>
      <c r="I581" s="604"/>
      <c r="J581" s="448"/>
      <c r="K581" s="448"/>
      <c r="L581" s="448"/>
      <c r="M581" s="448"/>
    </row>
    <row r="582" spans="2:13" x14ac:dyDescent="0.15">
      <c r="B582" s="448"/>
      <c r="C582" s="459" t="s">
        <v>1195</v>
      </c>
      <c r="D582" s="600">
        <v>2847</v>
      </c>
      <c r="E582" s="601" t="s">
        <v>1196</v>
      </c>
      <c r="F582" s="602"/>
      <c r="G582" s="602"/>
      <c r="H582" s="603"/>
      <c r="I582" s="604"/>
      <c r="J582" s="448"/>
      <c r="K582" s="448"/>
      <c r="L582" s="448"/>
      <c r="M582" s="448"/>
    </row>
    <row r="583" spans="2:13" x14ac:dyDescent="0.15">
      <c r="B583" s="448"/>
      <c r="C583" s="459" t="s">
        <v>1197</v>
      </c>
      <c r="D583" s="600">
        <v>2473</v>
      </c>
      <c r="E583" s="601" t="s">
        <v>1198</v>
      </c>
      <c r="F583" s="602"/>
      <c r="G583" s="602"/>
      <c r="H583" s="603"/>
      <c r="I583" s="604"/>
      <c r="J583" s="448"/>
      <c r="K583" s="448"/>
      <c r="L583" s="448"/>
      <c r="M583" s="448"/>
    </row>
    <row r="584" spans="2:13" x14ac:dyDescent="0.15">
      <c r="B584" s="448"/>
      <c r="C584" s="459" t="s">
        <v>1199</v>
      </c>
      <c r="D584" s="600">
        <v>3104</v>
      </c>
      <c r="E584" s="601" t="s">
        <v>1200</v>
      </c>
      <c r="F584" s="602"/>
      <c r="G584" s="602"/>
      <c r="H584" s="603"/>
      <c r="I584" s="604"/>
      <c r="J584" s="448"/>
      <c r="K584" s="448"/>
      <c r="L584" s="448"/>
      <c r="M584" s="448"/>
    </row>
    <row r="585" spans="2:13" x14ac:dyDescent="0.15">
      <c r="B585" s="448"/>
      <c r="C585" s="459" t="s">
        <v>1201</v>
      </c>
      <c r="D585" s="600">
        <v>1371</v>
      </c>
      <c r="E585" s="601" t="s">
        <v>1202</v>
      </c>
      <c r="F585" s="602"/>
      <c r="G585" s="602"/>
      <c r="H585" s="603"/>
      <c r="I585" s="604"/>
      <c r="J585" s="448"/>
      <c r="K585" s="448"/>
      <c r="L585" s="448"/>
      <c r="M585" s="448"/>
    </row>
    <row r="586" spans="2:13" x14ac:dyDescent="0.15">
      <c r="B586" s="448"/>
      <c r="C586" s="459" t="s">
        <v>1203</v>
      </c>
      <c r="D586" s="600">
        <v>3417</v>
      </c>
      <c r="E586" s="601" t="s">
        <v>1204</v>
      </c>
      <c r="F586" s="602"/>
      <c r="G586" s="602"/>
      <c r="H586" s="603"/>
      <c r="I586" s="604"/>
      <c r="J586" s="448"/>
      <c r="K586" s="448"/>
      <c r="L586" s="448"/>
      <c r="M586" s="448"/>
    </row>
    <row r="587" spans="2:13" x14ac:dyDescent="0.15">
      <c r="B587" s="448"/>
      <c r="C587" s="459" t="s">
        <v>1205</v>
      </c>
      <c r="D587" s="600">
        <v>3075</v>
      </c>
      <c r="E587" s="601" t="s">
        <v>1206</v>
      </c>
      <c r="F587" s="602"/>
      <c r="G587" s="602"/>
      <c r="H587" s="603"/>
      <c r="I587" s="604"/>
      <c r="J587" s="448"/>
      <c r="K587" s="448"/>
      <c r="L587" s="448"/>
      <c r="M587" s="448"/>
    </row>
    <row r="588" spans="2:13" x14ac:dyDescent="0.15">
      <c r="B588" s="448"/>
      <c r="C588" s="605" t="s">
        <v>1207</v>
      </c>
      <c r="D588" s="600">
        <v>3985</v>
      </c>
      <c r="E588" s="601" t="s">
        <v>1208</v>
      </c>
      <c r="F588" s="602"/>
      <c r="G588" s="602"/>
      <c r="H588" s="603"/>
      <c r="I588" s="604"/>
      <c r="J588" s="448"/>
      <c r="K588" s="448"/>
      <c r="L588" s="448"/>
      <c r="M588" s="448"/>
    </row>
    <row r="589" spans="2:13" x14ac:dyDescent="0.15">
      <c r="B589" s="448"/>
      <c r="C589" s="459" t="s">
        <v>1209</v>
      </c>
      <c r="D589" s="600">
        <v>11607</v>
      </c>
      <c r="E589" s="601" t="s">
        <v>1210</v>
      </c>
      <c r="F589" s="602"/>
      <c r="G589" s="602"/>
      <c r="H589" s="603"/>
      <c r="I589" s="604"/>
      <c r="J589" s="448"/>
      <c r="K589" s="448"/>
      <c r="L589" s="448"/>
      <c r="M589" s="448"/>
    </row>
    <row r="590" spans="2:13" ht="13.75" customHeight="1" thickBot="1" x14ac:dyDescent="0.2">
      <c r="B590" s="448"/>
      <c r="C590" s="485" t="s">
        <v>1211</v>
      </c>
      <c r="D590" s="606">
        <v>11698</v>
      </c>
      <c r="E590" s="607" t="s">
        <v>1212</v>
      </c>
      <c r="F590" s="608"/>
      <c r="G590" s="608"/>
      <c r="H590" s="609"/>
      <c r="I590" s="604"/>
      <c r="J590" s="448"/>
      <c r="K590" s="448"/>
      <c r="L590" s="448"/>
      <c r="M590" s="448"/>
    </row>
    <row r="591" spans="2:13" s="189" customFormat="1" ht="41.25" customHeight="1" x14ac:dyDescent="0.15">
      <c r="B591" s="481"/>
      <c r="C591" s="696" t="s">
        <v>1213</v>
      </c>
      <c r="D591" s="697"/>
      <c r="E591" s="697"/>
      <c r="F591" s="697"/>
      <c r="G591" s="697"/>
      <c r="H591" s="697"/>
      <c r="I591" s="697"/>
      <c r="J591" s="697"/>
      <c r="K591" s="697"/>
      <c r="L591" s="697"/>
      <c r="M591" s="471"/>
    </row>
    <row r="593" spans="2:2" ht="14.5" customHeight="1" x14ac:dyDescent="0.2">
      <c r="B593" s="168" t="s">
        <v>1214</v>
      </c>
    </row>
  </sheetData>
  <mergeCells count="56">
    <mergeCell ref="C517:L517"/>
    <mergeCell ref="C429:L429"/>
    <mergeCell ref="C118:K118"/>
    <mergeCell ref="B416:L416"/>
    <mergeCell ref="C420:L420"/>
    <mergeCell ref="C369:J369"/>
    <mergeCell ref="C498:L498"/>
    <mergeCell ref="C309:C312"/>
    <mergeCell ref="C249:C251"/>
    <mergeCell ref="C239:C241"/>
    <mergeCell ref="C332:H332"/>
    <mergeCell ref="C290:C293"/>
    <mergeCell ref="C502:K502"/>
    <mergeCell ref="C295:C296"/>
    <mergeCell ref="C323:C325"/>
    <mergeCell ref="C497:L497"/>
    <mergeCell ref="C117:K117"/>
    <mergeCell ref="C93:K93"/>
    <mergeCell ref="C430:L430"/>
    <mergeCell ref="D434:I434"/>
    <mergeCell ref="C10:G10"/>
    <mergeCell ref="C244:L244"/>
    <mergeCell ref="H336:J336"/>
    <mergeCell ref="C255:C256"/>
    <mergeCell ref="B2:L2"/>
    <mergeCell ref="C285:L285"/>
    <mergeCell ref="C499:L499"/>
    <mergeCell ref="C91:K91"/>
    <mergeCell ref="D252:D254"/>
    <mergeCell ref="C433:K433"/>
    <mergeCell ref="C5:L5"/>
    <mergeCell ref="C316:C319"/>
    <mergeCell ref="D255:D256"/>
    <mergeCell ref="C313:C315"/>
    <mergeCell ref="D249:D251"/>
    <mergeCell ref="C297:C302"/>
    <mergeCell ref="C115:K115"/>
    <mergeCell ref="C277:C282"/>
    <mergeCell ref="C262:C266"/>
    <mergeCell ref="C320:C322"/>
    <mergeCell ref="C591:L591"/>
    <mergeCell ref="H530:N530"/>
    <mergeCell ref="C370:J370"/>
    <mergeCell ref="C516:L516"/>
    <mergeCell ref="C252:C254"/>
    <mergeCell ref="C303:C308"/>
    <mergeCell ref="C326:C329"/>
    <mergeCell ref="C267:C270"/>
    <mergeCell ref="H539:N539"/>
    <mergeCell ref="B415:L415"/>
    <mergeCell ref="C257:C261"/>
    <mergeCell ref="H538:N538"/>
    <mergeCell ref="C556:L556"/>
    <mergeCell ref="C271:C276"/>
    <mergeCell ref="H531:N531"/>
    <mergeCell ref="B519:L519"/>
  </mergeCells>
  <hyperlinks>
    <hyperlink ref="C92" r:id="rId1" xr:uid="{00000000-0004-0000-0900-000000000000}"/>
    <hyperlink ref="C116" r:id="rId2" xr:uid="{00000000-0004-0000-0900-000001000000}"/>
    <hyperlink ref="C243" r:id="rId3" xr:uid="{00000000-0004-0000-0900-000002000000}"/>
    <hyperlink ref="C284" r:id="rId4" xr:uid="{00000000-0004-0000-0900-000003000000}"/>
    <hyperlink ref="C331" r:id="rId5" xr:uid="{00000000-0004-0000-0900-000004000000}"/>
    <hyperlink ref="C368" r:id="rId6" xr:uid="{00000000-0004-0000-0900-000005000000}"/>
    <hyperlink ref="C374" r:id="rId7" xr:uid="{00000000-0004-0000-0900-000006000000}"/>
    <hyperlink ref="C498" r:id="rId8" display="U.S. Environmental Protection Agency, Office of Resource Conservation and Recovery (December 2023) Documentation for Greenhouse Gas Emission and Energy Factors used in the Waste Reduction Model (WARM). Factors from tables provided in the Management Practices Chapters and Background Chapters. " xr:uid="{00000000-0004-0000-0900-000007000000}"/>
    <hyperlink ref="B593" r:id="rId9" display="https://www.epa.gov/climateleadership/ghg-emission-factors-hub" xr:uid="{00000000-0004-0000-0900-000008000000}"/>
  </hyperlinks>
  <pageMargins left="0.7" right="0.7" top="0.75" bottom="0.75" header="0.3" footer="0.3"/>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
  <sheetViews>
    <sheetView showGridLines="0" workbookViewId="0">
      <pane xSplit="1" ySplit="4" topLeftCell="B5" activePane="bottomRight" state="frozen"/>
      <selection pane="topRight"/>
      <selection pane="bottomLeft"/>
      <selection pane="bottomRight" activeCell="F22" sqref="F22"/>
    </sheetView>
  </sheetViews>
  <sheetFormatPr baseColWidth="10" defaultColWidth="8.83203125" defaultRowHeight="15" x14ac:dyDescent="0.2"/>
  <cols>
    <col min="1" max="1" width="1.5" customWidth="1"/>
    <col min="2" max="2" width="22" customWidth="1"/>
    <col min="3" max="4" width="16" customWidth="1"/>
    <col min="5" max="7" width="14" customWidth="1"/>
    <col min="8" max="8" width="16" customWidth="1"/>
    <col min="9" max="9" width="16.1640625" bestFit="1" customWidth="1"/>
    <col min="10" max="10" width="1.5" customWidth="1"/>
  </cols>
  <sheetData>
    <row r="1" spans="1:11" ht="8" customHeight="1" x14ac:dyDescent="0.2">
      <c r="A1" s="298"/>
      <c r="B1" s="298"/>
      <c r="C1" s="298"/>
      <c r="D1" s="298"/>
      <c r="E1" s="298"/>
      <c r="F1" s="298"/>
      <c r="G1" s="298"/>
      <c r="H1" s="298"/>
      <c r="I1" s="298"/>
      <c r="J1" s="298"/>
      <c r="K1" s="298"/>
    </row>
    <row r="2" spans="1:11" ht="48" customHeight="1" x14ac:dyDescent="0.2">
      <c r="A2" s="298"/>
      <c r="B2" s="690" t="s">
        <v>1215</v>
      </c>
      <c r="C2" s="644"/>
      <c r="D2" s="644"/>
      <c r="E2" s="644"/>
      <c r="F2" s="644"/>
      <c r="G2" s="644"/>
      <c r="H2" s="644"/>
      <c r="I2" s="644"/>
      <c r="J2" s="298"/>
      <c r="K2" s="298"/>
    </row>
    <row r="3" spans="1:11" ht="20" customHeight="1" x14ac:dyDescent="0.2">
      <c r="A3" s="298"/>
      <c r="B3" s="687" t="s">
        <v>1216</v>
      </c>
      <c r="C3" s="644"/>
      <c r="D3" s="644"/>
      <c r="E3" s="644"/>
      <c r="F3" s="644"/>
      <c r="G3" s="644"/>
      <c r="H3" s="644"/>
      <c r="I3" s="644"/>
      <c r="J3" s="298"/>
      <c r="K3" s="298"/>
    </row>
    <row r="4" spans="1:11" ht="14" customHeight="1" x14ac:dyDescent="0.2">
      <c r="A4" s="298"/>
      <c r="B4" s="298"/>
      <c r="C4" s="298"/>
      <c r="D4" s="298"/>
      <c r="E4" s="298"/>
      <c r="F4" s="298"/>
      <c r="G4" s="298"/>
      <c r="H4" s="298"/>
      <c r="I4" s="298"/>
      <c r="J4" s="298"/>
      <c r="K4" s="298"/>
    </row>
    <row r="5" spans="1:11" ht="14" customHeight="1" x14ac:dyDescent="0.2">
      <c r="A5" s="298"/>
      <c r="B5" s="298"/>
      <c r="C5" s="298"/>
      <c r="D5" s="298"/>
      <c r="E5" s="298"/>
      <c r="F5" s="298"/>
      <c r="G5" s="298"/>
      <c r="H5" s="298"/>
      <c r="I5" s="298"/>
      <c r="J5" s="298"/>
      <c r="K5" s="298"/>
    </row>
    <row r="6" spans="1:11" ht="20" customHeight="1" x14ac:dyDescent="0.2">
      <c r="A6" s="298"/>
      <c r="B6" s="747" t="s">
        <v>1217</v>
      </c>
      <c r="C6" s="736"/>
      <c r="D6" s="745" t="s">
        <v>1218</v>
      </c>
      <c r="E6" s="736"/>
      <c r="F6" s="749" t="s">
        <v>1219</v>
      </c>
      <c r="G6" s="736"/>
      <c r="H6" s="746" t="s">
        <v>1220</v>
      </c>
      <c r="I6" s="736"/>
      <c r="J6" s="298"/>
      <c r="K6" s="298"/>
    </row>
    <row r="7" spans="1:11" ht="30" customHeight="1" x14ac:dyDescent="0.2">
      <c r="A7" s="298"/>
      <c r="B7" s="748" t="e">
        <f>#REF!</f>
        <v>#REF!</v>
      </c>
      <c r="C7" s="736"/>
      <c r="D7" s="738">
        <f>'Scope 2 W'!I59</f>
        <v>0</v>
      </c>
      <c r="E7" s="736"/>
      <c r="F7" s="751">
        <f>'Scope 3 W'!J70</f>
        <v>0</v>
      </c>
      <c r="G7" s="736"/>
      <c r="H7" s="739">
        <f>'Summary &amp; Intensity'!D54</f>
        <v>24199224.300625846</v>
      </c>
      <c r="I7" s="736"/>
      <c r="J7" s="298"/>
      <c r="K7" s="298"/>
    </row>
    <row r="8" spans="1:11" ht="18" customHeight="1" x14ac:dyDescent="0.2">
      <c r="A8" s="298"/>
      <c r="B8" s="735" t="s">
        <v>421</v>
      </c>
      <c r="C8" s="736"/>
      <c r="D8" s="743" t="s">
        <v>421</v>
      </c>
      <c r="E8" s="736"/>
      <c r="F8" s="737" t="s">
        <v>421</v>
      </c>
      <c r="G8" s="736"/>
      <c r="H8" s="744" t="s">
        <v>421</v>
      </c>
      <c r="I8" s="736"/>
      <c r="J8" s="298"/>
      <c r="K8" s="298"/>
    </row>
    <row r="9" spans="1:11" ht="18" customHeight="1" x14ac:dyDescent="0.2">
      <c r="A9" s="298"/>
      <c r="B9" s="740" t="s">
        <v>1221</v>
      </c>
      <c r="C9" s="736"/>
      <c r="D9" s="741" t="s">
        <v>1222</v>
      </c>
      <c r="E9" s="736"/>
      <c r="F9" s="742" t="s">
        <v>1223</v>
      </c>
      <c r="G9" s="736"/>
      <c r="H9" s="750" t="s">
        <v>1224</v>
      </c>
      <c r="I9" s="736"/>
      <c r="J9" s="298"/>
      <c r="K9" s="298"/>
    </row>
    <row r="10" spans="1:11" ht="14" customHeight="1" x14ac:dyDescent="0.2">
      <c r="A10" s="298"/>
      <c r="B10" s="298"/>
      <c r="C10" s="298"/>
      <c r="D10" s="298"/>
      <c r="E10" s="298"/>
      <c r="F10" s="298"/>
      <c r="G10" s="298"/>
      <c r="H10" s="298"/>
      <c r="I10" s="298"/>
      <c r="J10" s="298"/>
      <c r="K10" s="298"/>
    </row>
    <row r="11" spans="1:11" ht="24" customHeight="1" x14ac:dyDescent="0.2">
      <c r="A11" s="298"/>
      <c r="B11" s="685" t="s">
        <v>1225</v>
      </c>
      <c r="C11" s="644"/>
      <c r="D11" s="644"/>
      <c r="E11" s="644"/>
      <c r="F11" s="644"/>
      <c r="G11" s="644"/>
      <c r="H11" s="644"/>
      <c r="I11" s="644"/>
      <c r="J11" s="298"/>
      <c r="K11" s="298"/>
    </row>
    <row r="12" spans="1:11" ht="20" customHeight="1" x14ac:dyDescent="0.2">
      <c r="A12" s="298"/>
      <c r="B12" s="299" t="s">
        <v>516</v>
      </c>
      <c r="C12" s="299" t="s">
        <v>496</v>
      </c>
      <c r="D12" s="299" t="s">
        <v>421</v>
      </c>
      <c r="E12" s="299" t="s">
        <v>1226</v>
      </c>
      <c r="F12" s="299" t="s">
        <v>1227</v>
      </c>
      <c r="G12" s="299" t="s">
        <v>1228</v>
      </c>
      <c r="H12" s="299" t="s">
        <v>520</v>
      </c>
      <c r="I12" s="299" t="s">
        <v>1229</v>
      </c>
      <c r="J12" s="298"/>
      <c r="K12" s="298"/>
    </row>
    <row r="13" spans="1:11" ht="20" customHeight="1" x14ac:dyDescent="0.2">
      <c r="A13" s="298"/>
      <c r="B13" s="300" t="s">
        <v>9</v>
      </c>
      <c r="C13" s="301" t="s">
        <v>1230</v>
      </c>
      <c r="D13" s="302">
        <f>'Summary &amp; Intensity'!D38</f>
        <v>21851880.073791221</v>
      </c>
      <c r="E13" s="303">
        <f>IFERROR(D13/'Summary &amp; Intensity'!D54,0)</f>
        <v>0.90299919544223084</v>
      </c>
      <c r="F13" s="304" t="s">
        <v>1231</v>
      </c>
      <c r="G13" s="305">
        <f>'Scope 2 W'!H58</f>
        <v>0</v>
      </c>
      <c r="H13" s="304" t="e">
        <f>#REF!</f>
        <v>#REF!</v>
      </c>
      <c r="I13" s="306" t="s">
        <v>1232</v>
      </c>
      <c r="J13" s="298"/>
      <c r="K13" s="298"/>
    </row>
    <row r="14" spans="1:11" ht="20" customHeight="1" x14ac:dyDescent="0.2">
      <c r="A14" s="298"/>
      <c r="B14" s="307" t="s">
        <v>11</v>
      </c>
      <c r="C14" s="308" t="s">
        <v>1233</v>
      </c>
      <c r="D14" s="309">
        <f>'Summary &amp; Intensity'!D39</f>
        <v>1267091.226834625</v>
      </c>
      <c r="E14" s="310">
        <f>IFERROR(D14/'Summary &amp; Intensity'!D54,0)</f>
        <v>5.2360819962392564E-2</v>
      </c>
      <c r="F14" s="311">
        <f>'Scope 2 W'!H58</f>
        <v>0</v>
      </c>
      <c r="G14" s="311">
        <f>'Scope 2 W'!I59</f>
        <v>0</v>
      </c>
      <c r="H14" s="312" t="e">
        <f>#REF!</f>
        <v>#REF!</v>
      </c>
      <c r="I14" s="313" t="s">
        <v>1232</v>
      </c>
      <c r="J14" s="298"/>
      <c r="K14" s="298"/>
    </row>
    <row r="15" spans="1:11" ht="20" customHeight="1" x14ac:dyDescent="0.2">
      <c r="A15" s="298"/>
      <c r="B15" s="314" t="s">
        <v>13</v>
      </c>
      <c r="C15" s="301" t="s">
        <v>1234</v>
      </c>
      <c r="D15" s="302">
        <f>'Summary &amp; Intensity'!D41</f>
        <v>9653</v>
      </c>
      <c r="E15" s="303">
        <f>IFERROR(D15/'Summary &amp; Intensity'!D54,0)</f>
        <v>3.9889708364537752E-4</v>
      </c>
      <c r="F15" s="304" t="s">
        <v>1231</v>
      </c>
      <c r="G15" s="304" t="s">
        <v>1231</v>
      </c>
      <c r="H15" s="304" t="e">
        <f>#REF!</f>
        <v>#REF!</v>
      </c>
      <c r="I15" s="306" t="s">
        <v>1232</v>
      </c>
      <c r="J15" s="298"/>
      <c r="K15" s="298"/>
    </row>
    <row r="16" spans="1:11" ht="20" customHeight="1" x14ac:dyDescent="0.2">
      <c r="A16" s="298"/>
      <c r="B16" s="315" t="s">
        <v>1235</v>
      </c>
      <c r="C16" s="316" t="s">
        <v>1236</v>
      </c>
      <c r="D16" s="317">
        <f>'Summary &amp; Intensity'!D54</f>
        <v>24199224.300625846</v>
      </c>
      <c r="E16" s="318">
        <f>IFERROR(D16/'Summary &amp; Intensity'!D54,0)</f>
        <v>1</v>
      </c>
      <c r="F16" s="319" t="s">
        <v>1231</v>
      </c>
      <c r="G16" s="319" t="s">
        <v>1231</v>
      </c>
      <c r="H16" s="319" t="s">
        <v>1231</v>
      </c>
      <c r="I16" s="320" t="s">
        <v>1237</v>
      </c>
      <c r="J16" s="298"/>
      <c r="K16" s="298"/>
    </row>
    <row r="17" spans="1:11" ht="10" customHeight="1" x14ac:dyDescent="0.2">
      <c r="A17" s="298"/>
      <c r="B17" s="298"/>
      <c r="C17" s="298"/>
      <c r="D17" s="298"/>
      <c r="E17" s="298"/>
      <c r="F17" s="298"/>
      <c r="G17" s="298"/>
      <c r="H17" s="298"/>
      <c r="I17" s="298"/>
      <c r="J17" s="298"/>
      <c r="K17" s="298"/>
    </row>
    <row r="18" spans="1:11" ht="24" customHeight="1" x14ac:dyDescent="0.2">
      <c r="A18" s="298"/>
      <c r="B18" s="685" t="s">
        <v>1238</v>
      </c>
      <c r="C18" s="644"/>
      <c r="D18" s="644"/>
      <c r="E18" s="644"/>
      <c r="F18" s="644"/>
      <c r="G18" s="644"/>
      <c r="H18" s="644"/>
      <c r="I18" s="644"/>
      <c r="J18" s="298"/>
      <c r="K18" s="298"/>
    </row>
    <row r="19" spans="1:11" ht="20" customHeight="1" x14ac:dyDescent="0.2">
      <c r="A19" s="298"/>
      <c r="B19" s="299" t="s">
        <v>520</v>
      </c>
      <c r="C19" s="299" t="s">
        <v>592</v>
      </c>
      <c r="D19" s="299" t="s">
        <v>593</v>
      </c>
      <c r="E19" s="299" t="s">
        <v>1239</v>
      </c>
      <c r="F19" s="299" t="s">
        <v>1240</v>
      </c>
      <c r="G19" s="299" t="s">
        <v>1241</v>
      </c>
      <c r="H19" s="299" t="s">
        <v>1242</v>
      </c>
      <c r="I19" s="299" t="s">
        <v>1243</v>
      </c>
      <c r="J19" s="298"/>
      <c r="K19" s="298"/>
    </row>
    <row r="20" spans="1:11" ht="20" customHeight="1" x14ac:dyDescent="0.2">
      <c r="A20" s="298"/>
      <c r="B20" s="321" t="str">
        <f>'Trend Analysis'!A18</f>
        <v xml:space="preserve">Socpe 1 and 2 - 27.5% Reduction </v>
      </c>
      <c r="C20" s="322">
        <f>'Trend Analysis'!B18</f>
        <v>2030</v>
      </c>
      <c r="D20" s="322">
        <f>'Trend Analysis'!C18</f>
        <v>2019</v>
      </c>
      <c r="E20" s="323">
        <f>'Trend Analysis'!D18</f>
        <v>11242356</v>
      </c>
      <c r="F20" s="303">
        <f>'Trend Analysis'!E18</f>
        <v>0.27500000000000002</v>
      </c>
      <c r="G20" s="323">
        <f>'Trend Analysis'!F18</f>
        <v>8150708.0999999996</v>
      </c>
      <c r="H20" s="323">
        <f>'Trend Analysis'!G18</f>
        <v>281058.90000000002</v>
      </c>
      <c r="I20" s="304" t="str">
        <f>'Trend Analysis'!H18</f>
        <v>Target scope 1+2</v>
      </c>
      <c r="J20" s="298"/>
      <c r="K20" s="298"/>
    </row>
    <row r="21" spans="1:11" ht="20" customHeight="1" x14ac:dyDescent="0.2">
      <c r="A21" s="298"/>
      <c r="B21" s="324" t="e">
        <f>'Trend Analysis'!#REF!</f>
        <v>#REF!</v>
      </c>
      <c r="C21" s="325" t="e">
        <f>'Trend Analysis'!#REF!</f>
        <v>#REF!</v>
      </c>
      <c r="D21" s="325" t="e">
        <f>'Trend Analysis'!#REF!</f>
        <v>#REF!</v>
      </c>
      <c r="E21" s="326" t="e">
        <f>'Trend Analysis'!#REF!</f>
        <v>#REF!</v>
      </c>
      <c r="F21" s="310" t="e">
        <f>'Trend Analysis'!#REF!</f>
        <v>#REF!</v>
      </c>
      <c r="G21" s="326" t="e">
        <f>'Trend Analysis'!#REF!</f>
        <v>#REF!</v>
      </c>
      <c r="H21" s="326" t="e">
        <f>'Trend Analysis'!#REF!</f>
        <v>#REF!</v>
      </c>
      <c r="I21" s="312" t="e">
        <f>'Trend Analysis'!#REF!</f>
        <v>#REF!</v>
      </c>
      <c r="J21" s="298"/>
      <c r="K21" s="298"/>
    </row>
    <row r="22" spans="1:11" ht="20" customHeight="1" x14ac:dyDescent="0.2">
      <c r="A22" s="298"/>
      <c r="B22" s="314" t="str">
        <f>'Trend Analysis'!A19</f>
        <v>Scope 3 Reduction Target</v>
      </c>
      <c r="C22" s="322">
        <f>'Trend Analysis'!B19</f>
        <v>2030</v>
      </c>
      <c r="D22" s="322">
        <f>'Trend Analysis'!C19</f>
        <v>2019</v>
      </c>
      <c r="E22" s="323">
        <f>'Trend Analysis'!D19</f>
        <v>11399031</v>
      </c>
      <c r="F22" s="303">
        <f>'Trend Analysis'!E19</f>
        <v>0.27500000000000002</v>
      </c>
      <c r="G22" s="323">
        <f>'Trend Analysis'!F19</f>
        <v>8264297.4749999996</v>
      </c>
      <c r="H22" s="323">
        <f>'Trend Analysis'!G19</f>
        <v>284975.77500000002</v>
      </c>
      <c r="I22" s="304" t="str">
        <f>'Trend Analysis'!H19</f>
        <v>Target scope 3</v>
      </c>
      <c r="J22" s="298"/>
      <c r="K22" s="298"/>
    </row>
    <row r="23" spans="1:11" ht="10" customHeight="1" x14ac:dyDescent="0.2">
      <c r="A23" s="298"/>
      <c r="B23" s="298"/>
      <c r="C23" s="298"/>
      <c r="D23" s="298"/>
      <c r="E23" s="298"/>
      <c r="F23" s="298"/>
      <c r="G23" s="298"/>
      <c r="H23" s="298"/>
      <c r="I23" s="298"/>
      <c r="J23" s="298"/>
      <c r="K23" s="298"/>
    </row>
    <row r="24" spans="1:11" ht="24" customHeight="1" x14ac:dyDescent="0.2">
      <c r="A24" s="298"/>
      <c r="B24" s="685" t="s">
        <v>1244</v>
      </c>
      <c r="C24" s="644"/>
      <c r="D24" s="644"/>
      <c r="E24" s="644"/>
      <c r="F24" s="644"/>
      <c r="G24" s="644"/>
      <c r="H24" s="644"/>
      <c r="I24" s="644"/>
      <c r="J24" s="298"/>
      <c r="K24" s="298"/>
    </row>
    <row r="25" spans="1:11" ht="20" customHeight="1" x14ac:dyDescent="0.2">
      <c r="A25" s="298"/>
      <c r="B25" s="299" t="s">
        <v>573</v>
      </c>
      <c r="C25" s="299" t="s">
        <v>536</v>
      </c>
      <c r="D25" s="299" t="s">
        <v>1245</v>
      </c>
      <c r="E25" s="299" t="s">
        <v>1246</v>
      </c>
      <c r="F25" s="299" t="s">
        <v>539</v>
      </c>
      <c r="G25" s="299" t="s">
        <v>1247</v>
      </c>
      <c r="H25" s="299" t="s">
        <v>1248</v>
      </c>
      <c r="I25" s="299" t="s">
        <v>133</v>
      </c>
      <c r="J25" s="298"/>
      <c r="K25" s="298"/>
    </row>
    <row r="26" spans="1:11" ht="20" customHeight="1" x14ac:dyDescent="0.2">
      <c r="A26" s="298"/>
      <c r="B26" s="327" t="s">
        <v>542</v>
      </c>
      <c r="C26" s="301" t="s">
        <v>545</v>
      </c>
      <c r="D26" s="302" t="str">
        <f>'Summary &amp; Intensity'!D60</f>
        <v>Current Year
(tCO₂e / unit)</v>
      </c>
      <c r="E26" s="305" t="str">
        <f>'Summary &amp; Intensity'!E60</f>
        <v>Prior Year
(tCO₂e / unit)</v>
      </c>
      <c r="F26" s="328" t="str">
        <f>'Summary &amp; Intensity'!F60</f>
        <v>Change (%)</v>
      </c>
      <c r="G26" s="304" t="str">
        <f>'Summary &amp; Intensity'!G60</f>
        <v>Industry
Benchmark</v>
      </c>
      <c r="H26" s="329" t="str">
        <f>'Summary &amp; Intensity'!H60</f>
        <v>vs. Benchmark</v>
      </c>
      <c r="I26" s="304" t="s">
        <v>1249</v>
      </c>
      <c r="J26" s="298"/>
      <c r="K26" s="298"/>
    </row>
    <row r="27" spans="1:11" ht="20" customHeight="1" x14ac:dyDescent="0.2">
      <c r="A27" s="298"/>
      <c r="B27" s="330" t="s">
        <v>546</v>
      </c>
      <c r="C27" s="308" t="s">
        <v>1250</v>
      </c>
      <c r="D27" s="309">
        <f>'Summary &amp; Intensity'!D61</f>
        <v>0</v>
      </c>
      <c r="E27" s="311">
        <f>'Summary &amp; Intensity'!E61</f>
        <v>0</v>
      </c>
      <c r="F27" s="331">
        <f>'Summary &amp; Intensity'!F61</f>
        <v>0</v>
      </c>
      <c r="G27" s="312" t="str">
        <f>'Summary &amp; Intensity'!G61</f>
        <v>[Industry benchmark]</v>
      </c>
      <c r="H27" s="332">
        <f>'Summary &amp; Intensity'!H61</f>
        <v>0</v>
      </c>
      <c r="I27" s="312" t="s">
        <v>1251</v>
      </c>
      <c r="J27" s="298"/>
      <c r="K27" s="298"/>
    </row>
    <row r="28" spans="1:11" ht="20" customHeight="1" x14ac:dyDescent="0.2">
      <c r="A28" s="298"/>
      <c r="B28" s="327" t="s">
        <v>558</v>
      </c>
      <c r="C28" s="301" t="s">
        <v>1252</v>
      </c>
      <c r="D28" s="302" t="e">
        <f>'Summary &amp; Intensity'!D67</f>
        <v>#DIV/0!</v>
      </c>
      <c r="E28" s="305">
        <f>'Summary &amp; Intensity'!E67</f>
        <v>0.98165742997254068</v>
      </c>
      <c r="F28" s="328">
        <f>'Summary &amp; Intensity'!F67</f>
        <v>0</v>
      </c>
      <c r="G28" s="304" t="str">
        <f>'Summary &amp; Intensity'!G67</f>
        <v>[Industry benchmark]</v>
      </c>
      <c r="H28" s="329">
        <f>'Summary &amp; Intensity'!H67</f>
        <v>0</v>
      </c>
      <c r="I28" s="304" t="s">
        <v>560</v>
      </c>
      <c r="J28" s="298"/>
      <c r="K28" s="298"/>
    </row>
    <row r="29" spans="1:11" ht="20" customHeight="1" x14ac:dyDescent="0.2">
      <c r="A29" s="298"/>
      <c r="B29" s="330" t="s">
        <v>1253</v>
      </c>
      <c r="C29" s="308" t="s">
        <v>1254</v>
      </c>
      <c r="D29" s="309">
        <f>'Summary &amp; Intensity'!D64</f>
        <v>0</v>
      </c>
      <c r="E29" s="311">
        <f>'Summary &amp; Intensity'!E64</f>
        <v>0</v>
      </c>
      <c r="F29" s="331">
        <f>'Summary &amp; Intensity'!F64</f>
        <v>0</v>
      </c>
      <c r="G29" s="312" t="str">
        <f>'Summary &amp; Intensity'!G64</f>
        <v>[Industry benchmark]</v>
      </c>
      <c r="H29" s="332">
        <f>'Summary &amp; Intensity'!H64</f>
        <v>0</v>
      </c>
      <c r="I29" s="312" t="s">
        <v>1249</v>
      </c>
      <c r="J29" s="298"/>
      <c r="K29" s="298"/>
    </row>
    <row r="30" spans="1:11" ht="20" customHeight="1" x14ac:dyDescent="0.2">
      <c r="A30" s="298"/>
      <c r="B30" s="327" t="s">
        <v>1255</v>
      </c>
      <c r="C30" s="301" t="s">
        <v>1256</v>
      </c>
      <c r="D30" s="302">
        <f>'Summary &amp; Intensity'!D65</f>
        <v>0</v>
      </c>
      <c r="E30" s="305">
        <f>'Summary &amp; Intensity'!E65</f>
        <v>0</v>
      </c>
      <c r="F30" s="328">
        <f>'Summary &amp; Intensity'!F65</f>
        <v>0</v>
      </c>
      <c r="G30" s="304" t="str">
        <f>'Summary &amp; Intensity'!G65</f>
        <v>[Industry benchmark]</v>
      </c>
      <c r="H30" s="329">
        <f>'Summary &amp; Intensity'!H65</f>
        <v>0</v>
      </c>
      <c r="I30" s="304" t="s">
        <v>1249</v>
      </c>
      <c r="J30" s="298"/>
      <c r="K30" s="298"/>
    </row>
    <row r="31" spans="1:11" ht="20" customHeight="1" x14ac:dyDescent="0.2">
      <c r="A31" s="298"/>
      <c r="B31" s="330" t="s">
        <v>1257</v>
      </c>
      <c r="C31" s="308" t="s">
        <v>1258</v>
      </c>
      <c r="D31" s="309">
        <f>'Summary &amp; Intensity'!D66</f>
        <v>0</v>
      </c>
      <c r="E31" s="311">
        <f>'Summary &amp; Intensity'!E66</f>
        <v>0</v>
      </c>
      <c r="F31" s="331">
        <f>'Summary &amp; Intensity'!F66</f>
        <v>0</v>
      </c>
      <c r="G31" s="312" t="str">
        <f>'Summary &amp; Intensity'!G66</f>
        <v>[Industry benchmark]</v>
      </c>
      <c r="H31" s="332">
        <f>'Summary &amp; Intensity'!H66</f>
        <v>0</v>
      </c>
      <c r="I31" s="312" t="s">
        <v>1249</v>
      </c>
      <c r="J31" s="298"/>
      <c r="K31" s="298"/>
    </row>
    <row r="32" spans="1:11" ht="10" customHeight="1" x14ac:dyDescent="0.2">
      <c r="A32" s="298"/>
      <c r="B32" s="298"/>
      <c r="C32" s="298"/>
      <c r="D32" s="298"/>
      <c r="E32" s="298"/>
      <c r="F32" s="298"/>
      <c r="G32" s="298"/>
      <c r="H32" s="298"/>
      <c r="I32" s="298"/>
      <c r="J32" s="298"/>
      <c r="K32" s="298"/>
    </row>
    <row r="33" spans="1:11" ht="24" customHeight="1" x14ac:dyDescent="0.2">
      <c r="A33" s="298"/>
      <c r="B33" s="685" t="s">
        <v>1259</v>
      </c>
      <c r="C33" s="644"/>
      <c r="D33" s="644"/>
      <c r="E33" s="644"/>
      <c r="F33" s="644"/>
      <c r="G33" s="644"/>
      <c r="H33" s="644"/>
      <c r="I33" s="644"/>
      <c r="J33" s="298"/>
      <c r="K33" s="298"/>
    </row>
    <row r="34" spans="1:11" ht="20" customHeight="1" x14ac:dyDescent="0.2">
      <c r="A34" s="298"/>
      <c r="B34" s="299" t="s">
        <v>1260</v>
      </c>
      <c r="C34" s="299" t="s">
        <v>1261</v>
      </c>
      <c r="D34" s="299" t="s">
        <v>175</v>
      </c>
      <c r="E34" s="299" t="s">
        <v>1229</v>
      </c>
      <c r="F34" s="298"/>
      <c r="G34" s="298"/>
      <c r="H34" s="298"/>
      <c r="I34" s="298"/>
      <c r="J34" s="298"/>
      <c r="K34" s="298"/>
    </row>
    <row r="35" spans="1:11" ht="20" customHeight="1" x14ac:dyDescent="0.2">
      <c r="A35" s="298"/>
      <c r="B35" s="327" t="s">
        <v>74</v>
      </c>
      <c r="C35" s="333" t="str">
        <f>Assumptions!B9</f>
        <v>Westrock Company</v>
      </c>
      <c r="D35" s="301" t="str">
        <f>Assumptions!C9</f>
        <v>Used in all sheet headers</v>
      </c>
      <c r="E35" s="304" t="s">
        <v>1231</v>
      </c>
      <c r="F35" s="298"/>
      <c r="G35" s="298"/>
      <c r="H35" s="298"/>
      <c r="I35" s="298"/>
      <c r="J35" s="298"/>
      <c r="K35" s="298"/>
    </row>
    <row r="36" spans="1:11" ht="20" customHeight="1" x14ac:dyDescent="0.2">
      <c r="A36" s="298"/>
      <c r="B36" s="330" t="s">
        <v>77</v>
      </c>
      <c r="C36" s="334" t="str">
        <f>Assumptions!B10</f>
        <v>Pulp, Paper and Packaging</v>
      </c>
      <c r="D36" s="308" t="str">
        <f>Assumptions!C10</f>
        <v>Affects SASB materiality and EF selection</v>
      </c>
      <c r="E36" s="312" t="s">
        <v>1231</v>
      </c>
      <c r="F36" s="298"/>
      <c r="G36" s="298"/>
      <c r="H36" s="298"/>
      <c r="I36" s="298"/>
      <c r="J36" s="298"/>
      <c r="K36" s="298"/>
    </row>
    <row r="37" spans="1:11" ht="20" customHeight="1" x14ac:dyDescent="0.2">
      <c r="A37" s="298"/>
      <c r="B37" s="327" t="s">
        <v>1262</v>
      </c>
      <c r="C37" s="333" t="str">
        <f>Assumptions!B11</f>
        <v>USA</v>
      </c>
      <c r="D37" s="301" t="str">
        <f>Assumptions!C11</f>
        <v>Used to select default grid emission factor</v>
      </c>
      <c r="E37" s="304" t="s">
        <v>1231</v>
      </c>
      <c r="F37" s="298"/>
      <c r="G37" s="298"/>
      <c r="H37" s="298"/>
      <c r="I37" s="298"/>
      <c r="J37" s="298"/>
      <c r="K37" s="298"/>
    </row>
    <row r="38" spans="1:11" ht="20" customHeight="1" x14ac:dyDescent="0.2">
      <c r="A38" s="298"/>
      <c r="B38" s="330" t="s">
        <v>581</v>
      </c>
      <c r="C38" s="334">
        <f>Assumptions!B12</f>
        <v>2023</v>
      </c>
      <c r="D38" s="308" t="str">
        <f>Assumptions!C12</f>
        <v>Year of primary data being analyzed</v>
      </c>
      <c r="E38" s="312" t="s">
        <v>1231</v>
      </c>
      <c r="F38" s="298"/>
      <c r="G38" s="298"/>
      <c r="H38" s="298"/>
      <c r="I38" s="298"/>
      <c r="J38" s="298"/>
      <c r="K38" s="298"/>
    </row>
    <row r="39" spans="1:11" ht="20" customHeight="1" x14ac:dyDescent="0.2">
      <c r="A39" s="298"/>
      <c r="B39" s="327" t="s">
        <v>1263</v>
      </c>
      <c r="C39" s="333">
        <f>Assumptions!B15</f>
        <v>0</v>
      </c>
      <c r="D39" s="301" t="str">
        <f>Assumptions!C15</f>
        <v>USD Millions</v>
      </c>
      <c r="E39" s="306" t="s">
        <v>1264</v>
      </c>
      <c r="F39" s="298"/>
      <c r="G39" s="298"/>
      <c r="H39" s="298"/>
      <c r="I39" s="298"/>
      <c r="J39" s="298"/>
      <c r="K39" s="298"/>
    </row>
    <row r="40" spans="1:11" ht="20" customHeight="1" x14ac:dyDescent="0.2">
      <c r="A40" s="298"/>
      <c r="B40" s="330" t="s">
        <v>1265</v>
      </c>
      <c r="C40" s="334">
        <f>Assumptions!B16</f>
        <v>0</v>
      </c>
      <c r="D40" s="308" t="str">
        <f>Assumptions!C16</f>
        <v>Headcount</v>
      </c>
      <c r="E40" s="313" t="s">
        <v>1264</v>
      </c>
      <c r="F40" s="298"/>
      <c r="G40" s="298"/>
      <c r="H40" s="298"/>
      <c r="I40" s="298"/>
      <c r="J40" s="298"/>
      <c r="K40" s="298"/>
    </row>
    <row r="41" spans="1:11" ht="16" customHeight="1" x14ac:dyDescent="0.2">
      <c r="A41" s="298"/>
      <c r="B41" s="298"/>
      <c r="C41" s="298"/>
      <c r="D41" s="298"/>
      <c r="E41" s="298"/>
      <c r="F41" s="298"/>
      <c r="G41" s="298"/>
      <c r="H41" s="298"/>
      <c r="I41" s="298"/>
      <c r="J41" s="298"/>
      <c r="K41" s="298"/>
    </row>
    <row r="42" spans="1:11" ht="20" customHeight="1" x14ac:dyDescent="0.2">
      <c r="A42" s="298"/>
      <c r="B42" s="734" t="s">
        <v>1266</v>
      </c>
      <c r="C42" s="644"/>
      <c r="D42" s="644"/>
      <c r="E42" s="644"/>
      <c r="F42" s="644"/>
      <c r="G42" s="644"/>
      <c r="H42" s="644"/>
      <c r="I42" s="644"/>
      <c r="J42" s="298"/>
      <c r="K42" s="298"/>
    </row>
    <row r="43" spans="1:11" ht="16" customHeight="1" x14ac:dyDescent="0.2">
      <c r="A43" s="298"/>
      <c r="B43" s="298"/>
      <c r="C43" s="298"/>
      <c r="D43" s="298"/>
      <c r="E43" s="298"/>
      <c r="F43" s="298"/>
      <c r="G43" s="298"/>
      <c r="H43" s="298"/>
      <c r="I43" s="298"/>
      <c r="J43" s="298"/>
      <c r="K43" s="298"/>
    </row>
    <row r="44" spans="1:11" ht="16" customHeight="1" x14ac:dyDescent="0.2">
      <c r="A44" s="298"/>
      <c r="B44" s="298"/>
      <c r="C44" s="298"/>
      <c r="D44" s="298"/>
      <c r="E44" s="298"/>
      <c r="F44" s="298"/>
      <c r="G44" s="298"/>
      <c r="H44" s="298"/>
      <c r="I44" s="298"/>
      <c r="J44" s="298"/>
      <c r="K44" s="298"/>
    </row>
    <row r="45" spans="1:11" ht="16" customHeight="1" x14ac:dyDescent="0.2">
      <c r="A45" s="298"/>
      <c r="B45" s="298"/>
      <c r="C45" s="298"/>
      <c r="D45" s="298"/>
      <c r="E45" s="298"/>
      <c r="F45" s="298"/>
      <c r="G45" s="298"/>
      <c r="H45" s="298"/>
      <c r="I45" s="298"/>
      <c r="J45" s="298"/>
      <c r="K45" s="298"/>
    </row>
    <row r="46" spans="1:11" ht="16" customHeight="1" x14ac:dyDescent="0.2">
      <c r="A46" s="298"/>
      <c r="B46" s="298"/>
      <c r="C46" s="298"/>
      <c r="D46" s="298"/>
      <c r="E46" s="298"/>
      <c r="F46" s="298"/>
      <c r="G46" s="298"/>
      <c r="H46" s="298"/>
      <c r="I46" s="298"/>
      <c r="J46" s="298"/>
      <c r="K46" s="298"/>
    </row>
    <row r="47" spans="1:11" ht="16" customHeight="1" x14ac:dyDescent="0.2">
      <c r="A47" s="298"/>
      <c r="B47" s="298"/>
      <c r="C47" s="298"/>
      <c r="D47" s="298"/>
      <c r="E47" s="298"/>
      <c r="F47" s="298"/>
      <c r="G47" s="298"/>
      <c r="H47" s="298"/>
      <c r="I47" s="298"/>
      <c r="J47" s="298"/>
      <c r="K47" s="298"/>
    </row>
    <row r="48" spans="1:11" ht="16" customHeight="1" x14ac:dyDescent="0.2">
      <c r="A48" s="298"/>
      <c r="B48" s="298"/>
      <c r="C48" s="298"/>
      <c r="D48" s="298"/>
      <c r="E48" s="298"/>
      <c r="F48" s="298"/>
      <c r="G48" s="298"/>
      <c r="H48" s="298"/>
      <c r="I48" s="298"/>
      <c r="J48" s="298"/>
      <c r="K48" s="298"/>
    </row>
    <row r="49" spans="1:11" ht="16" customHeight="1" x14ac:dyDescent="0.2">
      <c r="A49" s="298"/>
      <c r="B49" s="298"/>
      <c r="C49" s="298"/>
      <c r="D49" s="298"/>
      <c r="E49" s="298"/>
      <c r="F49" s="298"/>
      <c r="G49" s="298"/>
      <c r="H49" s="298"/>
      <c r="I49" s="298"/>
      <c r="J49" s="298"/>
      <c r="K49" s="298"/>
    </row>
    <row r="50" spans="1:11" ht="16" customHeight="1" x14ac:dyDescent="0.2">
      <c r="A50" s="298"/>
      <c r="B50" s="298"/>
      <c r="C50" s="298"/>
      <c r="D50" s="298"/>
      <c r="E50" s="298"/>
      <c r="F50" s="298"/>
      <c r="G50" s="298"/>
      <c r="H50" s="298"/>
      <c r="I50" s="298"/>
      <c r="J50" s="298"/>
      <c r="K50" s="298"/>
    </row>
    <row r="51" spans="1:11" ht="16" customHeight="1" x14ac:dyDescent="0.2">
      <c r="A51" s="298"/>
      <c r="B51" s="298"/>
      <c r="C51" s="298"/>
      <c r="D51" s="298"/>
      <c r="E51" s="298"/>
      <c r="F51" s="298"/>
      <c r="G51" s="298"/>
      <c r="H51" s="298"/>
      <c r="I51" s="298"/>
      <c r="J51" s="298"/>
      <c r="K51" s="298"/>
    </row>
    <row r="52" spans="1:11" ht="16" customHeight="1" x14ac:dyDescent="0.2">
      <c r="A52" s="298"/>
      <c r="B52" s="298"/>
      <c r="C52" s="298"/>
      <c r="D52" s="298"/>
      <c r="E52" s="298"/>
      <c r="F52" s="298"/>
      <c r="G52" s="298"/>
      <c r="H52" s="298"/>
      <c r="I52" s="298"/>
      <c r="J52" s="298"/>
      <c r="K52" s="298"/>
    </row>
    <row r="53" spans="1:11" ht="16" customHeight="1" x14ac:dyDescent="0.2">
      <c r="A53" s="298"/>
      <c r="B53" s="298"/>
      <c r="C53" s="298"/>
      <c r="D53" s="298"/>
      <c r="E53" s="298"/>
      <c r="F53" s="298"/>
      <c r="G53" s="298"/>
      <c r="H53" s="298"/>
      <c r="I53" s="298"/>
      <c r="J53" s="298"/>
      <c r="K53" s="298"/>
    </row>
    <row r="54" spans="1:11" ht="16" customHeight="1" x14ac:dyDescent="0.2">
      <c r="A54" s="298"/>
      <c r="B54" s="298"/>
      <c r="C54" s="298"/>
      <c r="D54" s="298"/>
      <c r="E54" s="298"/>
      <c r="F54" s="298"/>
      <c r="G54" s="298"/>
      <c r="H54" s="298"/>
      <c r="I54" s="298"/>
      <c r="J54" s="298"/>
      <c r="K54" s="298"/>
    </row>
    <row r="55" spans="1:11" ht="16" customHeight="1" x14ac:dyDescent="0.2">
      <c r="A55" s="298"/>
      <c r="B55" s="298"/>
      <c r="C55" s="298"/>
      <c r="D55" s="298"/>
      <c r="E55" s="298"/>
      <c r="F55" s="298"/>
      <c r="G55" s="298"/>
      <c r="H55" s="298"/>
      <c r="I55" s="298"/>
      <c r="J55" s="298"/>
      <c r="K55" s="298"/>
    </row>
    <row r="56" spans="1:11" ht="16" customHeight="1" x14ac:dyDescent="0.2">
      <c r="A56" s="298"/>
      <c r="B56" s="298"/>
      <c r="C56" s="298"/>
      <c r="D56" s="298"/>
      <c r="E56" s="298"/>
      <c r="F56" s="298"/>
      <c r="G56" s="298"/>
      <c r="H56" s="298"/>
      <c r="I56" s="298"/>
      <c r="J56" s="298"/>
      <c r="K56" s="298"/>
    </row>
    <row r="57" spans="1:11" ht="16" customHeight="1" x14ac:dyDescent="0.2">
      <c r="A57" s="298"/>
      <c r="B57" s="298"/>
      <c r="C57" s="298"/>
      <c r="D57" s="298"/>
      <c r="E57" s="298"/>
      <c r="F57" s="298"/>
      <c r="G57" s="298"/>
      <c r="H57" s="298"/>
      <c r="I57" s="298"/>
      <c r="J57" s="298"/>
      <c r="K57" s="298"/>
    </row>
    <row r="58" spans="1:11" ht="16" customHeight="1" x14ac:dyDescent="0.2">
      <c r="A58" s="298"/>
      <c r="B58" s="298"/>
      <c r="C58" s="298"/>
      <c r="D58" s="298"/>
      <c r="E58" s="298"/>
      <c r="F58" s="298"/>
      <c r="G58" s="298"/>
      <c r="H58" s="298"/>
      <c r="I58" s="298"/>
      <c r="J58" s="298"/>
      <c r="K58" s="298"/>
    </row>
    <row r="59" spans="1:11" ht="16" customHeight="1" x14ac:dyDescent="0.2">
      <c r="A59" s="298"/>
      <c r="B59" s="298"/>
      <c r="C59" s="298"/>
      <c r="D59" s="298"/>
      <c r="E59" s="298"/>
      <c r="F59" s="298"/>
      <c r="G59" s="298"/>
      <c r="H59" s="298"/>
      <c r="I59" s="298"/>
      <c r="J59" s="298"/>
      <c r="K59" s="298"/>
    </row>
    <row r="60" spans="1:11" ht="16" customHeight="1" x14ac:dyDescent="0.2">
      <c r="A60" s="298"/>
      <c r="B60" s="298"/>
      <c r="C60" s="298"/>
      <c r="D60" s="298"/>
      <c r="E60" s="298"/>
      <c r="F60" s="298"/>
      <c r="G60" s="298"/>
      <c r="H60" s="298"/>
      <c r="I60" s="298"/>
      <c r="J60" s="298"/>
      <c r="K60" s="298"/>
    </row>
    <row r="61" spans="1:11" ht="16" customHeight="1" x14ac:dyDescent="0.2">
      <c r="A61" s="298"/>
      <c r="B61" s="298"/>
      <c r="C61" s="298"/>
      <c r="D61" s="298"/>
      <c r="E61" s="298"/>
      <c r="F61" s="298"/>
      <c r="G61" s="298"/>
      <c r="H61" s="298"/>
      <c r="I61" s="298"/>
      <c r="J61" s="298"/>
      <c r="K61" s="298"/>
    </row>
    <row r="62" spans="1:11" ht="16" customHeight="1" x14ac:dyDescent="0.2">
      <c r="A62" s="298"/>
      <c r="B62" s="298"/>
      <c r="C62" s="298"/>
      <c r="D62" s="298"/>
      <c r="E62" s="298"/>
      <c r="F62" s="298"/>
      <c r="G62" s="298"/>
      <c r="H62" s="298"/>
      <c r="I62" s="298"/>
      <c r="J62" s="298"/>
      <c r="K62" s="298"/>
    </row>
    <row r="63" spans="1:11" ht="16" customHeight="1" x14ac:dyDescent="0.2">
      <c r="A63" s="298"/>
      <c r="B63" s="298"/>
      <c r="C63" s="298"/>
      <c r="D63" s="298"/>
      <c r="E63" s="298"/>
      <c r="F63" s="298"/>
      <c r="G63" s="298"/>
      <c r="H63" s="298"/>
      <c r="I63" s="298"/>
      <c r="J63" s="298"/>
      <c r="K63" s="298"/>
    </row>
    <row r="64" spans="1:11" ht="16" customHeight="1" x14ac:dyDescent="0.2">
      <c r="A64" s="298"/>
      <c r="B64" s="298"/>
      <c r="C64" s="298"/>
      <c r="D64" s="298"/>
      <c r="E64" s="298"/>
      <c r="F64" s="298"/>
      <c r="G64" s="298"/>
      <c r="H64" s="298"/>
      <c r="I64" s="298"/>
      <c r="J64" s="298"/>
      <c r="K64" s="298"/>
    </row>
    <row r="65" spans="1:11" ht="16" customHeight="1" x14ac:dyDescent="0.2">
      <c r="A65" s="298"/>
      <c r="B65" s="298"/>
      <c r="C65" s="298"/>
      <c r="D65" s="298"/>
      <c r="E65" s="298"/>
      <c r="F65" s="298"/>
      <c r="G65" s="298"/>
      <c r="H65" s="298"/>
      <c r="I65" s="298"/>
      <c r="J65" s="298"/>
      <c r="K65" s="298"/>
    </row>
    <row r="66" spans="1:11" ht="16" customHeight="1" x14ac:dyDescent="0.2">
      <c r="A66" s="298"/>
      <c r="B66" s="298"/>
      <c r="C66" s="298"/>
      <c r="D66" s="298"/>
      <c r="E66" s="298"/>
      <c r="F66" s="298"/>
      <c r="G66" s="298"/>
      <c r="H66" s="298"/>
      <c r="I66" s="298"/>
      <c r="J66" s="298"/>
      <c r="K66" s="298"/>
    </row>
    <row r="67" spans="1:11" ht="16" customHeight="1" x14ac:dyDescent="0.2">
      <c r="A67" s="298"/>
      <c r="B67" s="298"/>
      <c r="C67" s="298"/>
      <c r="D67" s="298"/>
      <c r="E67" s="298"/>
      <c r="F67" s="298"/>
      <c r="G67" s="298"/>
      <c r="H67" s="298"/>
      <c r="I67" s="298"/>
      <c r="J67" s="298"/>
      <c r="K67" s="298"/>
    </row>
    <row r="68" spans="1:11" ht="16" customHeight="1" x14ac:dyDescent="0.2">
      <c r="A68" s="298"/>
      <c r="B68" s="298"/>
      <c r="C68" s="298"/>
      <c r="D68" s="298"/>
      <c r="E68" s="298"/>
      <c r="F68" s="298"/>
      <c r="G68" s="298"/>
      <c r="H68" s="298"/>
      <c r="I68" s="298"/>
      <c r="J68" s="298"/>
      <c r="K68" s="298"/>
    </row>
    <row r="69" spans="1:11" ht="16" customHeight="1" x14ac:dyDescent="0.2">
      <c r="A69" s="298"/>
      <c r="B69" s="298"/>
      <c r="C69" s="298"/>
      <c r="D69" s="298"/>
      <c r="E69" s="298"/>
      <c r="F69" s="298"/>
      <c r="G69" s="298"/>
      <c r="H69" s="298"/>
      <c r="I69" s="298"/>
      <c r="J69" s="298"/>
      <c r="K69" s="298"/>
    </row>
    <row r="70" spans="1:11" ht="16" customHeight="1" x14ac:dyDescent="0.2">
      <c r="A70" s="298"/>
      <c r="B70" s="298"/>
      <c r="C70" s="298"/>
      <c r="D70" s="298"/>
      <c r="E70" s="298"/>
      <c r="F70" s="298"/>
      <c r="G70" s="298"/>
      <c r="H70" s="298"/>
      <c r="I70" s="298"/>
      <c r="J70" s="298"/>
      <c r="K70" s="298"/>
    </row>
    <row r="71" spans="1:11" ht="16" customHeight="1" x14ac:dyDescent="0.2">
      <c r="A71" s="298"/>
      <c r="B71" s="298"/>
      <c r="C71" s="298"/>
      <c r="D71" s="298"/>
      <c r="E71" s="298"/>
      <c r="F71" s="298"/>
      <c r="G71" s="298"/>
      <c r="H71" s="298"/>
      <c r="I71" s="298"/>
      <c r="J71" s="298"/>
      <c r="K71" s="298"/>
    </row>
    <row r="72" spans="1:11" ht="16" customHeight="1" x14ac:dyDescent="0.2">
      <c r="A72" s="298"/>
      <c r="B72" s="298"/>
      <c r="C72" s="298"/>
      <c r="D72" s="298"/>
      <c r="E72" s="298"/>
      <c r="F72" s="298"/>
      <c r="G72" s="298"/>
      <c r="H72" s="298"/>
      <c r="I72" s="298"/>
      <c r="J72" s="298"/>
      <c r="K72" s="298"/>
    </row>
    <row r="73" spans="1:11" ht="16" customHeight="1" x14ac:dyDescent="0.2">
      <c r="A73" s="298"/>
      <c r="B73" s="298"/>
      <c r="C73" s="298"/>
      <c r="D73" s="298"/>
      <c r="E73" s="298"/>
      <c r="F73" s="298"/>
      <c r="G73" s="298"/>
      <c r="H73" s="298"/>
      <c r="I73" s="298"/>
      <c r="J73" s="298"/>
      <c r="K73" s="298"/>
    </row>
    <row r="74" spans="1:11" ht="16" customHeight="1" x14ac:dyDescent="0.2">
      <c r="A74" s="298"/>
      <c r="B74" s="298"/>
      <c r="C74" s="298"/>
      <c r="D74" s="298"/>
      <c r="E74" s="298"/>
      <c r="F74" s="298"/>
      <c r="G74" s="298"/>
      <c r="H74" s="298"/>
      <c r="I74" s="298"/>
      <c r="J74" s="298"/>
      <c r="K74" s="298"/>
    </row>
    <row r="75" spans="1:11" ht="16" customHeight="1" x14ac:dyDescent="0.2">
      <c r="A75" s="298"/>
      <c r="B75" s="298"/>
      <c r="C75" s="298"/>
      <c r="D75" s="298"/>
      <c r="E75" s="298"/>
      <c r="F75" s="298"/>
      <c r="G75" s="298"/>
      <c r="H75" s="298"/>
      <c r="I75" s="298"/>
      <c r="J75" s="298"/>
      <c r="K75" s="298"/>
    </row>
    <row r="76" spans="1:11" ht="16" customHeight="1" x14ac:dyDescent="0.2">
      <c r="A76" s="298"/>
      <c r="B76" s="298"/>
      <c r="C76" s="298"/>
      <c r="D76" s="298"/>
      <c r="E76" s="298"/>
      <c r="F76" s="298"/>
      <c r="G76" s="298"/>
      <c r="H76" s="298"/>
      <c r="I76" s="298"/>
      <c r="J76" s="298"/>
      <c r="K76" s="298"/>
    </row>
    <row r="77" spans="1:11" ht="16" customHeight="1" x14ac:dyDescent="0.2">
      <c r="A77" s="298"/>
      <c r="B77" s="298"/>
      <c r="C77" s="298"/>
      <c r="D77" s="298"/>
      <c r="E77" s="298"/>
      <c r="F77" s="298"/>
      <c r="G77" s="298"/>
      <c r="H77" s="298"/>
      <c r="I77" s="298"/>
      <c r="J77" s="298"/>
      <c r="K77" s="298"/>
    </row>
    <row r="78" spans="1:11" ht="16" customHeight="1" x14ac:dyDescent="0.2">
      <c r="A78" s="298"/>
      <c r="B78" s="298"/>
      <c r="C78" s="298"/>
      <c r="D78" s="298"/>
      <c r="E78" s="298"/>
      <c r="F78" s="298"/>
      <c r="G78" s="298"/>
      <c r="H78" s="298"/>
      <c r="I78" s="298"/>
      <c r="J78" s="298"/>
      <c r="K78" s="298"/>
    </row>
    <row r="79" spans="1:11" ht="16" customHeight="1" x14ac:dyDescent="0.2">
      <c r="A79" s="298"/>
      <c r="B79" s="298"/>
      <c r="C79" s="298"/>
      <c r="D79" s="298"/>
      <c r="E79" s="298"/>
      <c r="F79" s="298"/>
      <c r="G79" s="298"/>
      <c r="H79" s="298"/>
      <c r="I79" s="298"/>
      <c r="J79" s="298"/>
      <c r="K79" s="298"/>
    </row>
    <row r="80" spans="1:11" ht="16" customHeight="1" x14ac:dyDescent="0.2">
      <c r="A80" s="298"/>
      <c r="B80" s="298"/>
      <c r="C80" s="298"/>
      <c r="D80" s="298"/>
      <c r="E80" s="298"/>
      <c r="F80" s="298"/>
      <c r="G80" s="298"/>
      <c r="H80" s="298"/>
      <c r="I80" s="298"/>
      <c r="J80" s="298"/>
      <c r="K80" s="298"/>
    </row>
    <row r="81" spans="1:11" ht="16" customHeight="1" x14ac:dyDescent="0.2">
      <c r="A81" s="298"/>
      <c r="B81" s="298"/>
      <c r="C81" s="298"/>
      <c r="D81" s="298"/>
      <c r="E81" s="298"/>
      <c r="F81" s="298"/>
      <c r="G81" s="298"/>
      <c r="H81" s="298"/>
      <c r="I81" s="298"/>
      <c r="J81" s="298"/>
      <c r="K81" s="298"/>
    </row>
    <row r="82" spans="1:11" ht="16" customHeight="1" x14ac:dyDescent="0.2">
      <c r="A82" s="298"/>
      <c r="B82" s="298"/>
      <c r="C82" s="298"/>
      <c r="D82" s="298"/>
      <c r="E82" s="298"/>
      <c r="F82" s="298"/>
      <c r="G82" s="298"/>
      <c r="H82" s="298"/>
      <c r="I82" s="298"/>
      <c r="J82" s="298"/>
      <c r="K82" s="298"/>
    </row>
    <row r="83" spans="1:11" ht="16" customHeight="1" x14ac:dyDescent="0.2">
      <c r="A83" s="298"/>
      <c r="B83" s="298"/>
      <c r="C83" s="298"/>
      <c r="D83" s="298"/>
      <c r="E83" s="298"/>
      <c r="F83" s="298"/>
      <c r="G83" s="298"/>
      <c r="H83" s="298"/>
      <c r="I83" s="298"/>
      <c r="J83" s="298"/>
      <c r="K83" s="298"/>
    </row>
    <row r="84" spans="1:11" ht="16" customHeight="1" x14ac:dyDescent="0.2">
      <c r="A84" s="298"/>
      <c r="B84" s="298"/>
      <c r="C84" s="298"/>
      <c r="D84" s="298"/>
      <c r="E84" s="298"/>
      <c r="F84" s="298"/>
      <c r="G84" s="298"/>
      <c r="H84" s="298"/>
      <c r="I84" s="298"/>
      <c r="J84" s="298"/>
      <c r="K84" s="298"/>
    </row>
    <row r="85" spans="1:11" ht="16" customHeight="1" x14ac:dyDescent="0.2">
      <c r="A85" s="298"/>
      <c r="B85" s="298"/>
      <c r="C85" s="298"/>
      <c r="D85" s="298"/>
      <c r="E85" s="298"/>
      <c r="F85" s="298"/>
      <c r="G85" s="298"/>
      <c r="H85" s="298"/>
      <c r="I85" s="298"/>
      <c r="J85" s="298"/>
      <c r="K85" s="298"/>
    </row>
    <row r="86" spans="1:11" ht="16" customHeight="1" x14ac:dyDescent="0.2">
      <c r="A86" s="298"/>
      <c r="B86" s="298"/>
      <c r="C86" s="298"/>
      <c r="D86" s="298"/>
      <c r="E86" s="298"/>
      <c r="F86" s="298"/>
      <c r="G86" s="298"/>
      <c r="H86" s="298"/>
      <c r="I86" s="298"/>
      <c r="J86" s="298"/>
      <c r="K86" s="298"/>
    </row>
    <row r="87" spans="1:11" ht="16" customHeight="1" x14ac:dyDescent="0.2">
      <c r="A87" s="298"/>
      <c r="B87" s="298"/>
      <c r="C87" s="298"/>
      <c r="D87" s="298"/>
      <c r="E87" s="298"/>
      <c r="F87" s="298"/>
      <c r="G87" s="298"/>
      <c r="H87" s="298"/>
      <c r="I87" s="298"/>
      <c r="J87" s="298"/>
      <c r="K87" s="298"/>
    </row>
    <row r="88" spans="1:11" ht="16" customHeight="1" x14ac:dyDescent="0.2">
      <c r="A88" s="298"/>
      <c r="B88" s="298"/>
      <c r="C88" s="298"/>
      <c r="D88" s="298"/>
      <c r="E88" s="298"/>
      <c r="F88" s="298"/>
      <c r="G88" s="298"/>
      <c r="H88" s="298"/>
      <c r="I88" s="298"/>
      <c r="J88" s="298"/>
      <c r="K88" s="298"/>
    </row>
    <row r="89" spans="1:11" ht="16" customHeight="1" x14ac:dyDescent="0.2">
      <c r="A89" s="298"/>
      <c r="B89" s="298"/>
      <c r="C89" s="298"/>
      <c r="D89" s="298"/>
      <c r="E89" s="298"/>
      <c r="F89" s="298"/>
      <c r="G89" s="298"/>
      <c r="H89" s="298"/>
      <c r="I89" s="298"/>
      <c r="J89" s="298"/>
      <c r="K89" s="298"/>
    </row>
    <row r="90" spans="1:11" ht="16" customHeight="1" x14ac:dyDescent="0.2">
      <c r="A90" s="298"/>
      <c r="B90" s="298"/>
      <c r="C90" s="298"/>
      <c r="D90" s="298"/>
      <c r="E90" s="298"/>
      <c r="F90" s="298"/>
      <c r="G90" s="298"/>
      <c r="H90" s="298"/>
      <c r="I90" s="298"/>
      <c r="J90" s="298"/>
      <c r="K90" s="298"/>
    </row>
    <row r="91" spans="1:11" ht="16" customHeight="1" x14ac:dyDescent="0.2">
      <c r="A91" s="298"/>
      <c r="B91" s="298"/>
      <c r="C91" s="298"/>
      <c r="D91" s="298"/>
      <c r="E91" s="298"/>
      <c r="F91" s="298"/>
      <c r="G91" s="298"/>
      <c r="H91" s="298"/>
      <c r="I91" s="298"/>
      <c r="J91" s="298"/>
      <c r="K91" s="298"/>
    </row>
    <row r="92" spans="1:11" ht="16" customHeight="1" x14ac:dyDescent="0.2">
      <c r="A92" s="298"/>
      <c r="B92" s="298"/>
      <c r="C92" s="298"/>
      <c r="D92" s="298"/>
      <c r="E92" s="298"/>
      <c r="F92" s="298"/>
      <c r="G92" s="298"/>
      <c r="H92" s="298"/>
      <c r="I92" s="298"/>
      <c r="J92" s="298"/>
      <c r="K92" s="298"/>
    </row>
    <row r="93" spans="1:11" ht="16" customHeight="1" x14ac:dyDescent="0.2">
      <c r="A93" s="298"/>
      <c r="B93" s="298"/>
      <c r="C93" s="298"/>
      <c r="D93" s="298"/>
      <c r="E93" s="298"/>
      <c r="F93" s="298"/>
      <c r="G93" s="298"/>
      <c r="H93" s="298"/>
      <c r="I93" s="298"/>
      <c r="J93" s="298"/>
      <c r="K93" s="298"/>
    </row>
    <row r="94" spans="1:11" ht="16" customHeight="1" x14ac:dyDescent="0.2">
      <c r="A94" s="298"/>
      <c r="B94" s="298"/>
      <c r="C94" s="298"/>
      <c r="D94" s="298"/>
      <c r="E94" s="298"/>
      <c r="F94" s="298"/>
      <c r="G94" s="298"/>
      <c r="H94" s="298"/>
      <c r="I94" s="298"/>
      <c r="J94" s="298"/>
      <c r="K94" s="298"/>
    </row>
    <row r="95" spans="1:11" ht="16" customHeight="1" x14ac:dyDescent="0.2">
      <c r="A95" s="298"/>
      <c r="B95" s="298"/>
      <c r="C95" s="298"/>
      <c r="D95" s="298"/>
      <c r="E95" s="298"/>
      <c r="F95" s="298"/>
      <c r="G95" s="298"/>
      <c r="H95" s="298"/>
      <c r="I95" s="298"/>
      <c r="J95" s="298"/>
      <c r="K95" s="298"/>
    </row>
    <row r="96" spans="1:11" ht="16" customHeight="1" x14ac:dyDescent="0.2">
      <c r="A96" s="298"/>
      <c r="B96" s="298"/>
      <c r="C96" s="298"/>
      <c r="D96" s="298"/>
      <c r="E96" s="298"/>
      <c r="F96" s="298"/>
      <c r="G96" s="298"/>
      <c r="H96" s="298"/>
      <c r="I96" s="298"/>
      <c r="J96" s="298"/>
      <c r="K96" s="298"/>
    </row>
    <row r="97" spans="1:11" ht="16" customHeight="1" x14ac:dyDescent="0.2">
      <c r="A97" s="298"/>
      <c r="B97" s="298"/>
      <c r="C97" s="298"/>
      <c r="D97" s="298"/>
      <c r="E97" s="298"/>
      <c r="F97" s="298"/>
      <c r="G97" s="298"/>
      <c r="H97" s="298"/>
      <c r="I97" s="298"/>
      <c r="J97" s="298"/>
      <c r="K97" s="298"/>
    </row>
    <row r="98" spans="1:11" ht="16" customHeight="1" x14ac:dyDescent="0.2">
      <c r="A98" s="298"/>
      <c r="B98" s="298"/>
      <c r="C98" s="298"/>
      <c r="D98" s="298"/>
      <c r="E98" s="298"/>
      <c r="F98" s="298"/>
      <c r="G98" s="298"/>
      <c r="H98" s="298"/>
      <c r="I98" s="298"/>
      <c r="J98" s="298"/>
      <c r="K98" s="298"/>
    </row>
    <row r="99" spans="1:11" ht="16" customHeight="1" x14ac:dyDescent="0.2">
      <c r="A99" s="298"/>
      <c r="B99" s="298"/>
      <c r="C99" s="298"/>
      <c r="D99" s="298"/>
      <c r="E99" s="298"/>
      <c r="F99" s="298"/>
      <c r="G99" s="298"/>
      <c r="H99" s="298"/>
      <c r="I99" s="298"/>
      <c r="J99" s="298"/>
      <c r="K99" s="298"/>
    </row>
    <row r="100" spans="1:11" x14ac:dyDescent="0.2">
      <c r="A100" s="298"/>
      <c r="B100" s="298"/>
      <c r="C100" s="298"/>
      <c r="D100" s="298"/>
      <c r="E100" s="298"/>
      <c r="F100" s="298"/>
      <c r="G100" s="298"/>
      <c r="H100" s="298"/>
      <c r="I100" s="298"/>
      <c r="J100" s="298"/>
      <c r="K100" s="298"/>
    </row>
  </sheetData>
  <mergeCells count="23">
    <mergeCell ref="D6:E6"/>
    <mergeCell ref="H6:I6"/>
    <mergeCell ref="B11:I11"/>
    <mergeCell ref="B2:I2"/>
    <mergeCell ref="B6:C6"/>
    <mergeCell ref="B7:C7"/>
    <mergeCell ref="B3:I3"/>
    <mergeCell ref="F6:G6"/>
    <mergeCell ref="H9:I9"/>
    <mergeCell ref="F7:G7"/>
    <mergeCell ref="B42:I42"/>
    <mergeCell ref="B8:C8"/>
    <mergeCell ref="F8:G8"/>
    <mergeCell ref="D7:E7"/>
    <mergeCell ref="H7:I7"/>
    <mergeCell ref="B9:C9"/>
    <mergeCell ref="D9:E9"/>
    <mergeCell ref="F9:G9"/>
    <mergeCell ref="D8:E8"/>
    <mergeCell ref="B33:I33"/>
    <mergeCell ref="B24:I24"/>
    <mergeCell ref="H8:I8"/>
    <mergeCell ref="B18:I1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Assumptions</vt:lpstr>
      <vt:lpstr>Emission Factors</vt:lpstr>
      <vt:lpstr>Scope 1 S</vt:lpstr>
      <vt:lpstr>Scope 1 W</vt:lpstr>
      <vt:lpstr>Scope 2 S</vt:lpstr>
      <vt:lpstr>Scope 2 W</vt:lpstr>
      <vt:lpstr>Scope 3 S</vt:lpstr>
      <vt:lpstr>Scope 3 W</vt:lpstr>
      <vt:lpstr>Summary &amp; Intensity</vt:lpstr>
      <vt:lpstr>Trend Analysis</vt:lpstr>
      <vt:lpstr>Reduction Trajectory</vt:lpstr>
      <vt:lpstr>Documentation</vt:lpstr>
      <vt:lpstr>EF hubs</vt:lpstr>
      <vt:lpstr>📊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Emilio Ledesma Silva</cp:lastModifiedBy>
  <cp:revision>0</cp:revision>
  <dcterms:created xsi:type="dcterms:W3CDTF">2026-02-24T05:03:02Z</dcterms:created>
  <dcterms:modified xsi:type="dcterms:W3CDTF">2026-05-01T12:38:04Z</dcterms:modified>
  <cp:category/>
  <cp:contentStatus/>
</cp:coreProperties>
</file>