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a\Dropbox\PC\Documents\PostdocBioMoveRepos\MetabolicVariation\EBIVRProject\Data\Parameterization\Storage\"/>
    </mc:Choice>
  </mc:AlternateContent>
  <xr:revisionPtr revIDLastSave="0" documentId="13_ncr:1_{E057186B-C0A1-4340-AECA-D6883919E955}" xr6:coauthVersionLast="46" xr6:coauthVersionMax="46" xr10:uidLastSave="{00000000-0000-0000-0000-000000000000}"/>
  <bookViews>
    <workbookView xWindow="2445" yWindow="1815" windowWidth="21600" windowHeight="11385" xr2:uid="{00000000-000D-0000-FFFF-FFFF00000000}"/>
  </bookViews>
  <sheets>
    <sheet name="Sheet1" sheetId="1" r:id="rId1"/>
    <sheet name="Sheet2" sheetId="2" r:id="rId2"/>
  </sheets>
  <definedNames>
    <definedName name="_xlchart.v1.0" hidden="1">Sheet1!$I$2:$I$21</definedName>
    <definedName name="_xlchart.v1.1" hidden="1">Sheet1!$M$50</definedName>
    <definedName name="_xlchart.v1.2" hidden="1">Sheet1!$M$49</definedName>
    <definedName name="_xlchart.v1.3" hidden="1">Sheet2!$A$1</definedName>
    <definedName name="_xlchart.v1.4" hidden="1">Sheet2!$A$2:$A$43</definedName>
    <definedName name="_xlchart.v1.5" hidden="1">Sheet1!$M$50</definedName>
    <definedName name="_xlchart.v1.6" hidden="1">Sheet2!$A$1</definedName>
    <definedName name="_xlchart.v1.7" hidden="1">Sheet2!$A$2:$A$43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M47" i="1"/>
  <c r="K26" i="1"/>
  <c r="M26" i="1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A44" i="2"/>
  <c r="M27" i="1"/>
  <c r="M34" i="1"/>
  <c r="M35" i="1"/>
  <c r="M42" i="1"/>
  <c r="M43" i="1"/>
  <c r="J26" i="1"/>
  <c r="J27" i="1"/>
  <c r="J28" i="1"/>
  <c r="J29" i="1"/>
  <c r="M29" i="1" s="1"/>
  <c r="J30" i="1"/>
  <c r="M30" i="1" s="1"/>
  <c r="J31" i="1"/>
  <c r="J32" i="1"/>
  <c r="J33" i="1"/>
  <c r="M33" i="1" s="1"/>
  <c r="J34" i="1"/>
  <c r="J35" i="1"/>
  <c r="J36" i="1"/>
  <c r="J37" i="1"/>
  <c r="M37" i="1" s="1"/>
  <c r="J38" i="1"/>
  <c r="M38" i="1" s="1"/>
  <c r="J39" i="1"/>
  <c r="J40" i="1"/>
  <c r="J41" i="1"/>
  <c r="M41" i="1" s="1"/>
  <c r="J42" i="1"/>
  <c r="J43" i="1"/>
  <c r="J44" i="1"/>
  <c r="J45" i="1"/>
  <c r="M45" i="1" s="1"/>
  <c r="J46" i="1"/>
  <c r="M46" i="1" s="1"/>
  <c r="J25" i="1"/>
  <c r="H26" i="1"/>
  <c r="H27" i="1"/>
  <c r="H28" i="1"/>
  <c r="H29" i="1"/>
  <c r="H30" i="1"/>
  <c r="H31" i="1"/>
  <c r="H32" i="1"/>
  <c r="M32" i="1" s="1"/>
  <c r="H33" i="1"/>
  <c r="H34" i="1"/>
  <c r="H35" i="1"/>
  <c r="H36" i="1"/>
  <c r="H37" i="1"/>
  <c r="H38" i="1"/>
  <c r="H39" i="1"/>
  <c r="H40" i="1"/>
  <c r="M40" i="1" s="1"/>
  <c r="H41" i="1"/>
  <c r="H42" i="1"/>
  <c r="H43" i="1"/>
  <c r="H44" i="1"/>
  <c r="H45" i="1"/>
  <c r="H46" i="1"/>
  <c r="H25" i="1"/>
  <c r="H2" i="1"/>
  <c r="L25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H20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46" i="1"/>
  <c r="A45" i="1"/>
  <c r="A44" i="1"/>
  <c r="A43" i="1"/>
  <c r="A42" i="1"/>
  <c r="M39" i="1" l="1"/>
  <c r="M31" i="1"/>
  <c r="M44" i="1"/>
  <c r="M36" i="1"/>
  <c r="M28" i="1"/>
  <c r="M25" i="1"/>
</calcChain>
</file>

<file path=xl/sharedStrings.xml><?xml version="1.0" encoding="utf-8"?>
<sst xmlns="http://schemas.openxmlformats.org/spreadsheetml/2006/main" count="240" uniqueCount="35">
  <si>
    <t>Age_days</t>
  </si>
  <si>
    <t>Mass_kg</t>
  </si>
  <si>
    <t>Source</t>
  </si>
  <si>
    <t>Notes</t>
  </si>
  <si>
    <t>Fedyk, A., 1974. Gross body composition in postnatal development of the bank vole. I. Growth under laboratory conditions. Acta Theriologica, 19(26), pp.381-401.</t>
  </si>
  <si>
    <t>From small litters (1 to 3 individuals)</t>
  </si>
  <si>
    <t>From large litters (4 to 6 individuals)</t>
  </si>
  <si>
    <t>SD</t>
  </si>
  <si>
    <t>SD_SE</t>
  </si>
  <si>
    <t>SD_or_SE</t>
  </si>
  <si>
    <t>SE</t>
  </si>
  <si>
    <t>Voles reared in pen</t>
  </si>
  <si>
    <t>Voles reared in pen, taken as halfway between 50 and 70</t>
  </si>
  <si>
    <t>Voles reared in laboratory</t>
  </si>
  <si>
    <t>Voles reared in laboratory, taken as halfway between 50 and 70</t>
  </si>
  <si>
    <t>Sawicka-Kapusta, K., 1974. Changes in the gross body composition and energy value of the bank voles during their postnatal development. Acta Theriologica, 19(3), pp.27-54.</t>
  </si>
  <si>
    <t>Voles from the wild</t>
  </si>
  <si>
    <t>Voles from the wild, taken as halfway between 6 and 7 mo</t>
  </si>
  <si>
    <t>Voles from the wild, taken as halfway between 8 and 9 mo</t>
  </si>
  <si>
    <t>Voles from the wild, taken as halfway between 11 and 15 mo</t>
  </si>
  <si>
    <t>N</t>
  </si>
  <si>
    <t>Environment</t>
  </si>
  <si>
    <t>Lab</t>
  </si>
  <si>
    <t>Perc_fat</t>
  </si>
  <si>
    <t>Out</t>
  </si>
  <si>
    <t>Terr</t>
  </si>
  <si>
    <t>Fat</t>
  </si>
  <si>
    <t>Perc_fat_high</t>
  </si>
  <si>
    <t>Fat_SD</t>
  </si>
  <si>
    <t>Fat%NoWater_SE</t>
  </si>
  <si>
    <t>Fat%NoWater</t>
  </si>
  <si>
    <t>Water%</t>
  </si>
  <si>
    <t>Fat%NoWater_SD</t>
  </si>
  <si>
    <t>MassNoWater_kg</t>
  </si>
  <si>
    <t>Fat_kg_high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</si>
</sst>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C1" workbookViewId="0">
      <selection activeCell="L22" sqref="L22"/>
    </sheetView>
  </sheetViews>
  <sheetFormatPr defaultRowHeight="15" x14ac:dyDescent="0.25"/>
  <cols>
    <col min="7" max="7" width="10" bestFit="1" customWidth="1"/>
    <col min="8" max="9" width="10" customWidth="1"/>
    <col min="10" max="10" width="20.85546875" customWidth="1"/>
    <col min="13" max="13" width="12" bestFit="1" customWidth="1"/>
  </cols>
  <sheetData>
    <row r="1" spans="1:12" x14ac:dyDescent="0.25">
      <c r="A1" t="s">
        <v>0</v>
      </c>
      <c r="B1" t="s">
        <v>1</v>
      </c>
      <c r="C1" t="s">
        <v>8</v>
      </c>
      <c r="D1" t="s">
        <v>9</v>
      </c>
      <c r="E1" t="s">
        <v>20</v>
      </c>
      <c r="F1" t="s">
        <v>26</v>
      </c>
      <c r="G1" t="s">
        <v>28</v>
      </c>
      <c r="H1" t="s">
        <v>23</v>
      </c>
      <c r="I1" t="s">
        <v>27</v>
      </c>
      <c r="J1" t="s">
        <v>2</v>
      </c>
      <c r="K1" t="s">
        <v>3</v>
      </c>
      <c r="L1" t="s">
        <v>21</v>
      </c>
    </row>
    <row r="2" spans="1:12" x14ac:dyDescent="0.25">
      <c r="A2">
        <v>1</v>
      </c>
      <c r="B2">
        <v>1.81E-3</v>
      </c>
      <c r="C2">
        <v>2.8699999999999998E-4</v>
      </c>
      <c r="D2" t="s">
        <v>7</v>
      </c>
      <c r="E2">
        <v>7</v>
      </c>
      <c r="F2">
        <v>5.3000000000000001E-5</v>
      </c>
      <c r="G2">
        <v>3.1999999999999999E-5</v>
      </c>
      <c r="H2">
        <f>(0.053/1000)/B2</f>
        <v>2.9281767955801105E-2</v>
      </c>
      <c r="I2">
        <f>(F2+G2)/B2</f>
        <v>4.6961325966850834E-2</v>
      </c>
      <c r="J2" t="s">
        <v>4</v>
      </c>
      <c r="K2" t="s">
        <v>5</v>
      </c>
      <c r="L2" t="s">
        <v>22</v>
      </c>
    </row>
    <row r="3" spans="1:12" x14ac:dyDescent="0.25">
      <c r="A3">
        <v>9</v>
      </c>
      <c r="B3">
        <v>4.5100000000000001E-3</v>
      </c>
      <c r="C3">
        <v>7.0500000000000001E-4</v>
      </c>
      <c r="D3" t="s">
        <v>7</v>
      </c>
      <c r="E3">
        <v>6</v>
      </c>
      <c r="F3">
        <v>3.9400000000000004E-4</v>
      </c>
      <c r="G3">
        <v>2.5000000000000001E-5</v>
      </c>
      <c r="H3">
        <f>(0.394/1000)/B3</f>
        <v>8.7361419068736151E-2</v>
      </c>
      <c r="I3">
        <f t="shared" ref="I3:I21" si="0">(F3+G3)/B3</f>
        <v>9.2904656319290471E-2</v>
      </c>
      <c r="J3" t="s">
        <v>4</v>
      </c>
      <c r="K3" t="s">
        <v>5</v>
      </c>
      <c r="L3" t="s">
        <v>22</v>
      </c>
    </row>
    <row r="4" spans="1:12" x14ac:dyDescent="0.25">
      <c r="A4">
        <v>22</v>
      </c>
      <c r="B4">
        <v>4.7660000000000003E-3</v>
      </c>
      <c r="C4">
        <v>6.8900000000000005E-4</v>
      </c>
      <c r="D4" t="s">
        <v>7</v>
      </c>
      <c r="E4">
        <v>7</v>
      </c>
      <c r="F4">
        <v>2.6400000000000002E-4</v>
      </c>
      <c r="G4">
        <v>1.16E-4</v>
      </c>
      <c r="H4">
        <f>(0.264/1000)/B4</f>
        <v>5.5392362568191356E-2</v>
      </c>
      <c r="I4">
        <f t="shared" si="0"/>
        <v>7.9731430969366343E-2</v>
      </c>
      <c r="J4" t="s">
        <v>4</v>
      </c>
      <c r="K4" t="s">
        <v>5</v>
      </c>
      <c r="L4" t="s">
        <v>22</v>
      </c>
    </row>
    <row r="5" spans="1:12" x14ac:dyDescent="0.25">
      <c r="A5">
        <v>30</v>
      </c>
      <c r="B5">
        <v>1.2668E-2</v>
      </c>
      <c r="C5">
        <v>1.6230000000000001E-3</v>
      </c>
      <c r="D5" t="s">
        <v>7</v>
      </c>
      <c r="E5">
        <v>6</v>
      </c>
      <c r="F5">
        <v>1.2030000000000001E-3</v>
      </c>
      <c r="G5">
        <v>3.8200000000000002E-4</v>
      </c>
      <c r="H5">
        <f>(1.203/1000)/B5</f>
        <v>9.4963688032838653E-2</v>
      </c>
      <c r="I5">
        <f t="shared" si="0"/>
        <v>0.12511840858856962</v>
      </c>
      <c r="J5" t="s">
        <v>4</v>
      </c>
      <c r="K5" t="s">
        <v>5</v>
      </c>
      <c r="L5" t="s">
        <v>22</v>
      </c>
    </row>
    <row r="6" spans="1:12" x14ac:dyDescent="0.25">
      <c r="A6">
        <v>40</v>
      </c>
      <c r="B6">
        <v>1.5032999999999999E-2</v>
      </c>
      <c r="C6">
        <v>7.3800000000000005E-4</v>
      </c>
      <c r="D6" t="s">
        <v>7</v>
      </c>
      <c r="E6">
        <v>6</v>
      </c>
      <c r="F6">
        <v>3.1700000000000001E-3</v>
      </c>
      <c r="G6">
        <v>1.3300000000000001E-4</v>
      </c>
      <c r="H6">
        <f>(3.17/1000)/B6</f>
        <v>0.21086942060799577</v>
      </c>
      <c r="I6">
        <f t="shared" si="0"/>
        <v>0.21971662342845741</v>
      </c>
      <c r="J6" t="s">
        <v>4</v>
      </c>
      <c r="K6" t="s">
        <v>5</v>
      </c>
      <c r="L6" t="s">
        <v>22</v>
      </c>
    </row>
    <row r="7" spans="1:12" x14ac:dyDescent="0.25">
      <c r="A7">
        <v>60</v>
      </c>
      <c r="B7">
        <v>1.3781E-2</v>
      </c>
      <c r="C7">
        <v>2.4510000000000001E-3</v>
      </c>
      <c r="D7" t="s">
        <v>7</v>
      </c>
      <c r="E7">
        <v>8</v>
      </c>
      <c r="F7">
        <v>3.2589999999999997E-3</v>
      </c>
      <c r="G7">
        <v>1.573E-3</v>
      </c>
      <c r="H7">
        <f>(3.259/1000)/B7</f>
        <v>0.23648501560119004</v>
      </c>
      <c r="I7">
        <f t="shared" si="0"/>
        <v>0.35062767578550175</v>
      </c>
      <c r="J7" t="s">
        <v>4</v>
      </c>
      <c r="K7" t="s">
        <v>5</v>
      </c>
      <c r="L7" t="s">
        <v>22</v>
      </c>
    </row>
    <row r="8" spans="1:12" x14ac:dyDescent="0.25">
      <c r="A8">
        <v>90</v>
      </c>
      <c r="B8">
        <v>1.3868E-2</v>
      </c>
      <c r="C8">
        <v>2.2959999999999999E-3</v>
      </c>
      <c r="D8" t="s">
        <v>7</v>
      </c>
      <c r="E8">
        <v>14</v>
      </c>
      <c r="F8">
        <v>2.1429999999999999E-3</v>
      </c>
      <c r="G8">
        <v>1.897E-3</v>
      </c>
      <c r="H8">
        <f>(2.143/1000)/B8</f>
        <v>0.15452841072973753</v>
      </c>
      <c r="I8">
        <f t="shared" si="0"/>
        <v>0.29131814248629939</v>
      </c>
      <c r="J8" t="s">
        <v>4</v>
      </c>
      <c r="K8" t="s">
        <v>5</v>
      </c>
      <c r="L8" t="s">
        <v>22</v>
      </c>
    </row>
    <row r="9" spans="1:12" x14ac:dyDescent="0.25">
      <c r="A9">
        <v>120</v>
      </c>
      <c r="B9">
        <v>1.7233999999999999E-2</v>
      </c>
      <c r="C9">
        <v>3.0699999999999998E-3</v>
      </c>
      <c r="D9" t="s">
        <v>7</v>
      </c>
      <c r="E9">
        <v>18</v>
      </c>
      <c r="F9">
        <v>3.2339999999999999E-3</v>
      </c>
      <c r="G9">
        <v>2.3290000000000003E-3</v>
      </c>
      <c r="H9">
        <f>(3.234/1000)/B9</f>
        <v>0.1876523151909017</v>
      </c>
      <c r="I9">
        <f t="shared" si="0"/>
        <v>0.32279215504235814</v>
      </c>
      <c r="J9" t="s">
        <v>4</v>
      </c>
      <c r="K9" t="s">
        <v>5</v>
      </c>
      <c r="L9" t="s">
        <v>22</v>
      </c>
    </row>
    <row r="10" spans="1:12" x14ac:dyDescent="0.25">
      <c r="A10">
        <v>150</v>
      </c>
      <c r="B10">
        <v>1.3505E-2</v>
      </c>
      <c r="C10">
        <v>7.6199999999999998E-4</v>
      </c>
      <c r="D10" t="s">
        <v>7</v>
      </c>
      <c r="E10">
        <v>9</v>
      </c>
      <c r="F10">
        <v>2.1129999999999999E-3</v>
      </c>
      <c r="G10">
        <v>1.4119999999999998E-3</v>
      </c>
      <c r="H10">
        <f>(2.113/1000)/B10</f>
        <v>0.15646057015920029</v>
      </c>
      <c r="I10">
        <f t="shared" si="0"/>
        <v>0.26101443909663086</v>
      </c>
      <c r="J10" t="s">
        <v>4</v>
      </c>
      <c r="K10" t="s">
        <v>5</v>
      </c>
      <c r="L10" t="s">
        <v>22</v>
      </c>
    </row>
    <row r="11" spans="1:12" x14ac:dyDescent="0.25">
      <c r="A11">
        <v>180</v>
      </c>
      <c r="B11">
        <v>1.7593000000000001E-2</v>
      </c>
      <c r="C11">
        <v>3.375E-3</v>
      </c>
      <c r="D11" t="s">
        <v>7</v>
      </c>
      <c r="E11">
        <v>13</v>
      </c>
      <c r="F11">
        <v>3.4840000000000001E-3</v>
      </c>
      <c r="G11">
        <v>2.6280000000000001E-3</v>
      </c>
      <c r="H11">
        <f>(3.484/1000)/B11</f>
        <v>0.19803330870232477</v>
      </c>
      <c r="I11">
        <f t="shared" si="0"/>
        <v>0.34741090206332065</v>
      </c>
      <c r="J11" t="s">
        <v>4</v>
      </c>
      <c r="K11" t="s">
        <v>5</v>
      </c>
      <c r="L11" t="s">
        <v>22</v>
      </c>
    </row>
    <row r="12" spans="1:12" x14ac:dyDescent="0.25">
      <c r="A12">
        <v>1</v>
      </c>
      <c r="B12">
        <v>1.967E-3</v>
      </c>
      <c r="C12">
        <v>2.1499999999999999E-4</v>
      </c>
      <c r="D12" t="s">
        <v>7</v>
      </c>
      <c r="E12">
        <v>15</v>
      </c>
      <c r="F12">
        <v>7.0000000000000007E-5</v>
      </c>
      <c r="G12">
        <v>5.5999999999999999E-5</v>
      </c>
      <c r="H12">
        <f>(0.07/1000)/B12</f>
        <v>3.5587188612099648E-2</v>
      </c>
      <c r="I12">
        <f t="shared" si="0"/>
        <v>6.4056939501779361E-2</v>
      </c>
      <c r="J12" t="s">
        <v>4</v>
      </c>
      <c r="K12" t="s">
        <v>6</v>
      </c>
      <c r="L12" t="s">
        <v>22</v>
      </c>
    </row>
    <row r="13" spans="1:12" x14ac:dyDescent="0.25">
      <c r="A13">
        <v>9</v>
      </c>
      <c r="B13">
        <v>3.875E-3</v>
      </c>
      <c r="C13">
        <v>1.93E-4</v>
      </c>
      <c r="D13" t="s">
        <v>7</v>
      </c>
      <c r="E13">
        <v>10</v>
      </c>
      <c r="F13">
        <v>2.5300000000000002E-4</v>
      </c>
      <c r="G13">
        <v>1.34E-4</v>
      </c>
      <c r="H13">
        <f>(0.253/1000)/B13</f>
        <v>6.5290322580645169E-2</v>
      </c>
      <c r="I13">
        <f t="shared" si="0"/>
        <v>9.987096774193549E-2</v>
      </c>
      <c r="J13" t="s">
        <v>4</v>
      </c>
      <c r="K13" t="s">
        <v>6</v>
      </c>
      <c r="L13" t="s">
        <v>22</v>
      </c>
    </row>
    <row r="14" spans="1:12" x14ac:dyDescent="0.25">
      <c r="A14">
        <v>22</v>
      </c>
      <c r="B14">
        <v>5.1720000000000004E-3</v>
      </c>
      <c r="C14">
        <v>4.8799999999999999E-4</v>
      </c>
      <c r="D14" t="s">
        <v>7</v>
      </c>
      <c r="E14">
        <v>6</v>
      </c>
      <c r="F14">
        <v>1.7699999999999999E-4</v>
      </c>
      <c r="G14">
        <v>5.5000000000000002E-5</v>
      </c>
      <c r="H14">
        <f>(0.177/1000)/B14</f>
        <v>3.4222737819025517E-2</v>
      </c>
      <c r="I14">
        <f t="shared" si="0"/>
        <v>4.4856921887084296E-2</v>
      </c>
      <c r="J14" t="s">
        <v>4</v>
      </c>
      <c r="K14" t="s">
        <v>6</v>
      </c>
      <c r="L14" t="s">
        <v>22</v>
      </c>
    </row>
    <row r="15" spans="1:12" x14ac:dyDescent="0.25">
      <c r="A15">
        <v>30</v>
      </c>
      <c r="B15">
        <v>1.1545E-2</v>
      </c>
      <c r="C15">
        <v>5.3399999999999997E-4</v>
      </c>
      <c r="D15" t="s">
        <v>7</v>
      </c>
      <c r="E15">
        <v>9</v>
      </c>
      <c r="F15">
        <v>1.3749999999999999E-3</v>
      </c>
      <c r="G15">
        <v>5.2099999999999998E-4</v>
      </c>
      <c r="H15">
        <f>(1.375/1000)/B15</f>
        <v>0.11909917713295799</v>
      </c>
      <c r="I15">
        <f t="shared" si="0"/>
        <v>0.16422693806842789</v>
      </c>
      <c r="J15" t="s">
        <v>4</v>
      </c>
      <c r="K15" t="s">
        <v>6</v>
      </c>
      <c r="L15" t="s">
        <v>22</v>
      </c>
    </row>
    <row r="16" spans="1:12" x14ac:dyDescent="0.25">
      <c r="A16">
        <v>40</v>
      </c>
      <c r="B16">
        <v>1.2382000000000001E-2</v>
      </c>
      <c r="C16">
        <v>2.6220000000000002E-3</v>
      </c>
      <c r="D16" t="s">
        <v>7</v>
      </c>
      <c r="E16">
        <v>18</v>
      </c>
      <c r="F16">
        <v>1.9659999999999999E-3</v>
      </c>
      <c r="G16">
        <v>1.186E-3</v>
      </c>
      <c r="H16">
        <f>(1.966/1000)/B16</f>
        <v>0.15877887255693748</v>
      </c>
      <c r="I16">
        <f t="shared" si="0"/>
        <v>0.25456307543207879</v>
      </c>
      <c r="J16" t="s">
        <v>4</v>
      </c>
      <c r="K16" t="s">
        <v>6</v>
      </c>
      <c r="L16" t="s">
        <v>22</v>
      </c>
    </row>
    <row r="17" spans="1:16" x14ac:dyDescent="0.25">
      <c r="A17">
        <v>60</v>
      </c>
      <c r="B17">
        <v>1.4154E-2</v>
      </c>
      <c r="C17">
        <v>1.6980000000000001E-3</v>
      </c>
      <c r="D17" t="s">
        <v>7</v>
      </c>
      <c r="E17">
        <v>11</v>
      </c>
      <c r="F17">
        <v>3.5920000000000006E-3</v>
      </c>
      <c r="G17">
        <v>1.66E-4</v>
      </c>
      <c r="H17">
        <f>(3.592/1000)/B17</f>
        <v>0.25377985021901939</v>
      </c>
      <c r="I17">
        <f t="shared" si="0"/>
        <v>0.26550798360887384</v>
      </c>
      <c r="J17" t="s">
        <v>4</v>
      </c>
      <c r="K17" t="s">
        <v>6</v>
      </c>
      <c r="L17" t="s">
        <v>22</v>
      </c>
    </row>
    <row r="18" spans="1:16" x14ac:dyDescent="0.25">
      <c r="A18">
        <v>90</v>
      </c>
      <c r="B18">
        <v>1.2930000000000001E-2</v>
      </c>
      <c r="C18">
        <v>1.2769999999999999E-3</v>
      </c>
      <c r="D18" t="s">
        <v>7</v>
      </c>
      <c r="E18">
        <v>12</v>
      </c>
      <c r="F18">
        <v>1.1259999999999998E-3</v>
      </c>
      <c r="G18">
        <v>3.4499999999999998E-4</v>
      </c>
      <c r="H18">
        <f>(1.126/1000)/B18</f>
        <v>8.7084300077339499E-2</v>
      </c>
      <c r="I18">
        <f t="shared" si="0"/>
        <v>0.11376643464810517</v>
      </c>
      <c r="J18" t="s">
        <v>4</v>
      </c>
      <c r="K18" t="s">
        <v>6</v>
      </c>
      <c r="L18" t="s">
        <v>22</v>
      </c>
    </row>
    <row r="19" spans="1:16" x14ac:dyDescent="0.25">
      <c r="A19">
        <v>120</v>
      </c>
      <c r="B19">
        <v>1.4768E-2</v>
      </c>
      <c r="C19">
        <v>1.7210000000000001E-3</v>
      </c>
      <c r="D19" t="s">
        <v>7</v>
      </c>
      <c r="E19">
        <v>10</v>
      </c>
      <c r="F19">
        <v>2.4609999999999996E-3</v>
      </c>
      <c r="G19">
        <v>6.5099999999999999E-4</v>
      </c>
      <c r="H19">
        <f>(2.461/1000)/B19</f>
        <v>0.16664409534127841</v>
      </c>
      <c r="I19">
        <f t="shared" si="0"/>
        <v>0.21072589382448537</v>
      </c>
      <c r="J19" t="s">
        <v>4</v>
      </c>
      <c r="K19" t="s">
        <v>6</v>
      </c>
      <c r="L19" t="s">
        <v>22</v>
      </c>
    </row>
    <row r="20" spans="1:16" x14ac:dyDescent="0.25">
      <c r="A20">
        <v>150</v>
      </c>
      <c r="B20">
        <v>1.3769999999999999E-2</v>
      </c>
      <c r="C20">
        <v>3.8189999999999999E-3</v>
      </c>
      <c r="D20" t="s">
        <v>7</v>
      </c>
      <c r="E20">
        <v>10</v>
      </c>
      <c r="F20">
        <v>2.0800000000000003E-3</v>
      </c>
      <c r="G20">
        <v>2.3830000000000001E-3</v>
      </c>
      <c r="H20">
        <f>(2.08/1000)/B20</f>
        <v>0.15105301379811187</v>
      </c>
      <c r="I20">
        <f t="shared" si="0"/>
        <v>0.32411038489469862</v>
      </c>
      <c r="J20" t="s">
        <v>4</v>
      </c>
      <c r="K20" t="s">
        <v>6</v>
      </c>
      <c r="L20" t="s">
        <v>22</v>
      </c>
    </row>
    <row r="21" spans="1:16" x14ac:dyDescent="0.25">
      <c r="A21">
        <v>180</v>
      </c>
      <c r="B21">
        <v>1.2671E-2</v>
      </c>
      <c r="C21">
        <v>1.6819999999999999E-3</v>
      </c>
      <c r="D21" t="s">
        <v>7</v>
      </c>
      <c r="E21">
        <v>19</v>
      </c>
      <c r="F21">
        <v>1.5809999999999999E-3</v>
      </c>
      <c r="G21">
        <v>5.3200000000000003E-4</v>
      </c>
      <c r="H21">
        <f>(1.581/1000)/B21</f>
        <v>0.12477310393812642</v>
      </c>
      <c r="I21">
        <f t="shared" si="0"/>
        <v>0.16675874043090522</v>
      </c>
      <c r="J21" t="s">
        <v>4</v>
      </c>
      <c r="K21" t="s">
        <v>6</v>
      </c>
      <c r="L21" t="s">
        <v>22</v>
      </c>
    </row>
    <row r="22" spans="1:16" x14ac:dyDescent="0.25">
      <c r="I22">
        <f>MAX(I2:I21)</f>
        <v>0.35062767578550175</v>
      </c>
    </row>
    <row r="24" spans="1:16" x14ac:dyDescent="0.25">
      <c r="A24" t="s">
        <v>0</v>
      </c>
      <c r="B24" t="s">
        <v>1</v>
      </c>
      <c r="C24" t="s">
        <v>8</v>
      </c>
      <c r="D24" t="s">
        <v>9</v>
      </c>
      <c r="E24" t="s">
        <v>20</v>
      </c>
      <c r="F24" t="s">
        <v>30</v>
      </c>
      <c r="G24" t="s">
        <v>29</v>
      </c>
      <c r="H24" t="s">
        <v>32</v>
      </c>
      <c r="I24" t="s">
        <v>31</v>
      </c>
      <c r="J24" t="s">
        <v>33</v>
      </c>
      <c r="K24" t="s">
        <v>34</v>
      </c>
      <c r="L24" t="s">
        <v>23</v>
      </c>
      <c r="M24" t="s">
        <v>27</v>
      </c>
      <c r="N24" t="s">
        <v>2</v>
      </c>
      <c r="O24" t="s">
        <v>3</v>
      </c>
      <c r="P24" t="s">
        <v>21</v>
      </c>
    </row>
    <row r="25" spans="1:16" x14ac:dyDescent="0.25">
      <c r="A25">
        <v>1</v>
      </c>
      <c r="B25">
        <v>2.1299999999999999E-3</v>
      </c>
      <c r="C25">
        <v>6.9999999999999994E-5</v>
      </c>
      <c r="D25" t="s">
        <v>10</v>
      </c>
      <c r="E25">
        <v>11</v>
      </c>
      <c r="F25">
        <v>0.248</v>
      </c>
      <c r="G25">
        <v>3.8100000000000002E-2</v>
      </c>
      <c r="H25">
        <f>G25*SQRT(E25)</f>
        <v>0.12636340451254074</v>
      </c>
      <c r="I25">
        <v>0.84499999999999997</v>
      </c>
      <c r="J25">
        <f>(B25*(1-I25))</f>
        <v>3.3015000000000003E-4</v>
      </c>
      <c r="K25">
        <f>J25*(F25+H25)</f>
        <v>1.2359607799981533E-4</v>
      </c>
      <c r="L25">
        <f>((B25*(1-0.845))*0.248)/B25</f>
        <v>3.8440000000000002E-2</v>
      </c>
      <c r="M25">
        <f>K25/B25</f>
        <v>5.8026327699443818E-2</v>
      </c>
      <c r="N25" t="s">
        <v>15</v>
      </c>
      <c r="O25" t="s">
        <v>13</v>
      </c>
      <c r="P25" t="s">
        <v>22</v>
      </c>
    </row>
    <row r="26" spans="1:16" x14ac:dyDescent="0.25">
      <c r="A26">
        <v>3</v>
      </c>
      <c r="B26">
        <v>2.5400000000000002E-3</v>
      </c>
      <c r="C26">
        <v>1.4999999999999999E-4</v>
      </c>
      <c r="D26" t="s">
        <v>10</v>
      </c>
      <c r="E26">
        <v>11</v>
      </c>
      <c r="F26">
        <v>0.29899999999999999</v>
      </c>
      <c r="G26">
        <v>3.2399999999999998E-2</v>
      </c>
      <c r="H26">
        <f t="shared" ref="H26:H46" si="1">G26*SQRT(E26)</f>
        <v>0.10745864320751494</v>
      </c>
      <c r="I26">
        <v>0.81599999999999995</v>
      </c>
      <c r="J26">
        <f t="shared" ref="J26:J46" si="2">(B26*(1-I26))</f>
        <v>4.6736000000000016E-4</v>
      </c>
      <c r="K26">
        <f t="shared" ref="K26:K46" si="3">J26*(F26+H26)</f>
        <v>1.8996251148946424E-4</v>
      </c>
      <c r="L26">
        <f>((B26*(1-0.816))*0.299)/B26</f>
        <v>5.5016000000000009E-2</v>
      </c>
      <c r="M26">
        <f t="shared" ref="M26:M46" si="4">K26/B26</f>
        <v>7.4788390350182768E-2</v>
      </c>
      <c r="N26" t="s">
        <v>15</v>
      </c>
      <c r="O26" t="s">
        <v>13</v>
      </c>
      <c r="P26" t="s">
        <v>22</v>
      </c>
    </row>
    <row r="27" spans="1:16" x14ac:dyDescent="0.25">
      <c r="A27">
        <v>6</v>
      </c>
      <c r="B27">
        <v>4.1999999999999997E-3</v>
      </c>
      <c r="C27">
        <v>2.7999999999999998E-4</v>
      </c>
      <c r="D27" t="s">
        <v>10</v>
      </c>
      <c r="E27">
        <v>13</v>
      </c>
      <c r="F27">
        <v>0.315</v>
      </c>
      <c r="G27">
        <v>3.4599999999999999E-2</v>
      </c>
      <c r="H27">
        <f t="shared" si="1"/>
        <v>0.12475207413105402</v>
      </c>
      <c r="I27">
        <v>0.78200000000000003</v>
      </c>
      <c r="J27">
        <f t="shared" si="2"/>
        <v>9.1559999999999981E-4</v>
      </c>
      <c r="K27">
        <f t="shared" si="3"/>
        <v>4.0263699907439293E-4</v>
      </c>
      <c r="L27">
        <f>((B27*(1-0.782))*0.315)/B27</f>
        <v>6.8669999999999995E-2</v>
      </c>
      <c r="M27">
        <f t="shared" si="4"/>
        <v>9.5865952160569756E-2</v>
      </c>
      <c r="N27" t="s">
        <v>15</v>
      </c>
      <c r="O27" t="s">
        <v>13</v>
      </c>
      <c r="P27" t="s">
        <v>22</v>
      </c>
    </row>
    <row r="28" spans="1:16" x14ac:dyDescent="0.25">
      <c r="A28">
        <v>10</v>
      </c>
      <c r="B28">
        <v>5.7999999999999996E-3</v>
      </c>
      <c r="C28">
        <v>1.9000000000000001E-4</v>
      </c>
      <c r="D28" t="s">
        <v>10</v>
      </c>
      <c r="E28">
        <v>18</v>
      </c>
      <c r="F28">
        <v>0.34899999999999998</v>
      </c>
      <c r="G28">
        <v>1.9699999999999999E-2</v>
      </c>
      <c r="H28">
        <f t="shared" si="1"/>
        <v>8.358002153624991E-2</v>
      </c>
      <c r="I28">
        <v>0.746</v>
      </c>
      <c r="J28">
        <f t="shared" si="2"/>
        <v>1.4731999999999998E-3</v>
      </c>
      <c r="K28">
        <f t="shared" si="3"/>
        <v>6.3727688772720326E-4</v>
      </c>
      <c r="L28">
        <f>((B28*(1-0.746))*0.349)/B28</f>
        <v>8.8645999999999989E-2</v>
      </c>
      <c r="M28">
        <f t="shared" si="4"/>
        <v>0.10987532547020747</v>
      </c>
      <c r="N28" t="s">
        <v>15</v>
      </c>
      <c r="O28" t="s">
        <v>13</v>
      </c>
      <c r="P28" t="s">
        <v>22</v>
      </c>
    </row>
    <row r="29" spans="1:16" x14ac:dyDescent="0.25">
      <c r="A29">
        <v>20</v>
      </c>
      <c r="B29">
        <v>8.5800000000000008E-3</v>
      </c>
      <c r="C29">
        <v>3.8999999999999999E-4</v>
      </c>
      <c r="D29" t="s">
        <v>10</v>
      </c>
      <c r="E29">
        <v>20</v>
      </c>
      <c r="F29">
        <v>0.316</v>
      </c>
      <c r="G29">
        <v>2.8799999999999999E-2</v>
      </c>
      <c r="H29">
        <f t="shared" si="1"/>
        <v>0.12879751550398788</v>
      </c>
      <c r="I29">
        <v>0.73</v>
      </c>
      <c r="J29">
        <f t="shared" si="2"/>
        <v>2.3166000000000003E-3</v>
      </c>
      <c r="K29">
        <f t="shared" si="3"/>
        <v>1.0304179244165384E-3</v>
      </c>
      <c r="L29">
        <f>((B29*(1-0.73))*0.316)/B29</f>
        <v>8.5319999999999993E-2</v>
      </c>
      <c r="M29">
        <f t="shared" si="4"/>
        <v>0.12009532918607672</v>
      </c>
      <c r="N29" t="s">
        <v>15</v>
      </c>
      <c r="O29" t="s">
        <v>13</v>
      </c>
      <c r="P29" t="s">
        <v>22</v>
      </c>
    </row>
    <row r="30" spans="1:16" x14ac:dyDescent="0.25">
      <c r="A30">
        <v>30</v>
      </c>
      <c r="B30">
        <v>1.5610000000000001E-2</v>
      </c>
      <c r="C30">
        <v>4.2000000000000002E-4</v>
      </c>
      <c r="D30" t="s">
        <v>10</v>
      </c>
      <c r="E30">
        <v>9</v>
      </c>
      <c r="F30">
        <v>0.44500000000000001</v>
      </c>
      <c r="G30">
        <v>2.7199999999999998E-2</v>
      </c>
      <c r="H30">
        <f t="shared" si="1"/>
        <v>8.1599999999999992E-2</v>
      </c>
      <c r="I30">
        <v>0.66100000000000003</v>
      </c>
      <c r="J30">
        <f t="shared" si="2"/>
        <v>5.2917899999999993E-3</v>
      </c>
      <c r="K30">
        <f t="shared" si="3"/>
        <v>2.7866566139999995E-3</v>
      </c>
      <c r="L30">
        <f>((B30*(1-0.661))*0.445)/B30</f>
        <v>0.15085499999999999</v>
      </c>
      <c r="M30">
        <f t="shared" si="4"/>
        <v>0.17851739999999996</v>
      </c>
      <c r="N30" t="s">
        <v>15</v>
      </c>
      <c r="O30" t="s">
        <v>13</v>
      </c>
      <c r="P30" t="s">
        <v>22</v>
      </c>
    </row>
    <row r="31" spans="1:16" x14ac:dyDescent="0.25">
      <c r="A31">
        <v>60</v>
      </c>
      <c r="B31">
        <v>1.7430000000000001E-2</v>
      </c>
      <c r="C31">
        <v>7.2999999999999996E-4</v>
      </c>
      <c r="D31" t="s">
        <v>10</v>
      </c>
      <c r="E31">
        <v>14</v>
      </c>
      <c r="F31">
        <v>0.48899999999999999</v>
      </c>
      <c r="G31">
        <v>2.4E-2</v>
      </c>
      <c r="H31">
        <f t="shared" si="1"/>
        <v>8.97997772825746E-2</v>
      </c>
      <c r="I31">
        <v>0.60899999999999999</v>
      </c>
      <c r="J31">
        <f t="shared" si="2"/>
        <v>6.8151300000000008E-3</v>
      </c>
      <c r="K31">
        <f t="shared" si="3"/>
        <v>3.9445957261517927E-3</v>
      </c>
      <c r="L31">
        <f>((B31*(1-0.609))*0.489)/B31</f>
        <v>0.19119900000000001</v>
      </c>
      <c r="M31">
        <f t="shared" si="4"/>
        <v>0.22631071291748667</v>
      </c>
      <c r="N31" t="s">
        <v>15</v>
      </c>
      <c r="O31" t="s">
        <v>14</v>
      </c>
      <c r="P31" t="s">
        <v>22</v>
      </c>
    </row>
    <row r="32" spans="1:16" x14ac:dyDescent="0.25">
      <c r="A32">
        <v>1</v>
      </c>
      <c r="B32">
        <v>2.2000000000000001E-3</v>
      </c>
      <c r="C32">
        <v>1.1E-4</v>
      </c>
      <c r="D32" t="s">
        <v>10</v>
      </c>
      <c r="E32">
        <v>9</v>
      </c>
      <c r="F32">
        <v>0.28499999999999998</v>
      </c>
      <c r="G32">
        <v>4.3900000000000002E-2</v>
      </c>
      <c r="H32">
        <f t="shared" si="1"/>
        <v>0.13170000000000001</v>
      </c>
      <c r="I32">
        <v>0.83199999999999996</v>
      </c>
      <c r="J32">
        <f t="shared" si="2"/>
        <v>3.6960000000000009E-4</v>
      </c>
      <c r="K32">
        <f t="shared" si="3"/>
        <v>1.5401232000000002E-4</v>
      </c>
      <c r="L32">
        <f>((B32*(1-0.832))*0.285)/B32</f>
        <v>4.7880000000000006E-2</v>
      </c>
      <c r="M32">
        <f t="shared" si="4"/>
        <v>7.0005600000000001E-2</v>
      </c>
      <c r="N32" t="s">
        <v>15</v>
      </c>
      <c r="O32" t="s">
        <v>11</v>
      </c>
      <c r="P32" t="s">
        <v>24</v>
      </c>
    </row>
    <row r="33" spans="1:16" x14ac:dyDescent="0.25">
      <c r="A33">
        <v>3</v>
      </c>
      <c r="B33">
        <v>2.3E-3</v>
      </c>
      <c r="C33">
        <v>8.0000000000000007E-5</v>
      </c>
      <c r="D33" t="s">
        <v>10</v>
      </c>
      <c r="E33">
        <v>9</v>
      </c>
      <c r="F33">
        <v>0.27600000000000002</v>
      </c>
      <c r="G33">
        <v>8.3599999999999994E-2</v>
      </c>
      <c r="H33">
        <f t="shared" si="1"/>
        <v>0.25079999999999997</v>
      </c>
      <c r="I33">
        <v>0.82499999999999996</v>
      </c>
      <c r="J33">
        <f t="shared" si="2"/>
        <v>4.0250000000000008E-4</v>
      </c>
      <c r="K33">
        <f t="shared" si="3"/>
        <v>2.1203700000000002E-4</v>
      </c>
      <c r="L33">
        <f>((B33*(1-0.825))*0.276)/B33</f>
        <v>4.8300000000000017E-2</v>
      </c>
      <c r="M33">
        <f t="shared" si="4"/>
        <v>9.2190000000000008E-2</v>
      </c>
      <c r="N33" t="s">
        <v>15</v>
      </c>
      <c r="O33" t="s">
        <v>11</v>
      </c>
      <c r="P33" t="s">
        <v>24</v>
      </c>
    </row>
    <row r="34" spans="1:16" x14ac:dyDescent="0.25">
      <c r="A34">
        <v>6</v>
      </c>
      <c r="B34">
        <v>4.9300000000000004E-3</v>
      </c>
      <c r="C34">
        <v>3.6000000000000002E-4</v>
      </c>
      <c r="D34" t="s">
        <v>10</v>
      </c>
      <c r="E34">
        <v>10</v>
      </c>
      <c r="F34">
        <v>0.41099999999999998</v>
      </c>
      <c r="G34">
        <v>3.09E-2</v>
      </c>
      <c r="H34">
        <f t="shared" si="1"/>
        <v>9.7714379699202922E-2</v>
      </c>
      <c r="I34">
        <v>0.752</v>
      </c>
      <c r="J34">
        <f t="shared" si="2"/>
        <v>1.2226400000000001E-3</v>
      </c>
      <c r="K34">
        <f t="shared" si="3"/>
        <v>6.2197454919543345E-4</v>
      </c>
      <c r="L34">
        <f>((B34*(1-0.752))*0.411)/B34</f>
        <v>0.101928</v>
      </c>
      <c r="M34">
        <f t="shared" si="4"/>
        <v>0.12616116616540232</v>
      </c>
      <c r="N34" t="s">
        <v>15</v>
      </c>
      <c r="O34" t="s">
        <v>11</v>
      </c>
      <c r="P34" t="s">
        <v>24</v>
      </c>
    </row>
    <row r="35" spans="1:16" x14ac:dyDescent="0.25">
      <c r="A35">
        <v>10</v>
      </c>
      <c r="B35">
        <v>5.3299999999999997E-3</v>
      </c>
      <c r="C35">
        <v>1.7000000000000001E-4</v>
      </c>
      <c r="D35" t="s">
        <v>10</v>
      </c>
      <c r="E35">
        <v>9</v>
      </c>
      <c r="F35">
        <v>0.42299999999999999</v>
      </c>
      <c r="G35">
        <v>3.7400000000000003E-2</v>
      </c>
      <c r="H35">
        <f t="shared" si="1"/>
        <v>0.11220000000000001</v>
      </c>
      <c r="I35">
        <v>0.72499999999999998</v>
      </c>
      <c r="J35">
        <f t="shared" si="2"/>
        <v>1.46575E-3</v>
      </c>
      <c r="K35">
        <f t="shared" si="3"/>
        <v>7.8446940000000001E-4</v>
      </c>
      <c r="L35">
        <f>((B35*(1-0.725))*0.423)/B35</f>
        <v>0.116325</v>
      </c>
      <c r="M35">
        <f t="shared" si="4"/>
        <v>0.14718000000000001</v>
      </c>
      <c r="N35" t="s">
        <v>15</v>
      </c>
      <c r="O35" t="s">
        <v>11</v>
      </c>
      <c r="P35" t="s">
        <v>24</v>
      </c>
    </row>
    <row r="36" spans="1:16" x14ac:dyDescent="0.25">
      <c r="A36">
        <v>20</v>
      </c>
      <c r="B36">
        <v>7.8600000000000007E-3</v>
      </c>
      <c r="C36">
        <v>1.2999999999999999E-4</v>
      </c>
      <c r="D36" t="s">
        <v>10</v>
      </c>
      <c r="E36">
        <v>9</v>
      </c>
      <c r="F36">
        <v>0.39700000000000002</v>
      </c>
      <c r="G36">
        <v>2.52E-2</v>
      </c>
      <c r="H36">
        <f t="shared" si="1"/>
        <v>7.5600000000000001E-2</v>
      </c>
      <c r="I36">
        <v>0.70899999999999996</v>
      </c>
      <c r="J36">
        <f t="shared" si="2"/>
        <v>2.2872600000000006E-3</v>
      </c>
      <c r="K36">
        <f t="shared" si="3"/>
        <v>1.0809590760000004E-3</v>
      </c>
      <c r="L36">
        <f>((B36*(1-0.709))*0.397)/B36</f>
        <v>0.11552700000000002</v>
      </c>
      <c r="M36">
        <f t="shared" si="4"/>
        <v>0.13752660000000003</v>
      </c>
      <c r="N36" t="s">
        <v>15</v>
      </c>
      <c r="O36" t="s">
        <v>11</v>
      </c>
      <c r="P36" t="s">
        <v>24</v>
      </c>
    </row>
    <row r="37" spans="1:16" x14ac:dyDescent="0.25">
      <c r="A37">
        <v>60</v>
      </c>
      <c r="B37">
        <v>1.84E-2</v>
      </c>
      <c r="C37">
        <v>8.4999999999999995E-4</v>
      </c>
      <c r="D37" t="s">
        <v>10</v>
      </c>
      <c r="E37">
        <v>9</v>
      </c>
      <c r="F37">
        <v>0.435</v>
      </c>
      <c r="G37">
        <v>4.0099999999999997E-2</v>
      </c>
      <c r="H37">
        <f t="shared" si="1"/>
        <v>0.12029999999999999</v>
      </c>
      <c r="I37">
        <v>0.63700000000000001</v>
      </c>
      <c r="J37">
        <f t="shared" si="2"/>
        <v>6.6791999999999997E-3</v>
      </c>
      <c r="K37">
        <f t="shared" si="3"/>
        <v>3.70895976E-3</v>
      </c>
      <c r="L37">
        <f>((B37*(1-0.637))*0.435)/B37</f>
        <v>0.15790499999999999</v>
      </c>
      <c r="M37">
        <f t="shared" si="4"/>
        <v>0.2015739</v>
      </c>
      <c r="N37" t="s">
        <v>15</v>
      </c>
      <c r="O37" t="s">
        <v>12</v>
      </c>
      <c r="P37" t="s">
        <v>24</v>
      </c>
    </row>
    <row r="38" spans="1:16" x14ac:dyDescent="0.25">
      <c r="A38">
        <v>30</v>
      </c>
      <c r="B38">
        <v>1.4E-2</v>
      </c>
      <c r="C38">
        <v>1.2199999999999999E-3</v>
      </c>
      <c r="D38" t="s">
        <v>10</v>
      </c>
      <c r="E38">
        <v>10</v>
      </c>
      <c r="F38">
        <v>0.127</v>
      </c>
      <c r="G38">
        <v>1.7899999999999999E-2</v>
      </c>
      <c r="H38">
        <f t="shared" si="1"/>
        <v>5.6604770117013994E-2</v>
      </c>
      <c r="I38">
        <v>0.751</v>
      </c>
      <c r="J38">
        <f t="shared" si="2"/>
        <v>3.4859999999999999E-3</v>
      </c>
      <c r="K38">
        <f t="shared" si="3"/>
        <v>6.4004622862791078E-4</v>
      </c>
      <c r="L38">
        <f>((B38*(1-0.751))*0.127)/B38</f>
        <v>3.1622999999999998E-2</v>
      </c>
      <c r="M38">
        <f t="shared" si="4"/>
        <v>4.5717587759136487E-2</v>
      </c>
      <c r="N38" t="s">
        <v>15</v>
      </c>
      <c r="O38" t="s">
        <v>16</v>
      </c>
      <c r="P38" t="s">
        <v>25</v>
      </c>
    </row>
    <row r="39" spans="1:16" x14ac:dyDescent="0.25">
      <c r="A39">
        <v>60</v>
      </c>
      <c r="B39">
        <v>1.7899999999999999E-2</v>
      </c>
      <c r="C39">
        <v>7.3999999999999999E-4</v>
      </c>
      <c r="D39" t="s">
        <v>10</v>
      </c>
      <c r="E39">
        <v>16</v>
      </c>
      <c r="F39">
        <v>0.111</v>
      </c>
      <c r="G39">
        <v>9.4999999999999998E-3</v>
      </c>
      <c r="H39">
        <f t="shared" si="1"/>
        <v>3.7999999999999999E-2</v>
      </c>
      <c r="I39">
        <v>0.74199999999999999</v>
      </c>
      <c r="J39">
        <f t="shared" si="2"/>
        <v>4.6182000000000003E-3</v>
      </c>
      <c r="K39">
        <f t="shared" si="3"/>
        <v>6.8811179999999999E-4</v>
      </c>
      <c r="L39">
        <f>((B39*(1-0.742))*0.111)/B39</f>
        <v>2.8638000000000004E-2</v>
      </c>
      <c r="M39">
        <f t="shared" si="4"/>
        <v>3.8442000000000004E-2</v>
      </c>
      <c r="N39" t="s">
        <v>15</v>
      </c>
      <c r="O39" t="s">
        <v>16</v>
      </c>
      <c r="P39" t="s">
        <v>25</v>
      </c>
    </row>
    <row r="40" spans="1:16" x14ac:dyDescent="0.25">
      <c r="A40">
        <v>90</v>
      </c>
      <c r="B40">
        <v>1.9099999999999999E-2</v>
      </c>
      <c r="C40">
        <v>1.07E-3</v>
      </c>
      <c r="D40" t="s">
        <v>10</v>
      </c>
      <c r="E40">
        <v>11</v>
      </c>
      <c r="F40">
        <v>0.125</v>
      </c>
      <c r="G40">
        <v>1.0500000000000001E-2</v>
      </c>
      <c r="H40">
        <f t="shared" si="1"/>
        <v>3.4824560298731704E-2</v>
      </c>
      <c r="I40">
        <v>0.73899999999999999</v>
      </c>
      <c r="J40">
        <f t="shared" si="2"/>
        <v>4.9851000000000001E-3</v>
      </c>
      <c r="K40">
        <f t="shared" si="3"/>
        <v>7.9674141554520752E-4</v>
      </c>
      <c r="L40">
        <f>((B40*(1-0.739))*0.125)/B40</f>
        <v>3.2625000000000001E-2</v>
      </c>
      <c r="M40">
        <f t="shared" si="4"/>
        <v>4.1714210237968979E-2</v>
      </c>
      <c r="N40" t="s">
        <v>15</v>
      </c>
      <c r="O40" t="s">
        <v>16</v>
      </c>
      <c r="P40" t="s">
        <v>25</v>
      </c>
    </row>
    <row r="41" spans="1:16" x14ac:dyDescent="0.25">
      <c r="A41">
        <v>120</v>
      </c>
      <c r="B41">
        <v>1.9300000000000001E-2</v>
      </c>
      <c r="C41">
        <v>1.2800000000000001E-3</v>
      </c>
      <c r="D41" t="s">
        <v>10</v>
      </c>
      <c r="E41">
        <v>14</v>
      </c>
      <c r="F41">
        <v>0.14000000000000001</v>
      </c>
      <c r="G41">
        <v>1.46E-2</v>
      </c>
      <c r="H41">
        <f t="shared" si="1"/>
        <v>5.4628197846899547E-2</v>
      </c>
      <c r="I41">
        <v>0.72799999999999998</v>
      </c>
      <c r="J41">
        <f t="shared" si="2"/>
        <v>5.249600000000001E-3</v>
      </c>
      <c r="K41">
        <f t="shared" si="3"/>
        <v>1.0217201874170841E-3</v>
      </c>
      <c r="L41">
        <f>((B41*(1-0.728))*0.14)/B41</f>
        <v>3.808000000000001E-2</v>
      </c>
      <c r="M41">
        <f t="shared" si="4"/>
        <v>5.2938869814356686E-2</v>
      </c>
      <c r="N41" t="s">
        <v>15</v>
      </c>
      <c r="O41" t="s">
        <v>16</v>
      </c>
      <c r="P41" t="s">
        <v>25</v>
      </c>
    </row>
    <row r="42" spans="1:16" x14ac:dyDescent="0.25">
      <c r="A42">
        <f>5*30</f>
        <v>150</v>
      </c>
      <c r="B42">
        <v>1.5800000000000002E-2</v>
      </c>
      <c r="C42">
        <v>4.8000000000000001E-4</v>
      </c>
      <c r="D42" t="s">
        <v>10</v>
      </c>
      <c r="E42">
        <v>28</v>
      </c>
      <c r="F42">
        <v>0.121</v>
      </c>
      <c r="G42">
        <v>5.4000000000000003E-3</v>
      </c>
      <c r="H42">
        <f t="shared" si="1"/>
        <v>2.8574114159497583E-2</v>
      </c>
      <c r="I42">
        <v>0.70499999999999996</v>
      </c>
      <c r="J42">
        <f t="shared" si="2"/>
        <v>4.6610000000000011E-3</v>
      </c>
      <c r="K42">
        <f t="shared" si="3"/>
        <v>6.9716494609741841E-4</v>
      </c>
      <c r="L42">
        <f>((B42*(1-0.705))*0.121)/B42</f>
        <v>3.5695000000000005E-2</v>
      </c>
      <c r="M42">
        <f t="shared" si="4"/>
        <v>4.4124363677051796E-2</v>
      </c>
      <c r="N42" t="s">
        <v>15</v>
      </c>
      <c r="O42" t="s">
        <v>16</v>
      </c>
      <c r="P42" t="s">
        <v>25</v>
      </c>
    </row>
    <row r="43" spans="1:16" x14ac:dyDescent="0.25">
      <c r="A43">
        <f>6.5*30</f>
        <v>195</v>
      </c>
      <c r="B43">
        <v>1.55E-2</v>
      </c>
      <c r="C43">
        <v>5.2999999999999998E-4</v>
      </c>
      <c r="D43" t="s">
        <v>10</v>
      </c>
      <c r="E43">
        <v>17</v>
      </c>
      <c r="F43">
        <v>0.104</v>
      </c>
      <c r="G43">
        <v>0.05</v>
      </c>
      <c r="H43">
        <f t="shared" si="1"/>
        <v>0.20615528128088303</v>
      </c>
      <c r="I43">
        <v>0.70899999999999996</v>
      </c>
      <c r="J43">
        <f t="shared" si="2"/>
        <v>4.5105000000000006E-3</v>
      </c>
      <c r="K43">
        <f t="shared" si="3"/>
        <v>1.3989553962174231E-3</v>
      </c>
      <c r="L43">
        <f>((B43*(1-0.709))*0.104)/B43</f>
        <v>3.0264000000000003E-2</v>
      </c>
      <c r="M43">
        <f t="shared" si="4"/>
        <v>9.0255186852736979E-2</v>
      </c>
      <c r="N43" t="s">
        <v>15</v>
      </c>
      <c r="O43" t="s">
        <v>17</v>
      </c>
      <c r="P43" t="s">
        <v>25</v>
      </c>
    </row>
    <row r="44" spans="1:16" x14ac:dyDescent="0.25">
      <c r="A44">
        <f>8.5*30</f>
        <v>255</v>
      </c>
      <c r="B44">
        <v>1.7299999999999999E-2</v>
      </c>
      <c r="C44">
        <v>8.1999999999999998E-4</v>
      </c>
      <c r="D44" t="s">
        <v>10</v>
      </c>
      <c r="E44">
        <v>14</v>
      </c>
      <c r="F44">
        <v>0.12</v>
      </c>
      <c r="G44">
        <v>6.8000000000000005E-2</v>
      </c>
      <c r="H44">
        <f t="shared" si="1"/>
        <v>0.25443270230062803</v>
      </c>
      <c r="I44">
        <v>0.70599999999999996</v>
      </c>
      <c r="J44">
        <f t="shared" si="2"/>
        <v>5.0862000000000008E-3</v>
      </c>
      <c r="K44">
        <f t="shared" si="3"/>
        <v>1.9044396104414545E-3</v>
      </c>
      <c r="L44">
        <f>((B44*(1-0.706))*0.12)/B44</f>
        <v>3.5280000000000006E-2</v>
      </c>
      <c r="M44">
        <f t="shared" si="4"/>
        <v>0.11008321447638465</v>
      </c>
      <c r="N44" t="s">
        <v>15</v>
      </c>
      <c r="O44" t="s">
        <v>18</v>
      </c>
      <c r="P44" t="s">
        <v>25</v>
      </c>
    </row>
    <row r="45" spans="1:16" x14ac:dyDescent="0.25">
      <c r="A45">
        <f>10*30</f>
        <v>300</v>
      </c>
      <c r="B45">
        <v>2.0799999999999999E-2</v>
      </c>
      <c r="C45">
        <v>1.08E-3</v>
      </c>
      <c r="D45" t="s">
        <v>10</v>
      </c>
      <c r="E45">
        <v>10</v>
      </c>
      <c r="F45">
        <v>0.13300000000000001</v>
      </c>
      <c r="G45">
        <v>8.6999999999999994E-2</v>
      </c>
      <c r="H45">
        <f t="shared" si="1"/>
        <v>0.27511815643464899</v>
      </c>
      <c r="I45">
        <v>0.71299999999999997</v>
      </c>
      <c r="J45">
        <f t="shared" si="2"/>
        <v>5.9696000000000003E-3</v>
      </c>
      <c r="K45">
        <f t="shared" si="3"/>
        <v>2.4363021466522806E-3</v>
      </c>
      <c r="L45">
        <f>((B45*(1-0.713))*0.133)/B45</f>
        <v>3.817100000000001E-2</v>
      </c>
      <c r="M45">
        <f t="shared" si="4"/>
        <v>0.11712991089674427</v>
      </c>
      <c r="N45" t="s">
        <v>15</v>
      </c>
      <c r="O45" t="s">
        <v>16</v>
      </c>
      <c r="P45" t="s">
        <v>25</v>
      </c>
    </row>
    <row r="46" spans="1:16" x14ac:dyDescent="0.25">
      <c r="A46">
        <f>13*30</f>
        <v>390</v>
      </c>
      <c r="B46">
        <v>2.1299999999999999E-2</v>
      </c>
      <c r="C46">
        <v>5.9000000000000003E-4</v>
      </c>
      <c r="D46" t="s">
        <v>10</v>
      </c>
      <c r="E46">
        <v>16</v>
      </c>
      <c r="F46">
        <v>0.14000000000000001</v>
      </c>
      <c r="G46">
        <v>8.3000000000000004E-2</v>
      </c>
      <c r="H46">
        <f t="shared" si="1"/>
        <v>0.33200000000000002</v>
      </c>
      <c r="I46">
        <v>0.71199999999999997</v>
      </c>
      <c r="J46">
        <f t="shared" si="2"/>
        <v>6.1344000000000008E-3</v>
      </c>
      <c r="K46">
        <f t="shared" si="3"/>
        <v>2.8954368000000006E-3</v>
      </c>
      <c r="L46">
        <f>((B46*(1-0.712))*0.14)/B46</f>
        <v>4.0320000000000009E-2</v>
      </c>
      <c r="M46">
        <f t="shared" si="4"/>
        <v>0.13593600000000003</v>
      </c>
      <c r="N46" t="s">
        <v>15</v>
      </c>
      <c r="O46" t="s">
        <v>19</v>
      </c>
      <c r="P46" t="s">
        <v>25</v>
      </c>
    </row>
    <row r="47" spans="1:16" x14ac:dyDescent="0.25">
      <c r="M47">
        <f>MAX(M25:M46)</f>
        <v>0.22631071291748667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FA61-9441-4C35-82BB-0CC4FBF8E381}">
  <dimension ref="A1:B44"/>
  <sheetViews>
    <sheetView topLeftCell="A3" workbookViewId="0">
      <selection activeCell="A11" sqref="A11"/>
    </sheetView>
  </sheetViews>
  <sheetFormatPr defaultRowHeight="15" x14ac:dyDescent="0.25"/>
  <sheetData>
    <row r="1" spans="1:2" x14ac:dyDescent="0.25">
      <c r="A1" t="s">
        <v>27</v>
      </c>
      <c r="B1" t="s">
        <v>2</v>
      </c>
    </row>
    <row r="2" spans="1:2" x14ac:dyDescent="0.25">
      <c r="A2" s="1">
        <v>6.4640883977900548E-2</v>
      </c>
      <c r="B2" t="s">
        <v>4</v>
      </c>
    </row>
    <row r="3" spans="1:2" x14ac:dyDescent="0.25">
      <c r="A3" s="1">
        <v>9.8447893569844805E-2</v>
      </c>
      <c r="B3" t="s">
        <v>4</v>
      </c>
    </row>
    <row r="4" spans="1:2" x14ac:dyDescent="0.25">
      <c r="A4" s="1">
        <v>0.10407049937054133</v>
      </c>
      <c r="B4" t="s">
        <v>4</v>
      </c>
    </row>
    <row r="5" spans="1:2" x14ac:dyDescent="0.25">
      <c r="A5" s="1">
        <v>0.15527312914430058</v>
      </c>
      <c r="B5" t="s">
        <v>4</v>
      </c>
    </row>
    <row r="6" spans="1:2" x14ac:dyDescent="0.25">
      <c r="A6" s="1">
        <v>0.22856382624891908</v>
      </c>
      <c r="B6" t="s">
        <v>4</v>
      </c>
    </row>
    <row r="7" spans="1:2" x14ac:dyDescent="0.25">
      <c r="A7" s="1">
        <v>0.46477033596981349</v>
      </c>
      <c r="B7" t="s">
        <v>4</v>
      </c>
    </row>
    <row r="8" spans="1:2" x14ac:dyDescent="0.25">
      <c r="A8" s="1">
        <v>0.42810787424286123</v>
      </c>
      <c r="B8" t="s">
        <v>4</v>
      </c>
    </row>
    <row r="9" spans="1:2" x14ac:dyDescent="0.25">
      <c r="A9" s="1">
        <v>0.45793199489381453</v>
      </c>
      <c r="B9" t="s">
        <v>4</v>
      </c>
    </row>
    <row r="10" spans="1:2" x14ac:dyDescent="0.25">
      <c r="A10" s="1">
        <v>0.36556830803406143</v>
      </c>
      <c r="B10" t="s">
        <v>4</v>
      </c>
    </row>
    <row r="11" spans="1:2" x14ac:dyDescent="0.25">
      <c r="A11" s="1">
        <v>0.49678849542431652</v>
      </c>
      <c r="B11" t="s">
        <v>4</v>
      </c>
    </row>
    <row r="12" spans="1:2" x14ac:dyDescent="0.25">
      <c r="A12" s="1">
        <v>9.2526690391459082E-2</v>
      </c>
      <c r="B12" t="s">
        <v>4</v>
      </c>
    </row>
    <row r="13" spans="1:2" x14ac:dyDescent="0.25">
      <c r="A13" s="1">
        <v>0.1344516129032258</v>
      </c>
      <c r="B13" t="s">
        <v>4</v>
      </c>
    </row>
    <row r="14" spans="1:2" x14ac:dyDescent="0.25">
      <c r="A14" s="1">
        <v>5.5491105955143068E-2</v>
      </c>
      <c r="B14" t="s">
        <v>4</v>
      </c>
    </row>
    <row r="15" spans="1:2" x14ac:dyDescent="0.25">
      <c r="A15" s="1">
        <v>0.20935469900389778</v>
      </c>
      <c r="B15" t="s">
        <v>4</v>
      </c>
    </row>
    <row r="16" spans="1:2" x14ac:dyDescent="0.25">
      <c r="A16" s="1">
        <v>0.35034727830722012</v>
      </c>
      <c r="B16" t="s">
        <v>4</v>
      </c>
    </row>
    <row r="17" spans="1:2" x14ac:dyDescent="0.25">
      <c r="A17" s="1">
        <v>0.2772361169987283</v>
      </c>
      <c r="B17" t="s">
        <v>4</v>
      </c>
    </row>
    <row r="18" spans="1:2" x14ac:dyDescent="0.25">
      <c r="A18" s="1">
        <v>0.14044856921887083</v>
      </c>
      <c r="B18" t="s">
        <v>4</v>
      </c>
    </row>
    <row r="19" spans="1:2" x14ac:dyDescent="0.25">
      <c r="A19" s="1">
        <v>0.25480769230769229</v>
      </c>
      <c r="B19" t="s">
        <v>4</v>
      </c>
    </row>
    <row r="20" spans="1:2" x14ac:dyDescent="0.25">
      <c r="A20" s="1">
        <v>0.49716775599128549</v>
      </c>
      <c r="B20" t="s">
        <v>4</v>
      </c>
    </row>
    <row r="21" spans="1:2" x14ac:dyDescent="0.25">
      <c r="A21" s="1">
        <v>0.208744376923684</v>
      </c>
      <c r="B21" t="s">
        <v>4</v>
      </c>
    </row>
    <row r="22" spans="1:2" x14ac:dyDescent="0.25">
      <c r="A22" s="1">
        <v>7.7612655398887648E-2</v>
      </c>
      <c r="B22" t="s">
        <v>15</v>
      </c>
    </row>
    <row r="23" spans="1:2" x14ac:dyDescent="0.25">
      <c r="A23" s="1">
        <v>9.4560780700365527E-2</v>
      </c>
      <c r="B23" t="s">
        <v>15</v>
      </c>
    </row>
    <row r="24" spans="1:2" x14ac:dyDescent="0.25">
      <c r="A24" s="1">
        <v>0.12306190432113953</v>
      </c>
      <c r="B24" t="s">
        <v>15</v>
      </c>
    </row>
    <row r="25" spans="1:2" x14ac:dyDescent="0.25">
      <c r="A25" s="1">
        <v>0.13110465094041493</v>
      </c>
      <c r="B25" t="s">
        <v>15</v>
      </c>
    </row>
    <row r="26" spans="1:2" x14ac:dyDescent="0.25">
      <c r="A26" s="1">
        <v>0.1548706583721535</v>
      </c>
      <c r="B26" t="s">
        <v>15</v>
      </c>
    </row>
    <row r="27" spans="1:2" x14ac:dyDescent="0.25">
      <c r="A27" s="1">
        <v>0.20617979999999997</v>
      </c>
      <c r="B27" t="s">
        <v>15</v>
      </c>
    </row>
    <row r="28" spans="1:2" x14ac:dyDescent="0.25">
      <c r="A28" s="1">
        <v>0.26142242583497338</v>
      </c>
      <c r="B28" t="s">
        <v>15</v>
      </c>
    </row>
    <row r="29" spans="1:2" x14ac:dyDescent="0.25">
      <c r="A29" s="1">
        <v>9.213120000000001E-2</v>
      </c>
      <c r="B29" t="s">
        <v>15</v>
      </c>
    </row>
    <row r="30" spans="1:2" x14ac:dyDescent="0.25">
      <c r="A30" s="1">
        <v>0.13608000000000001</v>
      </c>
      <c r="B30" t="s">
        <v>15</v>
      </c>
    </row>
    <row r="31" spans="1:2" x14ac:dyDescent="0.25">
      <c r="A31" s="1">
        <v>0.15039433233080465</v>
      </c>
      <c r="B31" t="s">
        <v>15</v>
      </c>
    </row>
    <row r="32" spans="1:2" x14ac:dyDescent="0.25">
      <c r="A32" s="1">
        <v>0.178035</v>
      </c>
      <c r="B32" t="s">
        <v>15</v>
      </c>
    </row>
    <row r="33" spans="1:2" x14ac:dyDescent="0.25">
      <c r="A33" s="1">
        <v>0.15952620000000003</v>
      </c>
      <c r="B33" t="s">
        <v>15</v>
      </c>
    </row>
    <row r="34" spans="1:2" x14ac:dyDescent="0.25">
      <c r="A34" s="1">
        <v>0.24524279999999998</v>
      </c>
      <c r="B34" t="s">
        <v>15</v>
      </c>
    </row>
    <row r="35" spans="1:2" x14ac:dyDescent="0.25">
      <c r="A35" s="1">
        <v>5.9812175518272968E-2</v>
      </c>
      <c r="B35" t="s">
        <v>15</v>
      </c>
    </row>
    <row r="36" spans="1:2" x14ac:dyDescent="0.25">
      <c r="A36" s="1">
        <v>4.8246000000000004E-2</v>
      </c>
      <c r="B36" t="s">
        <v>15</v>
      </c>
    </row>
    <row r="37" spans="1:2" x14ac:dyDescent="0.25">
      <c r="A37" s="1">
        <v>5.0803420475937958E-2</v>
      </c>
      <c r="B37" t="s">
        <v>15</v>
      </c>
    </row>
    <row r="38" spans="1:2" x14ac:dyDescent="0.25">
      <c r="A38" s="1">
        <v>6.7797739628713369E-2</v>
      </c>
      <c r="B38" t="s">
        <v>15</v>
      </c>
    </row>
    <row r="39" spans="1:2" x14ac:dyDescent="0.25">
      <c r="A39" s="1">
        <v>5.2553727354103581E-2</v>
      </c>
      <c r="B39" t="s">
        <v>15</v>
      </c>
    </row>
    <row r="40" spans="1:2" x14ac:dyDescent="0.25">
      <c r="A40" s="1">
        <v>0.15024637370547395</v>
      </c>
      <c r="B40" t="s">
        <v>15</v>
      </c>
    </row>
    <row r="41" spans="1:2" x14ac:dyDescent="0.25">
      <c r="A41" s="1">
        <v>0.1848864289527693</v>
      </c>
      <c r="B41" t="s">
        <v>15</v>
      </c>
    </row>
    <row r="42" spans="1:2" x14ac:dyDescent="0.25">
      <c r="A42" s="1">
        <v>0.19608882179348855</v>
      </c>
      <c r="B42" t="s">
        <v>15</v>
      </c>
    </row>
    <row r="43" spans="1:2" x14ac:dyDescent="0.25">
      <c r="A43" s="1">
        <v>0.23155200000000006</v>
      </c>
      <c r="B43" t="s">
        <v>15</v>
      </c>
    </row>
    <row r="44" spans="1:2" x14ac:dyDescent="0.25">
      <c r="A44" s="1">
        <f>MAX(A2:A43)</f>
        <v>0.49716775599128549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</dc:creator>
  <cp:lastModifiedBy>cara</cp:lastModifiedBy>
  <dcterms:created xsi:type="dcterms:W3CDTF">2015-06-05T18:17:20Z</dcterms:created>
  <dcterms:modified xsi:type="dcterms:W3CDTF">2021-12-03T18:39:56Z</dcterms:modified>
</cp:coreProperties>
</file>