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 4\LOG\"/>
    </mc:Choice>
  </mc:AlternateContent>
  <xr:revisionPtr revIDLastSave="0" documentId="13_ncr:1_{D565940B-8A70-4F4A-BF35-A0DA9A2CA91B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Test Laborator 1-2" sheetId="1" r:id="rId1"/>
    <sheet name="Test Laborator 3-4" sheetId="2" r:id="rId2"/>
    <sheet name="Test Laborator 6-7" sheetId="3" r:id="rId3"/>
    <sheet name="Foaie1" sheetId="5" r:id="rId4"/>
    <sheet name="Teste Laborator 8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17" i="5"/>
  <c r="K12" i="5"/>
  <c r="L12" i="5" s="1"/>
  <c r="F11" i="3"/>
  <c r="E12" i="5" l="1"/>
  <c r="E11" i="5"/>
  <c r="E15" i="5" l="1"/>
  <c r="F22" i="5"/>
  <c r="D7" i="2"/>
  <c r="D11" i="2" s="1"/>
  <c r="C23" i="2" s="1"/>
  <c r="D23" i="2" s="1"/>
  <c r="C7" i="2"/>
  <c r="C11" i="2" s="1"/>
  <c r="C22" i="2" s="1"/>
  <c r="D22" i="2" s="1"/>
  <c r="B7" i="2"/>
  <c r="B17" i="2"/>
  <c r="B11" i="2"/>
  <c r="C21" i="2" s="1"/>
  <c r="B63" i="4"/>
  <c r="B62" i="4"/>
  <c r="B61" i="4"/>
  <c r="B60" i="4"/>
  <c r="B59" i="4"/>
  <c r="G58" i="4"/>
  <c r="F58" i="4"/>
  <c r="B54" i="4"/>
  <c r="C62" i="4" s="1"/>
  <c r="G50" i="4"/>
  <c r="H58" i="4" s="1"/>
  <c r="F50" i="4"/>
  <c r="E50" i="4"/>
  <c r="B53" i="4"/>
  <c r="D50" i="4"/>
  <c r="B52" i="4" s="1"/>
  <c r="C60" i="4" s="1"/>
  <c r="C50" i="4"/>
  <c r="D58" i="4" s="1"/>
  <c r="C46" i="4"/>
  <c r="C45" i="4"/>
  <c r="F18" i="4"/>
  <c r="C18" i="4"/>
  <c r="C15" i="4"/>
  <c r="D12" i="4" s="1"/>
  <c r="E12" i="4" s="1"/>
  <c r="C61" i="4"/>
  <c r="E58" i="4"/>
  <c r="B55" i="4"/>
  <c r="G6" i="3"/>
  <c r="G5" i="3"/>
  <c r="G4" i="3"/>
  <c r="G7" i="3" s="1"/>
  <c r="C4" i="3" s="1"/>
  <c r="B24" i="2"/>
  <c r="C17" i="2"/>
  <c r="C16" i="2"/>
  <c r="B18" i="2"/>
  <c r="C18" i="2" s="1"/>
  <c r="C15" i="2"/>
  <c r="D41" i="1"/>
  <c r="B10" i="1"/>
  <c r="B11" i="1"/>
  <c r="B5" i="1" s="1"/>
  <c r="C22" i="1" s="1"/>
  <c r="D22" i="1" s="1"/>
  <c r="B29" i="1" s="1"/>
  <c r="B4" i="1"/>
  <c r="J5" i="3" l="1"/>
  <c r="F12" i="3"/>
  <c r="J3" i="3" s="1"/>
  <c r="B30" i="1"/>
  <c r="B31" i="1" s="1"/>
  <c r="B32" i="1"/>
  <c r="B33" i="1" s="1"/>
  <c r="B34" i="1" s="1"/>
  <c r="D21" i="2"/>
  <c r="D24" i="2" s="1"/>
  <c r="C24" i="2"/>
  <c r="D53" i="4"/>
  <c r="E61" i="4" s="1"/>
  <c r="C53" i="4"/>
  <c r="D61" i="4" s="1"/>
  <c r="E52" i="4"/>
  <c r="F60" i="4" s="1"/>
  <c r="E51" i="4"/>
  <c r="F59" i="4" s="1"/>
  <c r="G60" i="4"/>
  <c r="F53" i="4"/>
  <c r="F52" i="4"/>
  <c r="G61" i="4"/>
  <c r="D7" i="4"/>
  <c r="E7" i="4" s="1"/>
  <c r="D13" i="4"/>
  <c r="E13" i="4" s="1"/>
  <c r="D6" i="4"/>
  <c r="E6" i="4" s="1"/>
  <c r="G54" i="4"/>
  <c r="H62" i="4" s="1"/>
  <c r="G53" i="4"/>
  <c r="H61" i="4" s="1"/>
  <c r="G52" i="4"/>
  <c r="H60" i="4" s="1"/>
  <c r="G51" i="4"/>
  <c r="H59" i="4" s="1"/>
  <c r="D9" i="4"/>
  <c r="E9" i="4" s="1"/>
  <c r="D14" i="4"/>
  <c r="E14" i="4" s="1"/>
  <c r="D54" i="4"/>
  <c r="E62" i="4" s="1"/>
  <c r="E54" i="4"/>
  <c r="F62" i="4" s="1"/>
  <c r="C54" i="4"/>
  <c r="D62" i="4" s="1"/>
  <c r="D8" i="4"/>
  <c r="E8" i="4" s="1"/>
  <c r="D55" i="4"/>
  <c r="E63" i="4" s="1"/>
  <c r="C55" i="4"/>
  <c r="D63" i="4" s="1"/>
  <c r="E55" i="4"/>
  <c r="F63" i="4" s="1"/>
  <c r="F55" i="4"/>
  <c r="G63" i="4" s="1"/>
  <c r="E41" i="1"/>
  <c r="F41" i="1" s="1"/>
  <c r="B45" i="1" s="1"/>
  <c r="B46" i="1" s="1"/>
  <c r="B12" i="1"/>
  <c r="D11" i="4"/>
  <c r="E11" i="4" s="1"/>
  <c r="C63" i="4"/>
  <c r="D5" i="4"/>
  <c r="E5" i="4" s="1"/>
  <c r="E15" i="4" s="1"/>
  <c r="C17" i="4" s="1"/>
  <c r="B20" i="4" s="1"/>
  <c r="B21" i="4" s="1"/>
  <c r="D10" i="4"/>
  <c r="E10" i="4" s="1"/>
  <c r="B51" i="4"/>
  <c r="D51" i="4" s="1"/>
  <c r="E59" i="4" s="1"/>
  <c r="C59" i="4"/>
  <c r="C52" i="4"/>
  <c r="D60" i="4" s="1"/>
  <c r="F64" i="4" l="1"/>
  <c r="F51" i="4"/>
  <c r="G59" i="4" s="1"/>
  <c r="J4" i="3"/>
  <c r="J6" i="3" s="1"/>
  <c r="D64" i="4"/>
  <c r="H64" i="4"/>
  <c r="E64" i="4"/>
  <c r="G64" i="4"/>
</calcChain>
</file>

<file path=xl/sharedStrings.xml><?xml version="1.0" encoding="utf-8"?>
<sst xmlns="http://schemas.openxmlformats.org/spreadsheetml/2006/main" count="199" uniqueCount="148">
  <si>
    <t>DATE:</t>
  </si>
  <si>
    <t>Nr. total retaileri=</t>
  </si>
  <si>
    <t>Cantitate/client=</t>
  </si>
  <si>
    <t>unit.</t>
  </si>
  <si>
    <t>Retaileri Categoria B (75% din producție)=</t>
  </si>
  <si>
    <t>Tranzacție/client=</t>
  </si>
  <si>
    <t>euro</t>
  </si>
  <si>
    <t>Cantitatea medie/client pt. retaileri B=</t>
  </si>
  <si>
    <t>REZOLVARE:</t>
  </si>
  <si>
    <t>Nr. Potențiali clienți (Clienți/magazin/zi)=</t>
  </si>
  <si>
    <t xml:space="preserve">Nr. Clienți care au cumpărat fizic= </t>
  </si>
  <si>
    <t>Cantitatea medie/client=</t>
  </si>
  <si>
    <t>Tranzacție medie/client=</t>
  </si>
  <si>
    <t>Pachet mare=</t>
  </si>
  <si>
    <t>Pachet mic=</t>
  </si>
  <si>
    <t>Preț pachet mare=</t>
  </si>
  <si>
    <t>Preț pachet mic=</t>
  </si>
  <si>
    <t>Cerința 1:</t>
  </si>
  <si>
    <t>Clasa de performanță</t>
  </si>
  <si>
    <t>Repartiție procentuală</t>
  </si>
  <si>
    <t>Cant. vândută</t>
  </si>
  <si>
    <t xml:space="preserve"> (A-Crescute, B-Medii, C- Scăzute)</t>
  </si>
  <si>
    <t>a performanței</t>
  </si>
  <si>
    <t>de 1 ret.B/zi</t>
  </si>
  <si>
    <t>de 1 ret.B/an</t>
  </si>
  <si>
    <t>B</t>
  </si>
  <si>
    <t>(cât pot cumpăra din cant.)</t>
  </si>
  <si>
    <t>1 pachet mic=</t>
  </si>
  <si>
    <t>nr.produse vândute anual de un retailer B=</t>
  </si>
  <si>
    <t>nr.pachete vândute anual de un retailer B=</t>
  </si>
  <si>
    <t>Cost retailer=</t>
  </si>
  <si>
    <t>Venit retailer=</t>
  </si>
  <si>
    <t>Profit=</t>
  </si>
  <si>
    <t>Marja profit=</t>
  </si>
  <si>
    <t>Cerința 2:</t>
  </si>
  <si>
    <t>Prima Jumătate de An</t>
  </si>
  <si>
    <t xml:space="preserve">Repartiție procentuală. a nr. </t>
  </si>
  <si>
    <t>Nr. Retaileri</t>
  </si>
  <si>
    <t xml:space="preserve">Cant. vândută de </t>
  </si>
  <si>
    <t>de retaileri</t>
  </si>
  <si>
    <t>de 1 ret.C/zi</t>
  </si>
  <si>
    <t>TOȚI ret.c/jum. de an</t>
  </si>
  <si>
    <t>C</t>
  </si>
  <si>
    <t>1 pachet mare=</t>
  </si>
  <si>
    <t>nr.produse vândute anual de un retailer C=</t>
  </si>
  <si>
    <t>nr.pachete vândute anual de un retailer C=</t>
  </si>
  <si>
    <t>Tabel 1: Consum de LMP pentru 1l/kg Produs Finit</t>
  </si>
  <si>
    <t>Produs finit/materie prima</t>
  </si>
  <si>
    <t xml:space="preserve">Lapte </t>
  </si>
  <si>
    <t>Brânză</t>
  </si>
  <si>
    <t>Unt</t>
  </si>
  <si>
    <t>Tabel 13: Cerere lunară</t>
  </si>
  <si>
    <t>Profit/unitate</t>
  </si>
  <si>
    <t>Lapte MP</t>
  </si>
  <si>
    <t>Produs finit</t>
  </si>
  <si>
    <t>Cantitate</t>
  </si>
  <si>
    <t>Valoare</t>
  </si>
  <si>
    <t>Cutii lapte</t>
  </si>
  <si>
    <t>Tabel 2: Cantități brute de Produs Finit</t>
  </si>
  <si>
    <t>Pachete brânză</t>
  </si>
  <si>
    <t>Produs finit/materie primă</t>
  </si>
  <si>
    <t>Pachete unt</t>
  </si>
  <si>
    <t>Lapte calitatea A</t>
  </si>
  <si>
    <t>Tabel 3: Cantități finite de Produse Ambalate</t>
  </si>
  <si>
    <t>Tabel 14: Nr. cicluri de producție conform cerere</t>
  </si>
  <si>
    <t xml:space="preserve">Produs </t>
  </si>
  <si>
    <t>Nr. cicluri</t>
  </si>
  <si>
    <t>Nr. cicluri r.</t>
  </si>
  <si>
    <t>Lapte</t>
  </si>
  <si>
    <t>Total</t>
  </si>
  <si>
    <t>Tabel 15: Reteța lunară optimă de producție</t>
  </si>
  <si>
    <t>Produs</t>
  </si>
  <si>
    <t>Nr.Prod.Amb./Luna</t>
  </si>
  <si>
    <t>Profit lunar</t>
  </si>
  <si>
    <t>Dt1=</t>
  </si>
  <si>
    <t>C depozitare=Q/2*(c*h)=</t>
  </si>
  <si>
    <t>D=</t>
  </si>
  <si>
    <t>Dt2=</t>
  </si>
  <si>
    <t>C aprov.=B*(D/Q)=</t>
  </si>
  <si>
    <t>B=</t>
  </si>
  <si>
    <t>Dt3=</t>
  </si>
  <si>
    <t>C achiziție=c*D=</t>
  </si>
  <si>
    <t>c=</t>
  </si>
  <si>
    <t>Dt4=</t>
  </si>
  <si>
    <t>CT= costuri totale=</t>
  </si>
  <si>
    <t>h=</t>
  </si>
  <si>
    <t>D an=</t>
  </si>
  <si>
    <t>Q = sqrt [(2*D*B)/(c*h)]</t>
  </si>
  <si>
    <t>Q^2=(2*D*B)/(c*h)=</t>
  </si>
  <si>
    <t>Q=</t>
  </si>
  <si>
    <t>H</t>
  </si>
  <si>
    <t>=</t>
  </si>
  <si>
    <t>cost depozitare/unitate/an</t>
  </si>
  <si>
    <t>V.R.</t>
  </si>
  <si>
    <t>2D/Q</t>
  </si>
  <si>
    <t>SQRT[(2*D*B)/c*h)]</t>
  </si>
  <si>
    <t>Q</t>
  </si>
  <si>
    <t>mărimea lotului economic</t>
  </si>
  <si>
    <t>(lot prin care obținem costuri toale cu stocurile, minime)</t>
  </si>
  <si>
    <t>D</t>
  </si>
  <si>
    <t>Cererea totală anuală</t>
  </si>
  <si>
    <t>Costul unei aprovizionări</t>
  </si>
  <si>
    <t>c</t>
  </si>
  <si>
    <t>Costul de achizitie pe unitate</t>
  </si>
  <si>
    <t>h</t>
  </si>
  <si>
    <t>Coeficientul de depozitare</t>
  </si>
  <si>
    <t>(procentul costurilor de depozitare din valoarea articolelor depozitate)</t>
  </si>
  <si>
    <t>Zi</t>
  </si>
  <si>
    <t>Cerere</t>
  </si>
  <si>
    <t>xi-x</t>
  </si>
  <si>
    <t>(xi-x)2</t>
  </si>
  <si>
    <t>Medie=</t>
  </si>
  <si>
    <t>Total=</t>
  </si>
  <si>
    <t>Abatere Standard=</t>
  </si>
  <si>
    <t xml:space="preserve"> P (Probabilitate)=</t>
  </si>
  <si>
    <t>Z=</t>
  </si>
  <si>
    <t>n (număr de zile)=</t>
  </si>
  <si>
    <t>TA (timp de aprovizionare)=</t>
  </si>
  <si>
    <t>Stoc de siguranță=</t>
  </si>
  <si>
    <t>Prag declanșare=</t>
  </si>
  <si>
    <t>Probabilitate</t>
  </si>
  <si>
    <t>Cost de producție=</t>
  </si>
  <si>
    <t>Preț de vânzare=</t>
  </si>
  <si>
    <t>Preț de revânzare=</t>
  </si>
  <si>
    <t>Co=</t>
  </si>
  <si>
    <t>Cost overestimated</t>
  </si>
  <si>
    <t>Cu=</t>
  </si>
  <si>
    <t>Cost underestimated</t>
  </si>
  <si>
    <t>COSTURI TOTALE</t>
  </si>
  <si>
    <t>PRIMUL TEST:</t>
  </si>
  <si>
    <t>AL DOILEA TEST:</t>
  </si>
  <si>
    <t>S1</t>
  </si>
  <si>
    <t>S2</t>
  </si>
  <si>
    <t>S3</t>
  </si>
  <si>
    <t>S4</t>
  </si>
  <si>
    <t>S5</t>
  </si>
  <si>
    <t>S6</t>
  </si>
  <si>
    <t>S7</t>
  </si>
  <si>
    <t>S8</t>
  </si>
  <si>
    <t>CF</t>
  </si>
  <si>
    <t>CV</t>
  </si>
  <si>
    <t>nr flota</t>
  </si>
  <si>
    <t>CF total</t>
  </si>
  <si>
    <t>Cerere vehicule</t>
  </si>
  <si>
    <t>Diferenta de distante</t>
  </si>
  <si>
    <t>Numar de porti necesare</t>
  </si>
  <si>
    <t>R:</t>
  </si>
  <si>
    <t>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</si>
</sst>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FF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 applyAlignment="1">
      <alignment horizontal="left"/>
    </xf>
    <xf numFmtId="0" fontId="0" fillId="4" borderId="5" xfId="0" applyFill="1" applyBorder="1"/>
    <xf numFmtId="1" fontId="0" fillId="0" borderId="1" xfId="0" applyNumberFormat="1" applyBorder="1"/>
    <xf numFmtId="1" fontId="0" fillId="5" borderId="3" xfId="0" applyNumberFormat="1" applyFill="1" applyBorder="1"/>
    <xf numFmtId="0" fontId="0" fillId="6" borderId="3" xfId="0" applyFill="1" applyBorder="1"/>
    <xf numFmtId="164" fontId="0" fillId="7" borderId="3" xfId="0" applyNumberFormat="1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/>
    <xf numFmtId="2" fontId="0" fillId="11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515612</xdr:colOff>
      <xdr:row>7</xdr:row>
      <xdr:rowOff>22860</xdr:rowOff>
    </xdr:from>
    <xdr:to>
      <xdr:col>11</xdr:col>
      <xdr:colOff>548947</xdr:colOff>
      <xdr:row>33</xdr:row>
      <xdr:rowOff>53744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AAC3F393-86FC-422C-B18A-9DAD7B9EE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1932" y="1303020"/>
          <a:ext cx="3690935" cy="4785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20</xdr:col>
      <xdr:colOff>283045</xdr:colOff>
      <xdr:row>13</xdr:row>
      <xdr:rowOff>166255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82AF0F9B-DD12-438C-9847-E1F9B825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65760"/>
          <a:ext cx="5769445" cy="2177935"/>
        </a:xfrm>
        <a:prstGeom prst="rect">
          <a:avLst/>
        </a:prstGeom>
      </xdr:spPr>
    </xdr:pic>
    <xdr:clientData/>
  </xdr:twoCellAnchor>
  <xdr:twoCellAnchor editAs="oneCell">
    <xdr:from>
      <xdr:col>11</xdr:col>
      <xdr:colOff>27710</xdr:colOff>
      <xdr:row>15</xdr:row>
      <xdr:rowOff>124692</xdr:rowOff>
    </xdr:from>
    <xdr:to>
      <xdr:col>20</xdr:col>
      <xdr:colOff>277091</xdr:colOff>
      <xdr:row>27</xdr:row>
      <xdr:rowOff>119831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E2656BDD-662D-4CE3-BEA3-03F3790C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3310" y="2867892"/>
          <a:ext cx="5735781" cy="2189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16</xdr:col>
      <xdr:colOff>561524</xdr:colOff>
      <xdr:row>22</xdr:row>
      <xdr:rowOff>3341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28E3E474-D998-4D19-B8D8-3DDEDFE7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365760"/>
          <a:ext cx="3609524" cy="375238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22</xdr:col>
      <xdr:colOff>9219</xdr:colOff>
      <xdr:row>31</xdr:row>
      <xdr:rowOff>14554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015CDBC8-B8FE-4E43-B1B4-6D656D43D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100" y="365760"/>
          <a:ext cx="2447619" cy="5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457200</xdr:colOff>
      <xdr:row>4</xdr:row>
      <xdr:rowOff>60960</xdr:rowOff>
    </xdr:from>
    <xdr:to>
      <xdr:col>21</xdr:col>
      <xdr:colOff>380629</xdr:colOff>
      <xdr:row>28</xdr:row>
      <xdr:rowOff>43269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D9F23C4-F1E2-4DD2-8FF6-0788E3F9F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6820" y="426720"/>
          <a:ext cx="2971429" cy="43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487680</xdr:colOff>
      <xdr:row>3</xdr:row>
      <xdr:rowOff>160020</xdr:rowOff>
    </xdr:from>
    <xdr:to>
      <xdr:col>16</xdr:col>
      <xdr:colOff>173013</xdr:colOff>
      <xdr:row>31</xdr:row>
      <xdr:rowOff>77475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9ADD138C-7191-485F-9A7E-1487ACF9B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342900"/>
          <a:ext cx="2733333" cy="5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441960</xdr:colOff>
      <xdr:row>5</xdr:row>
      <xdr:rowOff>106680</xdr:rowOff>
    </xdr:from>
    <xdr:to>
      <xdr:col>11</xdr:col>
      <xdr:colOff>114300</xdr:colOff>
      <xdr:row>27</xdr:row>
      <xdr:rowOff>25507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A0DFDBB6-6200-4ACB-8A33-AA3DF6792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5580" y="655320"/>
          <a:ext cx="2720340" cy="3942187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29A50C0E-4C13-41B3-BF92-DC1706125F4D}"/>
            </a:ext>
          </a:extLst>
        </xdr:cNvPr>
        <xdr:cNvSpPr>
          <a:spLocks noChangeAspect="1" noChangeArrowheads="1"/>
        </xdr:cNvSpPr>
      </xdr:nvSpPr>
      <xdr:spPr bwMode="auto">
        <a:xfrm>
          <a:off x="742950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94408</xdr:colOff>
      <xdr:row>33</xdr:row>
      <xdr:rowOff>114300</xdr:rowOff>
    </xdr:from>
    <xdr:ext cx="2803096" cy="3916680"/>
    <xdr:pic>
      <xdr:nvPicPr>
        <xdr:cNvPr id="6" name="Imagine 5">
          <a:extLst>
            <a:ext uri="{FF2B5EF4-FFF2-40B4-BE49-F238E27FC236}">
              <a16:creationId xmlns:a16="http://schemas.microsoft.com/office/drawing/2014/main" id="{7FEB04A5-F1B4-4321-BF6D-B7EB87A25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t="13325" b="23839"/>
        <a:stretch/>
      </xdr:blipFill>
      <xdr:spPr>
        <a:xfrm>
          <a:off x="9352708" y="114300"/>
          <a:ext cx="2803096" cy="3916680"/>
        </a:xfrm>
        <a:prstGeom prst="rect">
          <a:avLst/>
        </a:prstGeom>
      </xdr:spPr>
    </xdr:pic>
    <xdr:clientData/>
  </xdr:oneCellAnchor>
  <xdr:oneCellAnchor>
    <xdr:from>
      <xdr:col>10</xdr:col>
      <xdr:colOff>60960</xdr:colOff>
      <xdr:row>33</xdr:row>
      <xdr:rowOff>99060</xdr:rowOff>
    </xdr:from>
    <xdr:ext cx="2491956" cy="5037257"/>
    <xdr:pic>
      <xdr:nvPicPr>
        <xdr:cNvPr id="7" name="Imagine 6">
          <a:extLst>
            <a:ext uri="{FF2B5EF4-FFF2-40B4-BE49-F238E27FC236}">
              <a16:creationId xmlns:a16="http://schemas.microsoft.com/office/drawing/2014/main" id="{E05CB6C9-AE23-46F7-B8AC-D5EC115BB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0860" y="99060"/>
          <a:ext cx="2491956" cy="50372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10" workbookViewId="0">
      <selection activeCell="A31" sqref="A31"/>
    </sheetView>
  </sheetViews>
  <sheetFormatPr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B3">
        <v>180000</v>
      </c>
      <c r="D3" t="s">
        <v>2</v>
      </c>
      <c r="G3">
        <v>4</v>
      </c>
      <c r="H3" t="s">
        <v>3</v>
      </c>
    </row>
    <row r="4" spans="1:8" x14ac:dyDescent="0.3">
      <c r="A4" t="s">
        <v>4</v>
      </c>
      <c r="B4">
        <f>0.25*B3</f>
        <v>45000</v>
      </c>
      <c r="D4" t="s">
        <v>5</v>
      </c>
      <c r="G4">
        <v>5</v>
      </c>
      <c r="H4" t="s">
        <v>6</v>
      </c>
    </row>
    <row r="5" spans="1:8" x14ac:dyDescent="0.3">
      <c r="A5" t="s">
        <v>7</v>
      </c>
      <c r="B5">
        <f>0.75*B11</f>
        <v>231</v>
      </c>
    </row>
    <row r="7" spans="1:8" x14ac:dyDescent="0.3">
      <c r="A7" s="1" t="s">
        <v>8</v>
      </c>
    </row>
    <row r="9" spans="1:8" x14ac:dyDescent="0.3">
      <c r="A9" s="2" t="s">
        <v>9</v>
      </c>
      <c r="B9" s="3">
        <v>220</v>
      </c>
    </row>
    <row r="10" spans="1:8" x14ac:dyDescent="0.3">
      <c r="A10" s="2" t="s">
        <v>10</v>
      </c>
      <c r="B10" s="3">
        <f>0.35*B9</f>
        <v>77</v>
      </c>
    </row>
    <row r="11" spans="1:8" x14ac:dyDescent="0.3">
      <c r="A11" s="2" t="s">
        <v>11</v>
      </c>
      <c r="B11" s="3">
        <f>G3*B10</f>
        <v>308</v>
      </c>
      <c r="C11" t="s">
        <v>3</v>
      </c>
    </row>
    <row r="12" spans="1:8" x14ac:dyDescent="0.3">
      <c r="A12" s="2" t="s">
        <v>12</v>
      </c>
      <c r="B12" s="4">
        <f>B11*G4</f>
        <v>1540</v>
      </c>
      <c r="C12" t="s">
        <v>6</v>
      </c>
    </row>
    <row r="13" spans="1:8" x14ac:dyDescent="0.3">
      <c r="A13" s="5"/>
    </row>
    <row r="14" spans="1:8" x14ac:dyDescent="0.3">
      <c r="A14" s="5" t="s">
        <v>13</v>
      </c>
      <c r="B14">
        <v>700</v>
      </c>
      <c r="C14" t="s">
        <v>3</v>
      </c>
    </row>
    <row r="15" spans="1:8" x14ac:dyDescent="0.3">
      <c r="A15" s="5" t="s">
        <v>14</v>
      </c>
      <c r="B15">
        <v>350</v>
      </c>
      <c r="C15" t="s">
        <v>3</v>
      </c>
    </row>
    <row r="16" spans="1:8" x14ac:dyDescent="0.3">
      <c r="A16" s="5" t="s">
        <v>15</v>
      </c>
      <c r="B16">
        <v>340</v>
      </c>
      <c r="C16" t="s">
        <v>6</v>
      </c>
    </row>
    <row r="17" spans="1:4" x14ac:dyDescent="0.3">
      <c r="A17" s="5" t="s">
        <v>16</v>
      </c>
      <c r="B17">
        <v>120</v>
      </c>
      <c r="C17" t="s">
        <v>6</v>
      </c>
    </row>
    <row r="19" spans="1:4" x14ac:dyDescent="0.3">
      <c r="A19" s="1" t="s">
        <v>17</v>
      </c>
    </row>
    <row r="20" spans="1:4" x14ac:dyDescent="0.3">
      <c r="A20" s="2" t="s">
        <v>18</v>
      </c>
      <c r="B20" s="6" t="s">
        <v>19</v>
      </c>
      <c r="C20" s="6" t="s">
        <v>20</v>
      </c>
      <c r="D20" s="6" t="s">
        <v>20</v>
      </c>
    </row>
    <row r="21" spans="1:4" ht="43.2" x14ac:dyDescent="0.3">
      <c r="A21" s="7" t="s">
        <v>21</v>
      </c>
      <c r="B21" s="8" t="s">
        <v>22</v>
      </c>
      <c r="C21" s="6" t="s">
        <v>23</v>
      </c>
      <c r="D21" s="6" t="s">
        <v>24</v>
      </c>
    </row>
    <row r="22" spans="1:4" x14ac:dyDescent="0.3">
      <c r="A22" s="3" t="s">
        <v>25</v>
      </c>
      <c r="B22" s="9">
        <v>0.75</v>
      </c>
      <c r="C22" s="4">
        <f>B5</f>
        <v>231</v>
      </c>
      <c r="D22" s="4">
        <f>C22*260</f>
        <v>60060</v>
      </c>
    </row>
    <row r="23" spans="1:4" x14ac:dyDescent="0.3">
      <c r="B23" t="s">
        <v>26</v>
      </c>
    </row>
    <row r="27" spans="1:4" x14ac:dyDescent="0.3">
      <c r="A27" s="10" t="s">
        <v>16</v>
      </c>
      <c r="B27" s="4">
        <v>120</v>
      </c>
    </row>
    <row r="28" spans="1:4" x14ac:dyDescent="0.3">
      <c r="A28" s="10" t="s">
        <v>27</v>
      </c>
      <c r="B28" s="4">
        <v>350</v>
      </c>
    </row>
    <row r="29" spans="1:4" x14ac:dyDescent="0.3">
      <c r="A29" s="10" t="s">
        <v>28</v>
      </c>
      <c r="B29" s="4">
        <f>D22</f>
        <v>60060</v>
      </c>
    </row>
    <row r="30" spans="1:4" x14ac:dyDescent="0.3">
      <c r="A30" s="10" t="s">
        <v>29</v>
      </c>
      <c r="B30" s="4">
        <f>B29/B15</f>
        <v>171.6</v>
      </c>
    </row>
    <row r="31" spans="1:4" x14ac:dyDescent="0.3">
      <c r="A31" s="10" t="s">
        <v>30</v>
      </c>
      <c r="B31" s="4">
        <f>B30*B17</f>
        <v>20592</v>
      </c>
    </row>
    <row r="32" spans="1:4" x14ac:dyDescent="0.3">
      <c r="A32" s="10" t="s">
        <v>31</v>
      </c>
      <c r="B32" s="4">
        <f>B29*G4</f>
        <v>300300</v>
      </c>
    </row>
    <row r="33" spans="1:6" x14ac:dyDescent="0.3">
      <c r="A33" s="10" t="s">
        <v>32</v>
      </c>
      <c r="B33" s="4">
        <f>B32-B31</f>
        <v>279708</v>
      </c>
    </row>
    <row r="34" spans="1:6" x14ac:dyDescent="0.3">
      <c r="A34" s="10" t="s">
        <v>33</v>
      </c>
      <c r="B34" s="4">
        <f>B33/B32*100</f>
        <v>93.142857142857139</v>
      </c>
    </row>
    <row r="36" spans="1:6" x14ac:dyDescent="0.3">
      <c r="A36" s="1" t="s">
        <v>34</v>
      </c>
    </row>
    <row r="38" spans="1:6" ht="15.6" x14ac:dyDescent="0.3">
      <c r="A38" s="41" t="s">
        <v>35</v>
      </c>
      <c r="B38" s="41"/>
      <c r="C38" s="41"/>
      <c r="D38" s="41"/>
      <c r="E38" s="41"/>
      <c r="F38" s="41"/>
    </row>
    <row r="39" spans="1:6" x14ac:dyDescent="0.3">
      <c r="A39" s="2" t="s">
        <v>18</v>
      </c>
      <c r="B39" s="6" t="s">
        <v>19</v>
      </c>
      <c r="C39" s="6" t="s">
        <v>36</v>
      </c>
      <c r="D39" s="6" t="s">
        <v>37</v>
      </c>
      <c r="E39" s="6" t="s">
        <v>20</v>
      </c>
      <c r="F39" s="6" t="s">
        <v>38</v>
      </c>
    </row>
    <row r="40" spans="1:6" ht="43.2" x14ac:dyDescent="0.3">
      <c r="A40" s="7" t="s">
        <v>21</v>
      </c>
      <c r="B40" s="8" t="s">
        <v>22</v>
      </c>
      <c r="C40" s="8" t="s">
        <v>39</v>
      </c>
      <c r="D40" s="6"/>
      <c r="E40" s="6" t="s">
        <v>40</v>
      </c>
      <c r="F40" s="6" t="s">
        <v>41</v>
      </c>
    </row>
    <row r="41" spans="1:6" x14ac:dyDescent="0.3">
      <c r="A41" s="3" t="s">
        <v>42</v>
      </c>
      <c r="B41" s="9">
        <v>0.3</v>
      </c>
      <c r="C41" s="11">
        <v>0.35</v>
      </c>
      <c r="D41" s="4">
        <f>C41*B3</f>
        <v>62999.999999999993</v>
      </c>
      <c r="E41" s="4">
        <f>B41*B11</f>
        <v>92.399999999999991</v>
      </c>
      <c r="F41" s="4">
        <f>E41*260*D41</f>
        <v>1513511999.9999995</v>
      </c>
    </row>
    <row r="44" spans="1:6" x14ac:dyDescent="0.3">
      <c r="A44" s="10" t="s">
        <v>43</v>
      </c>
      <c r="B44" s="4">
        <v>1100</v>
      </c>
    </row>
    <row r="45" spans="1:6" x14ac:dyDescent="0.3">
      <c r="A45" s="10" t="s">
        <v>44</v>
      </c>
      <c r="B45" s="4">
        <f>F41</f>
        <v>1513511999.9999995</v>
      </c>
    </row>
    <row r="46" spans="1:6" x14ac:dyDescent="0.3">
      <c r="A46" s="10" t="s">
        <v>45</v>
      </c>
      <c r="B46" s="4">
        <f>B45/B14</f>
        <v>2162159.9999999995</v>
      </c>
    </row>
  </sheetData>
  <mergeCells count="1">
    <mergeCell ref="A38:F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D7" sqref="D7"/>
    </sheetView>
  </sheetViews>
  <sheetFormatPr defaultRowHeight="14.4" x14ac:dyDescent="0.3"/>
  <cols>
    <col min="2" max="2" width="8.6640625" bestFit="1" customWidth="1"/>
    <col min="6" max="6" width="15" customWidth="1"/>
    <col min="9" max="9" width="13.5546875" customWidth="1"/>
  </cols>
  <sheetData>
    <row r="1" spans="1:10" x14ac:dyDescent="0.3">
      <c r="A1" s="12" t="s">
        <v>46</v>
      </c>
    </row>
    <row r="2" spans="1:10" x14ac:dyDescent="0.3">
      <c r="A2" s="13" t="s">
        <v>47</v>
      </c>
      <c r="B2" s="13" t="s">
        <v>48</v>
      </c>
      <c r="C2" s="14" t="s">
        <v>49</v>
      </c>
      <c r="D2" s="15" t="s">
        <v>50</v>
      </c>
      <c r="F2" s="12" t="s">
        <v>51</v>
      </c>
      <c r="G2" s="12"/>
      <c r="I2" t="s">
        <v>52</v>
      </c>
    </row>
    <row r="3" spans="1:10" x14ac:dyDescent="0.3">
      <c r="A3" s="16" t="s">
        <v>53</v>
      </c>
      <c r="B3" s="38">
        <v>3.2</v>
      </c>
      <c r="C3" s="17">
        <v>4</v>
      </c>
      <c r="D3" s="39">
        <v>9.6</v>
      </c>
      <c r="F3" s="18" t="s">
        <v>54</v>
      </c>
      <c r="G3" s="18" t="s">
        <v>55</v>
      </c>
      <c r="I3" s="18" t="s">
        <v>54</v>
      </c>
      <c r="J3" s="18" t="s">
        <v>56</v>
      </c>
    </row>
    <row r="4" spans="1:10" x14ac:dyDescent="0.3">
      <c r="F4" s="4" t="s">
        <v>57</v>
      </c>
      <c r="G4" s="4">
        <v>240000</v>
      </c>
      <c r="I4" s="4" t="s">
        <v>57</v>
      </c>
      <c r="J4" s="4">
        <v>4</v>
      </c>
    </row>
    <row r="5" spans="1:10" x14ac:dyDescent="0.3">
      <c r="A5" s="12" t="s">
        <v>58</v>
      </c>
      <c r="F5" s="4" t="s">
        <v>59</v>
      </c>
      <c r="G5" s="4">
        <v>480000</v>
      </c>
      <c r="I5" s="4" t="s">
        <v>59</v>
      </c>
      <c r="J5" s="4">
        <v>13</v>
      </c>
    </row>
    <row r="6" spans="1:10" x14ac:dyDescent="0.3">
      <c r="A6" s="19" t="s">
        <v>60</v>
      </c>
      <c r="B6" s="19" t="s">
        <v>48</v>
      </c>
      <c r="C6" s="19" t="s">
        <v>49</v>
      </c>
      <c r="D6" s="19" t="s">
        <v>50</v>
      </c>
      <c r="F6" s="4" t="s">
        <v>61</v>
      </c>
      <c r="G6" s="4">
        <v>960000</v>
      </c>
      <c r="I6" s="4" t="s">
        <v>61</v>
      </c>
      <c r="J6" s="4">
        <v>17</v>
      </c>
    </row>
    <row r="7" spans="1:10" x14ac:dyDescent="0.3">
      <c r="A7" s="4" t="s">
        <v>62</v>
      </c>
      <c r="B7" s="20">
        <f>72000/B3</f>
        <v>22500</v>
      </c>
      <c r="C7" s="20">
        <f>72000/C3</f>
        <v>18000</v>
      </c>
      <c r="D7" s="20">
        <f>72000/D3</f>
        <v>7500</v>
      </c>
    </row>
    <row r="9" spans="1:10" x14ac:dyDescent="0.3">
      <c r="A9" s="12" t="s">
        <v>63</v>
      </c>
    </row>
    <row r="10" spans="1:10" x14ac:dyDescent="0.3">
      <c r="A10" s="13" t="s">
        <v>47</v>
      </c>
      <c r="B10" s="13" t="s">
        <v>48</v>
      </c>
      <c r="C10" s="13" t="s">
        <v>49</v>
      </c>
      <c r="D10" s="13" t="s">
        <v>50</v>
      </c>
    </row>
    <row r="11" spans="1:10" x14ac:dyDescent="0.3">
      <c r="A11" s="16" t="s">
        <v>62</v>
      </c>
      <c r="B11" s="21">
        <f>B7</f>
        <v>22500</v>
      </c>
      <c r="C11" s="22">
        <f>C7/0.5</f>
        <v>36000</v>
      </c>
      <c r="D11" s="23">
        <f>D7/0.25</f>
        <v>30000</v>
      </c>
    </row>
    <row r="13" spans="1:10" x14ac:dyDescent="0.3">
      <c r="A13" s="12" t="s">
        <v>64</v>
      </c>
    </row>
    <row r="14" spans="1:10" x14ac:dyDescent="0.3">
      <c r="A14" s="15" t="s">
        <v>65</v>
      </c>
      <c r="B14" s="15" t="s">
        <v>66</v>
      </c>
      <c r="C14" s="15" t="s">
        <v>67</v>
      </c>
    </row>
    <row r="15" spans="1:10" x14ac:dyDescent="0.3">
      <c r="A15" s="4" t="s">
        <v>68</v>
      </c>
      <c r="B15" s="24">
        <v>13</v>
      </c>
      <c r="C15" s="4">
        <f>ROUNDDOWN(B15,0)</f>
        <v>13</v>
      </c>
    </row>
    <row r="16" spans="1:10" x14ac:dyDescent="0.3">
      <c r="A16" s="4" t="s">
        <v>49</v>
      </c>
      <c r="B16" s="24">
        <v>6</v>
      </c>
      <c r="C16" s="4">
        <f t="shared" ref="C16:C18" si="0">ROUNDDOWN(B16,0)</f>
        <v>6</v>
      </c>
    </row>
    <row r="17" spans="1:4" x14ac:dyDescent="0.3">
      <c r="A17" s="4" t="s">
        <v>50</v>
      </c>
      <c r="B17" s="24">
        <f>12</f>
        <v>12</v>
      </c>
      <c r="C17" s="4">
        <f t="shared" si="0"/>
        <v>12</v>
      </c>
    </row>
    <row r="18" spans="1:4" x14ac:dyDescent="0.3">
      <c r="A18" s="4" t="s">
        <v>69</v>
      </c>
      <c r="B18" s="24">
        <f>SUM(B15:B17)</f>
        <v>31</v>
      </c>
      <c r="C18" s="4">
        <f t="shared" si="0"/>
        <v>31</v>
      </c>
    </row>
    <row r="19" spans="1:4" x14ac:dyDescent="0.3">
      <c r="A19" s="12" t="s">
        <v>70</v>
      </c>
    </row>
    <row r="20" spans="1:4" x14ac:dyDescent="0.3">
      <c r="A20" s="15" t="s">
        <v>71</v>
      </c>
      <c r="B20" s="15" t="s">
        <v>66</v>
      </c>
      <c r="C20" s="15" t="s">
        <v>72</v>
      </c>
      <c r="D20" s="15" t="s">
        <v>73</v>
      </c>
    </row>
    <row r="21" spans="1:4" x14ac:dyDescent="0.3">
      <c r="A21" s="4" t="s">
        <v>68</v>
      </c>
      <c r="B21" s="24">
        <v>0</v>
      </c>
      <c r="C21" s="4">
        <f>B21*B11</f>
        <v>0</v>
      </c>
      <c r="D21" s="4">
        <f>C21*J4</f>
        <v>0</v>
      </c>
    </row>
    <row r="22" spans="1:4" x14ac:dyDescent="0.3">
      <c r="A22" s="4" t="s">
        <v>49</v>
      </c>
      <c r="B22" s="24">
        <v>0</v>
      </c>
      <c r="C22" s="4">
        <f>B22*C11</f>
        <v>0</v>
      </c>
      <c r="D22" s="4">
        <f>C22*J5</f>
        <v>0</v>
      </c>
    </row>
    <row r="23" spans="1:4" x14ac:dyDescent="0.3">
      <c r="A23" s="4" t="s">
        <v>50</v>
      </c>
      <c r="B23" s="24">
        <v>30</v>
      </c>
      <c r="C23" s="25">
        <f>B23*D11</f>
        <v>900000</v>
      </c>
      <c r="D23" s="25">
        <f>C23*J6</f>
        <v>15300000</v>
      </c>
    </row>
    <row r="24" spans="1:4" x14ac:dyDescent="0.3">
      <c r="A24" s="4" t="s">
        <v>69</v>
      </c>
      <c r="B24" s="24">
        <f>SUM(B21:B23)</f>
        <v>30</v>
      </c>
      <c r="C24" s="4">
        <f>SUM(C21:C23)</f>
        <v>900000</v>
      </c>
      <c r="D24" s="24">
        <f>SUM(D21:D23)</f>
        <v>15300000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27"/>
  <sheetViews>
    <sheetView topLeftCell="A2" workbookViewId="0">
      <selection activeCell="I17" sqref="I17"/>
    </sheetView>
  </sheetViews>
  <sheetFormatPr defaultRowHeight="14.4" x14ac:dyDescent="0.3"/>
  <cols>
    <col min="5" max="5" width="20.5546875" bestFit="1" customWidth="1"/>
    <col min="9" max="9" width="21.109375" bestFit="1" customWidth="1"/>
  </cols>
  <sheetData>
    <row r="3" spans="1:10" x14ac:dyDescent="0.3">
      <c r="F3" t="s">
        <v>74</v>
      </c>
      <c r="G3">
        <v>2000</v>
      </c>
      <c r="I3" t="s">
        <v>75</v>
      </c>
      <c r="J3">
        <f>(F12/2)*C6*C7</f>
        <v>8407.5858604001187</v>
      </c>
    </row>
    <row r="4" spans="1:10" x14ac:dyDescent="0.3">
      <c r="B4" t="s">
        <v>76</v>
      </c>
      <c r="C4">
        <f>G7</f>
        <v>13000</v>
      </c>
      <c r="F4" t="s">
        <v>77</v>
      </c>
      <c r="G4">
        <f>G3*2</f>
        <v>4000</v>
      </c>
      <c r="I4" t="s">
        <v>78</v>
      </c>
      <c r="J4">
        <f>C5*(C4/F12)</f>
        <v>8407.5858604001187</v>
      </c>
    </row>
    <row r="5" spans="1:10" x14ac:dyDescent="0.3">
      <c r="B5" t="s">
        <v>79</v>
      </c>
      <c r="C5">
        <v>580</v>
      </c>
      <c r="F5" t="s">
        <v>80</v>
      </c>
      <c r="G5">
        <f>G3*3</f>
        <v>6000</v>
      </c>
      <c r="I5" t="s">
        <v>81</v>
      </c>
      <c r="J5">
        <f>C6*C4</f>
        <v>975000</v>
      </c>
    </row>
    <row r="6" spans="1:10" x14ac:dyDescent="0.3">
      <c r="B6" t="s">
        <v>82</v>
      </c>
      <c r="C6">
        <v>75</v>
      </c>
      <c r="F6" t="s">
        <v>83</v>
      </c>
      <c r="G6">
        <f>G3/2</f>
        <v>1000</v>
      </c>
      <c r="I6" t="s">
        <v>84</v>
      </c>
      <c r="J6">
        <f>SUM(J3:J5)</f>
        <v>991815.17172080022</v>
      </c>
    </row>
    <row r="7" spans="1:10" x14ac:dyDescent="0.3">
      <c r="B7" t="s">
        <v>85</v>
      </c>
      <c r="C7">
        <v>0.25</v>
      </c>
      <c r="F7" t="s">
        <v>86</v>
      </c>
      <c r="G7">
        <f>SUM(G3:G6)</f>
        <v>13000</v>
      </c>
    </row>
    <row r="10" spans="1:10" x14ac:dyDescent="0.3">
      <c r="E10" t="s">
        <v>87</v>
      </c>
    </row>
    <row r="11" spans="1:10" x14ac:dyDescent="0.3">
      <c r="E11" t="s">
        <v>88</v>
      </c>
      <c r="F11">
        <f>(2*C4*C5)/(C6*C7)</f>
        <v>804266.66666666663</v>
      </c>
    </row>
    <row r="12" spans="1:10" x14ac:dyDescent="0.3">
      <c r="E12" t="s">
        <v>89</v>
      </c>
      <c r="F12">
        <f>SQRT(F11)</f>
        <v>896.80915844267929</v>
      </c>
    </row>
    <row r="15" spans="1:10" ht="15.6" x14ac:dyDescent="0.3">
      <c r="A15" s="26" t="s">
        <v>90</v>
      </c>
      <c r="B15" s="27" t="s">
        <v>91</v>
      </c>
      <c r="C15" s="27" t="s">
        <v>92</v>
      </c>
    </row>
    <row r="16" spans="1:10" x14ac:dyDescent="0.3">
      <c r="A16" s="28" t="s">
        <v>93</v>
      </c>
      <c r="B16" t="s">
        <v>91</v>
      </c>
      <c r="C16" t="s">
        <v>94</v>
      </c>
    </row>
    <row r="17" spans="1:3" ht="15.6" x14ac:dyDescent="0.3">
      <c r="A17" s="26"/>
      <c r="B17" s="27"/>
      <c r="C17" s="27"/>
    </row>
    <row r="18" spans="1:3" ht="15.6" x14ac:dyDescent="0.3">
      <c r="A18" s="29" t="s">
        <v>89</v>
      </c>
      <c r="B18" s="30" t="s">
        <v>95</v>
      </c>
      <c r="C18" s="30"/>
    </row>
    <row r="19" spans="1:3" ht="15.6" x14ac:dyDescent="0.3">
      <c r="A19" s="26"/>
      <c r="B19" s="27"/>
      <c r="C19" s="27"/>
    </row>
    <row r="20" spans="1:3" ht="15.6" x14ac:dyDescent="0.3">
      <c r="A20" s="26" t="s">
        <v>96</v>
      </c>
      <c r="B20" s="27" t="s">
        <v>91</v>
      </c>
      <c r="C20" s="27" t="s">
        <v>97</v>
      </c>
    </row>
    <row r="21" spans="1:3" ht="15.6" x14ac:dyDescent="0.3">
      <c r="A21" s="26"/>
      <c r="B21" s="27"/>
      <c r="C21" s="27"/>
    </row>
    <row r="22" spans="1:3" ht="15.6" x14ac:dyDescent="0.3">
      <c r="A22" s="26"/>
      <c r="B22" s="27"/>
      <c r="C22" s="27" t="s">
        <v>98</v>
      </c>
    </row>
    <row r="23" spans="1:3" ht="15.6" x14ac:dyDescent="0.3">
      <c r="A23" s="26" t="s">
        <v>99</v>
      </c>
      <c r="B23" s="27" t="s">
        <v>91</v>
      </c>
      <c r="C23" s="27" t="s">
        <v>100</v>
      </c>
    </row>
    <row r="24" spans="1:3" ht="15.6" x14ac:dyDescent="0.3">
      <c r="A24" s="26" t="s">
        <v>25</v>
      </c>
      <c r="B24" s="27" t="s">
        <v>91</v>
      </c>
      <c r="C24" s="27" t="s">
        <v>101</v>
      </c>
    </row>
    <row r="25" spans="1:3" ht="15.6" x14ac:dyDescent="0.3">
      <c r="A25" s="26" t="s">
        <v>102</v>
      </c>
      <c r="B25" s="27" t="s">
        <v>91</v>
      </c>
      <c r="C25" s="27" t="s">
        <v>103</v>
      </c>
    </row>
    <row r="26" spans="1:3" ht="15.6" x14ac:dyDescent="0.3">
      <c r="A26" s="26" t="s">
        <v>104</v>
      </c>
      <c r="B26" s="27" t="s">
        <v>91</v>
      </c>
      <c r="C26" s="27" t="s">
        <v>105</v>
      </c>
    </row>
    <row r="27" spans="1:3" ht="15.6" x14ac:dyDescent="0.3">
      <c r="A27" s="27"/>
      <c r="B27" s="27"/>
      <c r="C27" s="27" t="s">
        <v>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F003-167F-477E-8B72-D5B90C8E4838}">
  <dimension ref="A1:M22"/>
  <sheetViews>
    <sheetView tabSelected="1" workbookViewId="0">
      <selection activeCell="M23" sqref="M23"/>
    </sheetView>
  </sheetViews>
  <sheetFormatPr defaultRowHeight="14.4" x14ac:dyDescent="0.3"/>
  <cols>
    <col min="6" max="6" width="10" bestFit="1" customWidth="1"/>
  </cols>
  <sheetData>
    <row r="1" spans="1:13" x14ac:dyDescent="0.3">
      <c r="A1" s="45" t="s">
        <v>143</v>
      </c>
      <c r="B1" s="46"/>
      <c r="C1" s="46"/>
      <c r="D1" s="46"/>
      <c r="E1" s="46"/>
      <c r="F1" s="47"/>
    </row>
    <row r="2" spans="1:13" x14ac:dyDescent="0.3">
      <c r="A2" s="48"/>
      <c r="B2" s="49"/>
      <c r="C2" s="49"/>
      <c r="D2" s="49"/>
      <c r="E2" s="49"/>
      <c r="F2" s="50"/>
    </row>
    <row r="3" spans="1:13" x14ac:dyDescent="0.3">
      <c r="A3" s="48" t="s">
        <v>131</v>
      </c>
      <c r="B3" s="49">
        <v>65</v>
      </c>
      <c r="C3" s="49"/>
      <c r="D3" s="49"/>
      <c r="E3" s="49"/>
      <c r="F3" s="50"/>
    </row>
    <row r="4" spans="1:13" x14ac:dyDescent="0.3">
      <c r="A4" s="48" t="s">
        <v>132</v>
      </c>
      <c r="B4" s="49">
        <v>95</v>
      </c>
      <c r="C4" s="49"/>
      <c r="D4" s="49"/>
      <c r="E4" s="49" t="s">
        <v>139</v>
      </c>
      <c r="F4" s="50">
        <v>1100</v>
      </c>
    </row>
    <row r="5" spans="1:13" x14ac:dyDescent="0.3">
      <c r="A5" s="48" t="s">
        <v>133</v>
      </c>
      <c r="B5" s="49">
        <v>180</v>
      </c>
      <c r="C5" s="49"/>
      <c r="D5" s="49"/>
      <c r="E5" s="49" t="s">
        <v>140</v>
      </c>
      <c r="F5" s="50">
        <v>1300</v>
      </c>
    </row>
    <row r="6" spans="1:13" ht="15" thickBot="1" x14ac:dyDescent="0.35">
      <c r="A6" s="48" t="s">
        <v>134</v>
      </c>
      <c r="B6" s="49">
        <v>145</v>
      </c>
      <c r="C6" s="49"/>
      <c r="D6" s="49"/>
      <c r="E6" s="49"/>
      <c r="F6" s="50"/>
    </row>
    <row r="7" spans="1:13" x14ac:dyDescent="0.3">
      <c r="A7" s="48" t="s">
        <v>135</v>
      </c>
      <c r="B7" s="49">
        <v>145</v>
      </c>
      <c r="C7" s="49"/>
      <c r="D7" s="49"/>
      <c r="E7" s="49"/>
      <c r="F7" s="50"/>
      <c r="J7" s="54"/>
      <c r="K7" s="55"/>
      <c r="L7" s="55"/>
      <c r="M7" s="56"/>
    </row>
    <row r="8" spans="1:13" x14ac:dyDescent="0.3">
      <c r="A8" s="48" t="s">
        <v>136</v>
      </c>
      <c r="B8" s="49">
        <v>215</v>
      </c>
      <c r="C8" s="49"/>
      <c r="D8" s="49"/>
      <c r="E8" s="49" t="s">
        <v>141</v>
      </c>
      <c r="F8" s="50">
        <v>120</v>
      </c>
      <c r="J8" s="48"/>
      <c r="K8" s="59" t="s">
        <v>145</v>
      </c>
      <c r="L8" s="59"/>
      <c r="M8" s="50"/>
    </row>
    <row r="9" spans="1:13" x14ac:dyDescent="0.3">
      <c r="A9" s="48" t="s">
        <v>137</v>
      </c>
      <c r="B9" s="49">
        <v>185</v>
      </c>
      <c r="C9" s="49"/>
      <c r="D9" s="49"/>
      <c r="E9" s="49"/>
      <c r="F9" s="50"/>
      <c r="J9" s="48"/>
      <c r="K9" s="59"/>
      <c r="L9" s="59"/>
      <c r="M9" s="50"/>
    </row>
    <row r="10" spans="1:13" x14ac:dyDescent="0.3">
      <c r="A10" s="48" t="s">
        <v>138</v>
      </c>
      <c r="B10" s="49">
        <v>270</v>
      </c>
      <c r="C10" s="49"/>
      <c r="D10" s="49"/>
      <c r="E10" s="49"/>
      <c r="F10" s="50"/>
      <c r="J10" s="48"/>
      <c r="K10" s="49"/>
      <c r="L10" s="49"/>
      <c r="M10" s="50"/>
    </row>
    <row r="11" spans="1:13" x14ac:dyDescent="0.3">
      <c r="A11" s="48"/>
      <c r="B11" s="49"/>
      <c r="C11" s="49"/>
      <c r="D11" s="49"/>
      <c r="E11" s="49">
        <f>8*120*F4</f>
        <v>1056000</v>
      </c>
      <c r="F11" s="50" t="s">
        <v>142</v>
      </c>
      <c r="J11" s="48"/>
      <c r="K11" s="49"/>
      <c r="L11" s="49"/>
      <c r="M11" s="50"/>
    </row>
    <row r="12" spans="1:13" x14ac:dyDescent="0.3">
      <c r="A12" s="48"/>
      <c r="B12" s="49"/>
      <c r="C12" s="49"/>
      <c r="D12" s="49"/>
      <c r="E12" s="49">
        <f>F5*(B3+B4+6*120)</f>
        <v>1144000</v>
      </c>
      <c r="F12" s="50"/>
      <c r="J12" s="48"/>
      <c r="K12" s="49">
        <f>(40+90+120+40+80+70+140+140+110+60)/60</f>
        <v>14.833333333333334</v>
      </c>
      <c r="L12" s="49">
        <f>K12/8</f>
        <v>1.8541666666666667</v>
      </c>
      <c r="M12" s="50"/>
    </row>
    <row r="13" spans="1:13" x14ac:dyDescent="0.3">
      <c r="A13" s="48"/>
      <c r="B13" s="49"/>
      <c r="C13" s="49"/>
      <c r="D13" s="49"/>
      <c r="E13" s="49"/>
      <c r="F13" s="50"/>
      <c r="J13" s="48"/>
      <c r="K13" s="49"/>
      <c r="L13" s="49" t="s">
        <v>147</v>
      </c>
      <c r="M13" s="50"/>
    </row>
    <row r="14" spans="1:13" ht="15" thickBot="1" x14ac:dyDescent="0.35">
      <c r="A14" s="48"/>
      <c r="B14" s="49"/>
      <c r="C14" s="49"/>
      <c r="D14" s="49"/>
      <c r="E14" s="49"/>
      <c r="F14" s="50"/>
      <c r="J14" s="51"/>
      <c r="K14" s="52"/>
      <c r="L14" s="52"/>
      <c r="M14" s="53"/>
    </row>
    <row r="15" spans="1:13" ht="15" thickBot="1" x14ac:dyDescent="0.35">
      <c r="A15" s="51"/>
      <c r="B15" s="52"/>
      <c r="C15" s="52"/>
      <c r="D15" s="52" t="s">
        <v>146</v>
      </c>
      <c r="E15" s="52">
        <f>E11/E12</f>
        <v>0.92307692307692313</v>
      </c>
      <c r="F15" s="53"/>
    </row>
    <row r="16" spans="1:13" x14ac:dyDescent="0.3">
      <c r="D16" s="54"/>
      <c r="E16" s="55"/>
      <c r="F16" s="56"/>
    </row>
    <row r="17" spans="4:6" x14ac:dyDescent="0.3">
      <c r="D17" s="48"/>
      <c r="E17" s="49"/>
      <c r="F17" s="50">
        <f>(15+6)*90*2+(25+6)*250*2</f>
        <v>19280</v>
      </c>
    </row>
    <row r="18" spans="4:6" x14ac:dyDescent="0.3">
      <c r="D18" s="57" t="s">
        <v>144</v>
      </c>
      <c r="E18" s="49"/>
      <c r="F18" s="50"/>
    </row>
    <row r="19" spans="4:6" x14ac:dyDescent="0.3">
      <c r="D19" s="57"/>
      <c r="E19" s="49"/>
      <c r="F19" s="50">
        <f>25*250*2+15*90*2+6*250*2</f>
        <v>18200</v>
      </c>
    </row>
    <row r="20" spans="4:6" x14ac:dyDescent="0.3">
      <c r="D20" s="57"/>
      <c r="E20" s="49"/>
      <c r="F20" s="50"/>
    </row>
    <row r="21" spans="4:6" x14ac:dyDescent="0.3">
      <c r="D21" s="57"/>
      <c r="E21" s="49"/>
      <c r="F21" s="50"/>
    </row>
    <row r="22" spans="4:6" ht="15" thickBot="1" x14ac:dyDescent="0.35">
      <c r="D22" s="58"/>
      <c r="E22" s="52" t="s">
        <v>146</v>
      </c>
      <c r="F22" s="53">
        <f>F17-F19</f>
        <v>1080</v>
      </c>
    </row>
  </sheetData>
  <mergeCells count="3">
    <mergeCell ref="A1:F1"/>
    <mergeCell ref="D18:D22"/>
    <mergeCell ref="K8:L9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topLeftCell="A39" zoomScale="85" zoomScaleNormal="85" workbookViewId="0">
      <selection activeCell="G55" sqref="G55"/>
    </sheetView>
  </sheetViews>
  <sheetFormatPr defaultRowHeight="14.4" x14ac:dyDescent="0.3"/>
  <cols>
    <col min="1" max="1" width="23.109375" bestFit="1" customWidth="1"/>
    <col min="2" max="2" width="23.6640625" bestFit="1" customWidth="1"/>
    <col min="5" max="5" width="15.5546875" bestFit="1" customWidth="1"/>
  </cols>
  <sheetData>
    <row r="1" spans="1:5" x14ac:dyDescent="0.3">
      <c r="A1" s="1" t="s">
        <v>129</v>
      </c>
    </row>
    <row r="3" spans="1:5" x14ac:dyDescent="0.3">
      <c r="B3" s="1" t="s">
        <v>0</v>
      </c>
      <c r="C3" s="1" t="s">
        <v>0</v>
      </c>
      <c r="D3" s="42" t="s">
        <v>8</v>
      </c>
      <c r="E3" s="42"/>
    </row>
    <row r="4" spans="1:5" x14ac:dyDescent="0.3">
      <c r="B4" s="31" t="s">
        <v>107</v>
      </c>
      <c r="C4" s="31" t="s">
        <v>108</v>
      </c>
      <c r="D4" s="31" t="s">
        <v>109</v>
      </c>
      <c r="E4" s="31" t="s">
        <v>110</v>
      </c>
    </row>
    <row r="5" spans="1:5" x14ac:dyDescent="0.3">
      <c r="B5" s="3">
        <v>1</v>
      </c>
      <c r="C5" s="4">
        <v>115</v>
      </c>
      <c r="D5" s="4">
        <f>C15-C5</f>
        <v>-32</v>
      </c>
      <c r="E5" s="4">
        <f>D5*D5</f>
        <v>1024</v>
      </c>
    </row>
    <row r="6" spans="1:5" x14ac:dyDescent="0.3">
      <c r="B6" s="3">
        <v>2</v>
      </c>
      <c r="C6" s="4">
        <v>95</v>
      </c>
      <c r="D6" s="4">
        <f>C15-C6</f>
        <v>-12</v>
      </c>
      <c r="E6" s="4">
        <f t="shared" ref="E6:E14" si="0">D6*D6</f>
        <v>144</v>
      </c>
    </row>
    <row r="7" spans="1:5" x14ac:dyDescent="0.3">
      <c r="B7" s="3">
        <v>3</v>
      </c>
      <c r="C7" s="4">
        <v>20</v>
      </c>
      <c r="D7" s="4">
        <f>C15-C7</f>
        <v>63</v>
      </c>
      <c r="E7" s="4">
        <f t="shared" si="0"/>
        <v>3969</v>
      </c>
    </row>
    <row r="8" spans="1:5" x14ac:dyDescent="0.3">
      <c r="B8" s="3">
        <v>4</v>
      </c>
      <c r="C8" s="4">
        <v>105</v>
      </c>
      <c r="D8" s="4">
        <f>C15-C8</f>
        <v>-22</v>
      </c>
      <c r="E8" s="4">
        <f t="shared" si="0"/>
        <v>484</v>
      </c>
    </row>
    <row r="9" spans="1:5" x14ac:dyDescent="0.3">
      <c r="B9" s="3">
        <v>5</v>
      </c>
      <c r="C9" s="4">
        <v>65</v>
      </c>
      <c r="D9" s="4">
        <f>C15-C9</f>
        <v>18</v>
      </c>
      <c r="E9" s="4">
        <f t="shared" si="0"/>
        <v>324</v>
      </c>
    </row>
    <row r="10" spans="1:5" x14ac:dyDescent="0.3">
      <c r="B10" s="3">
        <v>6</v>
      </c>
      <c r="C10" s="4">
        <v>55</v>
      </c>
      <c r="D10" s="4">
        <f>C15-C10</f>
        <v>28</v>
      </c>
      <c r="E10" s="4">
        <f t="shared" si="0"/>
        <v>784</v>
      </c>
    </row>
    <row r="11" spans="1:5" x14ac:dyDescent="0.3">
      <c r="B11" s="3">
        <v>7</v>
      </c>
      <c r="C11" s="4">
        <v>65</v>
      </c>
      <c r="D11" s="4">
        <f>C15-C11</f>
        <v>18</v>
      </c>
      <c r="E11" s="4">
        <f t="shared" si="0"/>
        <v>324</v>
      </c>
    </row>
    <row r="12" spans="1:5" x14ac:dyDescent="0.3">
      <c r="B12" s="3">
        <v>8</v>
      </c>
      <c r="C12" s="4">
        <v>105</v>
      </c>
      <c r="D12" s="4">
        <f>C15-C12</f>
        <v>-22</v>
      </c>
      <c r="E12" s="4">
        <f t="shared" si="0"/>
        <v>484</v>
      </c>
    </row>
    <row r="13" spans="1:5" x14ac:dyDescent="0.3">
      <c r="B13" s="3">
        <v>9</v>
      </c>
      <c r="C13" s="4">
        <v>90</v>
      </c>
      <c r="D13" s="4">
        <f>C15-C13</f>
        <v>-7</v>
      </c>
      <c r="E13" s="4">
        <f t="shared" si="0"/>
        <v>49</v>
      </c>
    </row>
    <row r="14" spans="1:5" x14ac:dyDescent="0.3">
      <c r="B14" s="3">
        <v>10</v>
      </c>
      <c r="C14" s="4">
        <v>115</v>
      </c>
      <c r="D14" s="4">
        <f>C15-C14</f>
        <v>-32</v>
      </c>
      <c r="E14" s="4">
        <f t="shared" si="0"/>
        <v>1024</v>
      </c>
    </row>
    <row r="15" spans="1:5" x14ac:dyDescent="0.3">
      <c r="B15" s="32" t="s">
        <v>111</v>
      </c>
      <c r="C15" s="32">
        <f>AVERAGE(C5:C14)</f>
        <v>83</v>
      </c>
      <c r="D15" s="32" t="s">
        <v>112</v>
      </c>
      <c r="E15" s="32">
        <f>SUM(E5:E14)</f>
        <v>8610</v>
      </c>
    </row>
    <row r="16" spans="1:5" x14ac:dyDescent="0.3">
      <c r="A16" s="1" t="s">
        <v>8</v>
      </c>
    </row>
    <row r="17" spans="1:6" x14ac:dyDescent="0.3">
      <c r="B17" t="s">
        <v>113</v>
      </c>
      <c r="C17">
        <f>SQRT((E15/(F18-1)))</f>
        <v>30.930028559098787</v>
      </c>
      <c r="E17" t="s">
        <v>114</v>
      </c>
      <c r="F17">
        <v>0.8</v>
      </c>
    </row>
    <row r="18" spans="1:6" x14ac:dyDescent="0.3">
      <c r="B18" t="s">
        <v>115</v>
      </c>
      <c r="C18">
        <f>NORMSINV(F17)</f>
        <v>0.84162123357291474</v>
      </c>
      <c r="E18" t="s">
        <v>116</v>
      </c>
      <c r="F18">
        <f>COUNT(C5:C14)</f>
        <v>10</v>
      </c>
    </row>
    <row r="19" spans="1:6" x14ac:dyDescent="0.3">
      <c r="B19" t="s">
        <v>117</v>
      </c>
      <c r="C19">
        <v>8</v>
      </c>
    </row>
    <row r="20" spans="1:6" x14ac:dyDescent="0.3">
      <c r="A20" t="s">
        <v>118</v>
      </c>
      <c r="B20">
        <f>C18*C17*SQRT(C19)</f>
        <v>73.62782958090925</v>
      </c>
    </row>
    <row r="21" spans="1:6" x14ac:dyDescent="0.3">
      <c r="A21" t="s">
        <v>119</v>
      </c>
      <c r="B21">
        <f>C15*C19+B20</f>
        <v>737.62782958090929</v>
      </c>
    </row>
    <row r="33" spans="1:6" x14ac:dyDescent="0.3">
      <c r="A33" s="1" t="s">
        <v>130</v>
      </c>
    </row>
    <row r="35" spans="1:6" x14ac:dyDescent="0.3">
      <c r="A35" s="1" t="s">
        <v>0</v>
      </c>
    </row>
    <row r="37" spans="1:6" x14ac:dyDescent="0.3">
      <c r="A37" s="33" t="s">
        <v>108</v>
      </c>
      <c r="B37" s="4">
        <v>20</v>
      </c>
      <c r="C37" s="4">
        <v>35</v>
      </c>
      <c r="D37" s="4">
        <v>60</v>
      </c>
      <c r="E37" s="4">
        <v>80</v>
      </c>
      <c r="F37" s="4">
        <v>125</v>
      </c>
    </row>
    <row r="38" spans="1:6" x14ac:dyDescent="0.3">
      <c r="A38" s="33" t="s">
        <v>120</v>
      </c>
      <c r="B38" s="39">
        <v>0.12</v>
      </c>
      <c r="C38" s="39">
        <v>0.18</v>
      </c>
      <c r="D38" s="39">
        <v>0.14000000000000001</v>
      </c>
      <c r="E38" s="39">
        <v>0.14000000000000001</v>
      </c>
      <c r="F38" s="39">
        <v>0.42</v>
      </c>
    </row>
    <row r="40" spans="1:6" x14ac:dyDescent="0.3">
      <c r="A40" s="12" t="s">
        <v>121</v>
      </c>
      <c r="B40">
        <v>8</v>
      </c>
    </row>
    <row r="41" spans="1:6" x14ac:dyDescent="0.3">
      <c r="A41" s="12" t="s">
        <v>122</v>
      </c>
      <c r="B41">
        <v>14</v>
      </c>
    </row>
    <row r="42" spans="1:6" x14ac:dyDescent="0.3">
      <c r="A42" s="12" t="s">
        <v>123</v>
      </c>
      <c r="B42">
        <v>1.5</v>
      </c>
    </row>
    <row r="43" spans="1:6" x14ac:dyDescent="0.3">
      <c r="A43" s="12"/>
    </row>
    <row r="44" spans="1:6" x14ac:dyDescent="0.3">
      <c r="A44" s="1" t="s">
        <v>8</v>
      </c>
    </row>
    <row r="45" spans="1:6" x14ac:dyDescent="0.3">
      <c r="B45" s="34" t="s">
        <v>124</v>
      </c>
      <c r="C45" s="28">
        <f>B40-B42</f>
        <v>6.5</v>
      </c>
      <c r="D45" t="s">
        <v>125</v>
      </c>
    </row>
    <row r="46" spans="1:6" x14ac:dyDescent="0.3">
      <c r="B46" s="34" t="s">
        <v>126</v>
      </c>
      <c r="C46" s="28">
        <f>B41-B40</f>
        <v>6</v>
      </c>
      <c r="D46" t="s">
        <v>127</v>
      </c>
    </row>
    <row r="47" spans="1:6" x14ac:dyDescent="0.3">
      <c r="B47" s="12"/>
    </row>
    <row r="49" spans="1:9" x14ac:dyDescent="0.3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3">
      <c r="A50" s="5"/>
      <c r="B50" s="35" t="s">
        <v>108</v>
      </c>
      <c r="C50" s="35">
        <f>B37</f>
        <v>20</v>
      </c>
      <c r="D50" s="35">
        <f t="shared" ref="D50:G50" si="1">C37</f>
        <v>35</v>
      </c>
      <c r="E50" s="35">
        <f t="shared" si="1"/>
        <v>60</v>
      </c>
      <c r="F50" s="35">
        <f t="shared" si="1"/>
        <v>80</v>
      </c>
      <c r="G50" s="35">
        <f t="shared" si="1"/>
        <v>125</v>
      </c>
      <c r="I50" s="5"/>
    </row>
    <row r="51" spans="1:9" x14ac:dyDescent="0.3">
      <c r="A51" s="5"/>
      <c r="B51" s="35">
        <f>C50</f>
        <v>20</v>
      </c>
      <c r="C51" s="36">
        <v>0</v>
      </c>
      <c r="D51" s="36">
        <f>(D50-B51)*C45</f>
        <v>97.5</v>
      </c>
      <c r="E51" s="36">
        <f>(E50-B51)*C45</f>
        <v>260</v>
      </c>
      <c r="F51" s="36">
        <f>(F50-B51)*C45</f>
        <v>390</v>
      </c>
      <c r="G51" s="36">
        <f>(G50-B51)*C45</f>
        <v>682.5</v>
      </c>
      <c r="I51" s="5"/>
    </row>
    <row r="52" spans="1:9" x14ac:dyDescent="0.3">
      <c r="A52" s="5"/>
      <c r="B52" s="35">
        <f>D50</f>
        <v>35</v>
      </c>
      <c r="C52" s="36">
        <f>(B52-C50)*C46</f>
        <v>90</v>
      </c>
      <c r="D52" s="36">
        <v>0</v>
      </c>
      <c r="E52" s="36">
        <f>(E50-B52)*C45</f>
        <v>162.5</v>
      </c>
      <c r="F52" s="36">
        <f>(F50-B52)*C45</f>
        <v>292.5</v>
      </c>
      <c r="G52" s="36">
        <f>(G50-B52)*C45</f>
        <v>585</v>
      </c>
      <c r="I52" s="5"/>
    </row>
    <row r="53" spans="1:9" x14ac:dyDescent="0.3">
      <c r="A53" s="5"/>
      <c r="B53" s="35">
        <f>E50</f>
        <v>60</v>
      </c>
      <c r="C53" s="36">
        <f>(B53-C50)*C46</f>
        <v>240</v>
      </c>
      <c r="D53" s="36">
        <f>(B53-D50)*C46</f>
        <v>150</v>
      </c>
      <c r="E53" s="36">
        <v>0</v>
      </c>
      <c r="F53" s="36">
        <f>(F50-B53)*C45</f>
        <v>130</v>
      </c>
      <c r="G53" s="36">
        <f>(G50-B53)*C45</f>
        <v>422.5</v>
      </c>
      <c r="I53" s="5"/>
    </row>
    <row r="54" spans="1:9" x14ac:dyDescent="0.3">
      <c r="A54" s="5"/>
      <c r="B54" s="35">
        <f>F50</f>
        <v>80</v>
      </c>
      <c r="C54" s="36">
        <f>(B54-C50)*C46</f>
        <v>360</v>
      </c>
      <c r="D54" s="36">
        <f>(B54-D50)*C46</f>
        <v>270</v>
      </c>
      <c r="E54" s="36">
        <f>(B54-E50)*C46</f>
        <v>120</v>
      </c>
      <c r="F54" s="36">
        <v>0</v>
      </c>
      <c r="G54" s="36">
        <f>(G50-B54)*C45</f>
        <v>292.5</v>
      </c>
      <c r="I54" s="5"/>
    </row>
    <row r="55" spans="1:9" x14ac:dyDescent="0.3">
      <c r="A55" s="5"/>
      <c r="B55" s="35">
        <f>G50</f>
        <v>125</v>
      </c>
      <c r="C55" s="36">
        <f>(B55-C50)*C46</f>
        <v>630</v>
      </c>
      <c r="D55" s="36">
        <f>(B55-D50)*C46</f>
        <v>540</v>
      </c>
      <c r="E55" s="36">
        <f>(B55-E50)*C46</f>
        <v>390</v>
      </c>
      <c r="F55" s="36">
        <f>(B55-F50)*C46</f>
        <v>270</v>
      </c>
      <c r="G55" s="36">
        <v>0</v>
      </c>
      <c r="I55" s="5"/>
    </row>
    <row r="56" spans="1:9" x14ac:dyDescent="0.3">
      <c r="A56" s="5"/>
      <c r="I56" s="5"/>
    </row>
    <row r="57" spans="1:9" x14ac:dyDescent="0.3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3">
      <c r="A58" s="5"/>
      <c r="B58" s="35" t="s">
        <v>120</v>
      </c>
      <c r="C58" s="35" t="s">
        <v>108</v>
      </c>
      <c r="D58" s="35">
        <f t="shared" ref="D58:H58" si="2">C50</f>
        <v>20</v>
      </c>
      <c r="E58" s="35">
        <f t="shared" si="2"/>
        <v>35</v>
      </c>
      <c r="F58" s="35">
        <f t="shared" si="2"/>
        <v>60</v>
      </c>
      <c r="G58" s="35">
        <f t="shared" si="2"/>
        <v>80</v>
      </c>
      <c r="H58" s="35">
        <f t="shared" si="2"/>
        <v>125</v>
      </c>
      <c r="I58" s="5"/>
    </row>
    <row r="59" spans="1:9" x14ac:dyDescent="0.3">
      <c r="A59" s="5"/>
      <c r="B59" s="40">
        <f>B38</f>
        <v>0.12</v>
      </c>
      <c r="C59" s="35">
        <f t="shared" ref="C59:C62" si="3">B51</f>
        <v>20</v>
      </c>
      <c r="D59" s="36">
        <v>0</v>
      </c>
      <c r="E59" s="36">
        <f>B59*D51</f>
        <v>11.7</v>
      </c>
      <c r="F59" s="36">
        <f>B59*E51</f>
        <v>31.2</v>
      </c>
      <c r="G59" s="36">
        <f>B59*F51</f>
        <v>46.8</v>
      </c>
      <c r="H59" s="36">
        <f>B59*G51</f>
        <v>81.899999999999991</v>
      </c>
      <c r="I59" s="5"/>
    </row>
    <row r="60" spans="1:9" x14ac:dyDescent="0.3">
      <c r="A60" s="5"/>
      <c r="B60" s="40">
        <f>C38</f>
        <v>0.18</v>
      </c>
      <c r="C60" s="35">
        <f t="shared" si="3"/>
        <v>35</v>
      </c>
      <c r="D60" s="36">
        <f>C52*B60</f>
        <v>16.2</v>
      </c>
      <c r="E60" s="36">
        <v>0</v>
      </c>
      <c r="F60" s="36">
        <f>B60*E52</f>
        <v>29.25</v>
      </c>
      <c r="G60" s="36">
        <f>B60*F52</f>
        <v>52.65</v>
      </c>
      <c r="H60" s="36">
        <f>B60*G52</f>
        <v>105.3</v>
      </c>
      <c r="I60" s="5"/>
    </row>
    <row r="61" spans="1:9" x14ac:dyDescent="0.3">
      <c r="A61" s="5"/>
      <c r="B61" s="40">
        <f>D38</f>
        <v>0.14000000000000001</v>
      </c>
      <c r="C61" s="35">
        <f t="shared" si="3"/>
        <v>60</v>
      </c>
      <c r="D61" s="36">
        <f>C53*B61</f>
        <v>33.6</v>
      </c>
      <c r="E61" s="36">
        <f>D53*B61</f>
        <v>21.000000000000004</v>
      </c>
      <c r="F61" s="36">
        <v>0</v>
      </c>
      <c r="G61" s="36">
        <f>B61*F53</f>
        <v>18.200000000000003</v>
      </c>
      <c r="H61" s="36">
        <f>B61*G53</f>
        <v>59.150000000000006</v>
      </c>
      <c r="I61" s="5"/>
    </row>
    <row r="62" spans="1:9" x14ac:dyDescent="0.3">
      <c r="A62" s="5"/>
      <c r="B62" s="40">
        <f>E38</f>
        <v>0.14000000000000001</v>
      </c>
      <c r="C62" s="35">
        <f t="shared" si="3"/>
        <v>80</v>
      </c>
      <c r="D62" s="36">
        <f t="shared" ref="D62" si="4">C54*B62</f>
        <v>50.400000000000006</v>
      </c>
      <c r="E62" s="36">
        <f>D54*B62</f>
        <v>37.800000000000004</v>
      </c>
      <c r="F62" s="36">
        <f>E54*B62</f>
        <v>16.8</v>
      </c>
      <c r="G62" s="36">
        <v>0</v>
      </c>
      <c r="H62" s="36">
        <f>B62*G54</f>
        <v>40.950000000000003</v>
      </c>
      <c r="I62" s="5"/>
    </row>
    <row r="63" spans="1:9" x14ac:dyDescent="0.3">
      <c r="A63" s="5"/>
      <c r="B63" s="40">
        <f>F38</f>
        <v>0.42</v>
      </c>
      <c r="C63" s="35">
        <f>B55</f>
        <v>125</v>
      </c>
      <c r="D63" s="36">
        <f>C55*B63</f>
        <v>264.59999999999997</v>
      </c>
      <c r="E63" s="36">
        <f>D55*B63</f>
        <v>226.79999999999998</v>
      </c>
      <c r="F63" s="36">
        <f>E55*B63</f>
        <v>163.79999999999998</v>
      </c>
      <c r="G63" s="36">
        <f>F55*B63</f>
        <v>113.39999999999999</v>
      </c>
      <c r="H63" s="36">
        <v>0</v>
      </c>
      <c r="I63" s="5"/>
    </row>
    <row r="64" spans="1:9" x14ac:dyDescent="0.3">
      <c r="A64" s="5"/>
      <c r="B64" s="43" t="s">
        <v>128</v>
      </c>
      <c r="C64" s="44"/>
      <c r="D64" s="37">
        <f>SUM(D59:D63)</f>
        <v>364.79999999999995</v>
      </c>
      <c r="E64" s="37">
        <f>SUM(E59:E63)</f>
        <v>297.29999999999995</v>
      </c>
      <c r="F64" s="37">
        <f>SUM(F59:F63)</f>
        <v>241.04999999999998</v>
      </c>
      <c r="G64" s="37">
        <f>SUM(G59:G63)</f>
        <v>231.04999999999998</v>
      </c>
      <c r="H64" s="37">
        <f>SUM(H59:H63)</f>
        <v>287.3</v>
      </c>
      <c r="I64" s="5"/>
    </row>
  </sheetData>
  <mergeCells count="2">
    <mergeCell ref="D3:E3"/>
    <mergeCell ref="B64:C6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Test Laborator 1-2</vt:lpstr>
      <vt:lpstr>Test Laborator 3-4</vt:lpstr>
      <vt:lpstr>Test Laborator 6-7</vt:lpstr>
      <vt:lpstr>Foaie1</vt:lpstr>
      <vt:lpstr>Teste Laborator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</dc:creator>
  <cp:lastModifiedBy>Windows User</cp:lastModifiedBy>
  <dcterms:created xsi:type="dcterms:W3CDTF">2022-01-11T19:42:26Z</dcterms:created>
  <dcterms:modified xsi:type="dcterms:W3CDTF">2023-01-18T21:24:17Z</dcterms:modified>
</cp:coreProperties>
</file>