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a" sheetId="1" state="visible" r:id="rId2"/>
    <sheet name="Analise" sheetId="2" state="visible" r:id="rId3"/>
    <sheet name="Cota" sheetId="3" state="visible" r:id="rId4"/>
    <sheet name="Planilha4" sheetId="4" state="visible" r:id="rId5"/>
  </sheets>
  <definedNames>
    <definedName function="false" hidden="false" localSheetId="0" name="_xlnm.Print_Area" vbProcedure="false">Mapa!$A$1:$P$8</definedName>
    <definedName function="false" hidden="false" name="banco_de_precos" vbProcedure="false">Mapa!$F:$F</definedName>
    <definedName function="false" hidden="false" localSheetId="0" name="_xlnm.Print_Area" vbProcedure="false">Mapa!$A$1:$P$12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0"/>
            <rFont val="Arial"/>
            <family val="2"/>
            <charset val="1"/>
          </rPr>
          <t xml:space="preserve">NÃO COPIAR ESTA CÉLULA
</t>
        </r>
      </text>
    </comment>
  </commentList>
</comments>
</file>

<file path=xl/sharedStrings.xml><?xml version="1.0" encoding="utf-8"?>
<sst xmlns="http://schemas.openxmlformats.org/spreadsheetml/2006/main" count="70" uniqueCount="53">
  <si>
    <t xml:space="preserve">MAPA COMPARATIVO E ANÁLISE CRÍTICA DOS ORÇAMENTOS</t>
  </si>
  <si>
    <t xml:space="preserve">no</t>
  </si>
  <si>
    <t xml:space="preserve">DIVISÃO TÉCNICA</t>
  </si>
  <si>
    <t xml:space="preserve">Nr Ord</t>
  </si>
  <si>
    <t xml:space="preserve">Discriminação</t>
  </si>
  <si>
    <t xml:space="preserve">Catmat/
Catser</t>
  </si>
  <si>
    <t xml:space="preserve">Und</t>
  </si>
  <si>
    <t xml:space="preserve">Qtd</t>
  </si>
  <si>
    <t xml:space="preserve">Incisos I e II da IN Nº 73, 05 de AGOSTO de 2020</t>
  </si>
  <si>
    <t xml:space="preserve">Inciso III da IN Nº 73, de 05 de AGOSTO de 2020</t>
  </si>
  <si>
    <t xml:space="preserve">Inciso IV da IN Nº 73, de 05 de AGOSTO de 2020</t>
  </si>
  <si>
    <t xml:space="preserve">Nr 
Propostas</t>
  </si>
  <si>
    <t xml:space="preserve">Propostas consideradas</t>
  </si>
  <si>
    <t xml:space="preserve">Valor
Médio (R$)</t>
  </si>
  <si>
    <t xml:space="preserve">Valor
Total (R$)</t>
  </si>
  <si>
    <t xml:space="preserve">Banco de preços</t>
  </si>
  <si>
    <t xml:space="preserve">Mídia especializada/Sitios eletrônicos/Sites de Domínio amplo</t>
  </si>
  <si>
    <t xml:space="preserve">Pesquisa com Fornecedores</t>
  </si>
  <si>
    <t xml:space="preserve">Pesquisa 01</t>
  </si>
  <si>
    <t xml:space="preserve">Pesquisa 02</t>
  </si>
  <si>
    <t xml:space="preserve">Pesquisa 03</t>
  </si>
  <si>
    <t xml:space="preserve">Fornecedor 01</t>
  </si>
  <si>
    <t xml:space="preserve">Fornecedor 02</t>
  </si>
  <si>
    <t xml:space="preserve">Fornecedor 03</t>
  </si>
  <si>
    <t xml:space="preserve">Vr Unit</t>
  </si>
  <si>
    <r>
      <rPr>
        <sz val="11"/>
        <color rgb="FF00000A"/>
        <rFont val="Arial"/>
        <family val="1"/>
        <charset val="1"/>
      </rPr>
      <t xml:space="preserve">Aparelho de ar condicionado tipo Split (hi-wall) INVERTER, com unidade evaporadora e condensadora, Conforme Ficha de Especificação Cod: </t>
    </r>
    <r>
      <rPr>
        <b val="true"/>
        <sz val="11"/>
        <color rgb="FF00000A"/>
        <rFont val="Arial"/>
        <family val="1"/>
        <charset val="1"/>
      </rPr>
      <t xml:space="preserve">FET.DT.P01.001</t>
    </r>
  </si>
  <si>
    <t xml:space="preserve">Mesa</t>
  </si>
  <si>
    <t xml:space="preserve">Cadeira</t>
  </si>
  <si>
    <t xml:space="preserve">Porta</t>
  </si>
  <si>
    <t xml:space="preserve">Chuveiro</t>
  </si>
  <si>
    <t xml:space="preserve">Cama</t>
  </si>
  <si>
    <t xml:space="preserve">Lampada</t>
  </si>
  <si>
    <t xml:space="preserve">Estante</t>
  </si>
  <si>
    <t xml:space="preserve">Análise Crítica de Preço</t>
  </si>
  <si>
    <t xml:space="preserve">PORCENTAGEM
APLICADA</t>
  </si>
  <si>
    <t xml:space="preserve">item</t>
  </si>
  <si>
    <t xml:space="preserve">Quantidade menos o maior e menor</t>
  </si>
  <si>
    <t xml:space="preserve">Menor</t>
  </si>
  <si>
    <t xml:space="preserve">Maior</t>
  </si>
  <si>
    <t xml:space="preserve">Somatório menos o maior e menor</t>
  </si>
  <si>
    <t xml:space="preserve">Média sem os valores maior e menor</t>
  </si>
  <si>
    <t xml:space="preserve">Valor máximo aceitável</t>
  </si>
  <si>
    <t xml:space="preserve">Valor mínimo aceitável</t>
  </si>
  <si>
    <t xml:space="preserve">Item Cota</t>
  </si>
  <si>
    <t xml:space="preserve">Descrição Cota</t>
  </si>
  <si>
    <t xml:space="preserve">Qtd Cota</t>
  </si>
  <si>
    <t xml:space="preserve">Valor Cota</t>
  </si>
  <si>
    <t xml:space="preserve">Qtd Item Original</t>
  </si>
  <si>
    <t xml:space="preserve">Valor Item Original</t>
  </si>
  <si>
    <t xml:space="preserve">Porcentagem
Cota</t>
  </si>
  <si>
    <t xml:space="preserve">Cota</t>
  </si>
  <si>
    <t xml:space="preserve">Cálculo de numeração da cota</t>
  </si>
  <si>
    <t xml:space="preserve">Qtd Total de Itens Sem cota</t>
  </si>
</sst>
</file>

<file path=xl/styles.xml><?xml version="1.0" encoding="utf-8"?>
<styleSheet xmlns="http://schemas.openxmlformats.org/spreadsheetml/2006/main">
  <numFmts count="5">
    <numFmt numFmtId="164" formatCode="[$R$-416]\ #,##0.00;[RED]\-[$R$-416]\ #,##0.00"/>
    <numFmt numFmtId="165" formatCode="General"/>
    <numFmt numFmtId="166" formatCode="General"/>
    <numFmt numFmtId="167" formatCode="&quot; R$ &quot;* #,##0.00\ ;&quot;-R$ &quot;* #,##0.00\ ;&quot; R$ &quot;* \-#\ ;\ @\ "/>
    <numFmt numFmtId="168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4"/>
      <color rgb="FF00000A"/>
      <name val="Times New Roman"/>
      <family val="1"/>
      <charset val="1"/>
    </font>
    <font>
      <sz val="11"/>
      <color rgb="FF00000A"/>
      <name val="Arial"/>
      <family val="1"/>
      <charset val="1"/>
    </font>
    <font>
      <b val="true"/>
      <sz val="11"/>
      <color rgb="FF00000A"/>
      <name val="Arial"/>
      <family val="1"/>
      <charset val="1"/>
    </font>
    <font>
      <sz val="14"/>
      <color rgb="FF000000"/>
      <name val="Times New Roman"/>
      <family val="1"/>
      <charset val="1"/>
    </font>
    <font>
      <sz val="14"/>
      <color rgb="FF00000A"/>
      <name val="Arial"/>
      <family val="1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FFFF99"/>
        <bgColor rgb="FFFFFFCC"/>
      </patternFill>
    </fill>
    <fill>
      <patternFill patternType="solid">
        <fgColor rgb="FFFFD7D7"/>
        <bgColor rgb="FFDDDDDD"/>
      </patternFill>
    </fill>
    <fill>
      <patternFill patternType="solid">
        <fgColor rgb="FF99FF99"/>
        <bgColor rgb="FFCCFF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2" xfId="21"/>
  </cellStyles>
  <dxfs count="2">
    <dxf>
      <font>
        <name val="Arial"/>
        <charset val="1"/>
        <family val="2"/>
      </font>
      <fill>
        <patternFill>
          <bgColor rgb="FFFF0059"/>
        </patternFill>
      </fill>
      <border diagonalUp="false" diagonalDown="false">
        <left/>
        <right/>
        <top/>
        <bottom/>
        <diagonal/>
      </border>
    </dxf>
    <dxf>
      <font>
        <name val="Times New Roman"/>
        <charset val="1"/>
        <family val="1"/>
        <b val="0"/>
        <i val="0"/>
        <color rgb="FF000000"/>
      </font>
      <numFmt numFmtId="164" formatCode="[$R$-416]\ #,##0.00;[RED]\-[$R$-416]\ #,##0.00"/>
      <fill>
        <patternFill>
          <bgColor rgb="FFDDDDDD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EEEEEE"/>
      <rgbColor rgb="FFFF0059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J20" activeCellId="0" sqref="J20"/>
    </sheetView>
  </sheetViews>
  <sheetFormatPr defaultColWidth="11.72265625" defaultRowHeight="15" zeroHeight="false" outlineLevelRow="0" outlineLevelCol="0"/>
  <cols>
    <col collapsed="false" customWidth="true" hidden="false" outlineLevel="0" max="1" min="1" style="1" width="8.55"/>
    <col collapsed="false" customWidth="true" hidden="false" outlineLevel="0" max="2" min="2" style="1" width="57.23"/>
    <col collapsed="false" customWidth="true" hidden="false" outlineLevel="0" max="5" min="3" style="1" width="9.18"/>
    <col collapsed="false" customWidth="true" hidden="false" outlineLevel="0" max="6" min="6" style="1" width="56.86"/>
    <col collapsed="false" customWidth="true" hidden="false" outlineLevel="0" max="7" min="7" style="1" width="30.89"/>
    <col collapsed="false" customWidth="true" hidden="false" outlineLevel="0" max="10" min="8" style="1" width="22.55"/>
    <col collapsed="false" customWidth="true" hidden="false" outlineLevel="0" max="11" min="11" style="1" width="19.98"/>
    <col collapsed="false" customWidth="true" hidden="false" outlineLevel="0" max="12" min="12" style="1" width="19.57"/>
    <col collapsed="false" customWidth="true" hidden="false" outlineLevel="0" max="13" min="13" style="1" width="11.54"/>
    <col collapsed="false" customWidth="true" hidden="false" outlineLevel="0" max="14" min="14" style="1" width="13.68"/>
    <col collapsed="false" customWidth="true" hidden="false" outlineLevel="0" max="15" min="15" style="1" width="17.67"/>
    <col collapsed="false" customWidth="true" hidden="false" outlineLevel="0" max="16" min="16" style="1" width="23.76"/>
    <col collapsed="false" customWidth="true" hidden="false" outlineLevel="0" max="17" min="17" style="1" width="9.18"/>
    <col collapsed="false" customWidth="true" hidden="false" outlineLevel="0" max="18" min="18" style="1" width="12.96"/>
    <col collapsed="false" customWidth="true" hidden="false" outlineLevel="0" max="19" min="19" style="1" width="9.18"/>
    <col collapsed="false" customWidth="true" hidden="false" outlineLevel="0" max="20" min="20" style="1" width="16.6"/>
    <col collapsed="false" customWidth="true" hidden="false" outlineLevel="0" max="21" min="21" style="1" width="13.75"/>
    <col collapsed="false" customWidth="true" hidden="false" outlineLevel="0" max="22" min="22" style="1" width="14.03"/>
    <col collapsed="false" customWidth="true" hidden="false" outlineLevel="0" max="64" min="23" style="1" width="9.1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3"/>
      <c r="R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</row>
    <row r="3" customFormat="false" ht="25.9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5.75" hidden="false" customHeight="true" outlineLevel="0" collapsed="false">
      <c r="A4" s="5" t="s">
        <v>3</v>
      </c>
      <c r="B4" s="5" t="s">
        <v>4</v>
      </c>
      <c r="C4" s="6" t="s">
        <v>5</v>
      </c>
      <c r="D4" s="5" t="s">
        <v>6</v>
      </c>
      <c r="E4" s="5" t="s">
        <v>7</v>
      </c>
      <c r="F4" s="7" t="s">
        <v>8</v>
      </c>
      <c r="G4" s="8" t="s">
        <v>9</v>
      </c>
      <c r="H4" s="8"/>
      <c r="I4" s="8"/>
      <c r="J4" s="8" t="s">
        <v>10</v>
      </c>
      <c r="K4" s="8"/>
      <c r="L4" s="8"/>
      <c r="M4" s="6" t="s">
        <v>11</v>
      </c>
      <c r="N4" s="6" t="s">
        <v>12</v>
      </c>
      <c r="O4" s="6" t="s">
        <v>13</v>
      </c>
      <c r="P4" s="6" t="s">
        <v>14</v>
      </c>
    </row>
    <row r="5" customFormat="false" ht="15.75" hidden="false" customHeight="true" outlineLevel="0" collapsed="false">
      <c r="A5" s="5"/>
      <c r="B5" s="5"/>
      <c r="C5" s="5"/>
      <c r="D5" s="5"/>
      <c r="E5" s="5"/>
      <c r="F5" s="9" t="s">
        <v>15</v>
      </c>
      <c r="G5" s="10" t="s">
        <v>16</v>
      </c>
      <c r="H5" s="10"/>
      <c r="I5" s="10"/>
      <c r="J5" s="10" t="s">
        <v>17</v>
      </c>
      <c r="K5" s="10"/>
      <c r="L5" s="10"/>
      <c r="M5" s="6"/>
      <c r="N5" s="6"/>
      <c r="O5" s="6"/>
      <c r="P5" s="6"/>
    </row>
    <row r="6" customFormat="false" ht="17.35" hidden="false" customHeight="false" outlineLevel="0" collapsed="false">
      <c r="A6" s="5"/>
      <c r="B6" s="5"/>
      <c r="C6" s="5"/>
      <c r="D6" s="5"/>
      <c r="E6" s="5"/>
      <c r="F6" s="11" t="s">
        <v>18</v>
      </c>
      <c r="G6" s="11" t="s">
        <v>18</v>
      </c>
      <c r="H6" s="11" t="s">
        <v>19</v>
      </c>
      <c r="I6" s="11" t="s">
        <v>20</v>
      </c>
      <c r="J6" s="11" t="s">
        <v>21</v>
      </c>
      <c r="K6" s="11" t="s">
        <v>22</v>
      </c>
      <c r="L6" s="11" t="s">
        <v>23</v>
      </c>
      <c r="M6" s="6"/>
      <c r="N6" s="6"/>
      <c r="O6" s="6"/>
      <c r="P6" s="6"/>
    </row>
    <row r="7" customFormat="false" ht="17.35" hidden="false" customHeight="false" outlineLevel="0" collapsed="false">
      <c r="A7" s="5"/>
      <c r="B7" s="5"/>
      <c r="C7" s="5"/>
      <c r="D7" s="5"/>
      <c r="E7" s="5"/>
      <c r="F7" s="11" t="s">
        <v>24</v>
      </c>
      <c r="G7" s="11" t="s">
        <v>24</v>
      </c>
      <c r="H7" s="11" t="s">
        <v>24</v>
      </c>
      <c r="I7" s="11" t="s">
        <v>24</v>
      </c>
      <c r="J7" s="11" t="s">
        <v>24</v>
      </c>
      <c r="K7" s="11" t="s">
        <v>24</v>
      </c>
      <c r="L7" s="11" t="s">
        <v>24</v>
      </c>
      <c r="M7" s="6"/>
      <c r="N7" s="6"/>
      <c r="O7" s="6"/>
      <c r="P7" s="6"/>
      <c r="Q7" s="12"/>
      <c r="R7" s="12"/>
      <c r="S7" s="12"/>
      <c r="T7" s="12"/>
      <c r="U7" s="12"/>
      <c r="V7" s="12"/>
    </row>
    <row r="8" customFormat="false" ht="52.8" hidden="false" customHeight="true" outlineLevel="0" collapsed="false">
      <c r="A8" s="13" t="n">
        <f aca="false">ROW()-7</f>
        <v>1</v>
      </c>
      <c r="B8" s="14" t="s">
        <v>25</v>
      </c>
      <c r="C8" s="15" t="n">
        <v>2312</v>
      </c>
      <c r="D8" s="15" t="s">
        <v>6</v>
      </c>
      <c r="E8" s="16" t="n">
        <v>100</v>
      </c>
      <c r="F8" s="17"/>
      <c r="G8" s="17" t="n">
        <v>102.43</v>
      </c>
      <c r="H8" s="17" t="n">
        <v>150.53</v>
      </c>
      <c r="I8" s="17" t="n">
        <v>132.9</v>
      </c>
      <c r="J8" s="0"/>
      <c r="K8" s="0"/>
      <c r="L8" s="0"/>
      <c r="M8" s="18" t="n">
        <f aca="false">COUNT(F8:L8)</f>
        <v>3</v>
      </c>
      <c r="N8" s="18" t="n">
        <f aca="false">COUNTIFS(F8:L8,"&lt;="&amp;Analise!G4,F8:L8,"&gt;="&amp;Analise!H4)</f>
        <v>3</v>
      </c>
      <c r="O8" s="19" t="n">
        <f aca="false">ROUND(SUMIFS(F8:L8,F8:L8,"&lt;="&amp;Analise!G4,F8:L8,"&gt;="&amp;Analise!H4)/N8,2)</f>
        <v>128.62</v>
      </c>
      <c r="P8" s="19" t="n">
        <f aca="false">O8*E8</f>
        <v>12862</v>
      </c>
      <c r="Q8" s="12"/>
      <c r="R8" s="20"/>
      <c r="S8" s="12"/>
      <c r="T8" s="12"/>
      <c r="U8" s="21"/>
      <c r="V8" s="21"/>
    </row>
    <row r="9" customFormat="false" ht="17.35" hidden="false" customHeight="false" outlineLevel="0" collapsed="false">
      <c r="A9" s="13" t="n">
        <f aca="false">ROW()-7</f>
        <v>2</v>
      </c>
      <c r="B9" s="22" t="s">
        <v>26</v>
      </c>
      <c r="C9" s="15" t="n">
        <v>41232</v>
      </c>
      <c r="D9" s="15" t="s">
        <v>6</v>
      </c>
      <c r="E9" s="16" t="n">
        <v>100</v>
      </c>
      <c r="F9" s="17"/>
      <c r="G9" s="17" t="n">
        <v>6003.43</v>
      </c>
      <c r="H9" s="17" t="n">
        <v>8604.53</v>
      </c>
      <c r="I9" s="17" t="n">
        <v>8510.9</v>
      </c>
      <c r="J9" s="0"/>
      <c r="K9" s="0"/>
      <c r="L9" s="0"/>
      <c r="M9" s="18" t="n">
        <f aca="false">COUNT(F9:L9)</f>
        <v>3</v>
      </c>
      <c r="N9" s="18" t="n">
        <f aca="false">COUNTIFS(F9:L9,"&lt;="&amp;Analise!G5,F9:L9,"&gt;="&amp;Analise!H5)</f>
        <v>3</v>
      </c>
      <c r="O9" s="19" t="n">
        <f aca="false">ROUND(SUMIFS(F9:L9,F9:L9,"&lt;="&amp;Analise!G5,F9:L9,"&gt;="&amp;Analise!H5)/N9,2)</f>
        <v>7706.29</v>
      </c>
      <c r="P9" s="19" t="n">
        <f aca="false">O9*E9</f>
        <v>770629</v>
      </c>
    </row>
    <row r="10" customFormat="false" ht="65.4" hidden="false" customHeight="true" outlineLevel="0" collapsed="false">
      <c r="A10" s="13" t="n">
        <f aca="false">ROW()-7</f>
        <v>3</v>
      </c>
      <c r="B10" s="22" t="s">
        <v>27</v>
      </c>
      <c r="C10" s="15" t="n">
        <v>1232</v>
      </c>
      <c r="D10" s="15" t="s">
        <v>6</v>
      </c>
      <c r="E10" s="16" t="n">
        <v>100</v>
      </c>
      <c r="F10" s="17"/>
      <c r="G10" s="17" t="n">
        <v>12000</v>
      </c>
      <c r="H10" s="17" t="n">
        <v>11605.53</v>
      </c>
      <c r="I10" s="17" t="n">
        <v>10511.9</v>
      </c>
      <c r="J10" s="0"/>
      <c r="K10" s="0"/>
      <c r="L10" s="0"/>
      <c r="M10" s="18" t="n">
        <f aca="false">COUNT(F10:L10)</f>
        <v>3</v>
      </c>
      <c r="N10" s="18" t="n">
        <f aca="false">COUNTIFS(F10:L10,"&lt;="&amp;Analise!G6,F10:L10,"&gt;="&amp;Analise!H6)</f>
        <v>3</v>
      </c>
      <c r="O10" s="19" t="n">
        <f aca="false">ROUND(SUMIFS(F10:L10,F10:L10,"&lt;="&amp;Analise!G6,F10:L10,"&gt;="&amp;Analise!H6)/N10,2)</f>
        <v>11372.48</v>
      </c>
      <c r="P10" s="19" t="n">
        <f aca="false">O10*E10</f>
        <v>1137248</v>
      </c>
    </row>
    <row r="11" customFormat="false" ht="17.35" hidden="false" customHeight="false" outlineLevel="0" collapsed="false">
      <c r="A11" s="13" t="n">
        <f aca="false">ROW()-7</f>
        <v>4</v>
      </c>
      <c r="B11" s="22" t="s">
        <v>28</v>
      </c>
      <c r="C11" s="15" t="n">
        <v>5643</v>
      </c>
      <c r="D11" s="15" t="s">
        <v>6</v>
      </c>
      <c r="E11" s="16" t="n">
        <v>100</v>
      </c>
      <c r="F11" s="17"/>
      <c r="G11" s="17" t="n">
        <v>6005.43</v>
      </c>
      <c r="H11" s="17" t="n">
        <v>8606.53</v>
      </c>
      <c r="I11" s="17" t="n">
        <v>8512.9</v>
      </c>
      <c r="J11" s="0"/>
      <c r="K11" s="0"/>
      <c r="L11" s="0"/>
      <c r="M11" s="18" t="n">
        <f aca="false">COUNT(F11:L11)</f>
        <v>3</v>
      </c>
      <c r="N11" s="18" t="n">
        <f aca="false">COUNTIFS(F11:L11,"&lt;="&amp;Analise!G7,F11:L11,"&gt;="&amp;Analise!H7)</f>
        <v>3</v>
      </c>
      <c r="O11" s="19" t="n">
        <f aca="false">ROUND(SUMIFS(F11:L11,F11:L11,"&lt;="&amp;Analise!G7,F11:L11,"&gt;="&amp;Analise!H7)/N11,2)</f>
        <v>7708.29</v>
      </c>
      <c r="P11" s="19" t="n">
        <f aca="false">O11*E11</f>
        <v>770829</v>
      </c>
    </row>
    <row r="12" customFormat="false" ht="74.6" hidden="false" customHeight="true" outlineLevel="0" collapsed="false">
      <c r="A12" s="13" t="n">
        <f aca="false">ROW()-7</f>
        <v>5</v>
      </c>
      <c r="B12" s="22" t="s">
        <v>29</v>
      </c>
      <c r="C12" s="15" t="n">
        <v>2123</v>
      </c>
      <c r="D12" s="15" t="s">
        <v>6</v>
      </c>
      <c r="E12" s="16" t="n">
        <v>100</v>
      </c>
      <c r="F12" s="17"/>
      <c r="G12" s="17" t="n">
        <v>6006.43</v>
      </c>
      <c r="H12" s="17" t="n">
        <v>8513.9</v>
      </c>
      <c r="I12" s="17" t="n">
        <v>8513.9</v>
      </c>
      <c r="J12" s="17"/>
      <c r="K12" s="17"/>
      <c r="L12" s="17"/>
      <c r="M12" s="18" t="n">
        <f aca="false">COUNT(F12:L12)</f>
        <v>3</v>
      </c>
      <c r="N12" s="18" t="n">
        <f aca="false">COUNTIFS(F12:L12,"&lt;="&amp;Analise!G8,F12:L12,"&gt;="&amp;Analise!H8)</f>
        <v>3</v>
      </c>
      <c r="O12" s="19" t="n">
        <f aca="false">ROUND(SUMIFS(F12:L12,F12:L12,"&lt;="&amp;Analise!G8,F12:L12,"&gt;="&amp;Analise!H8)/N12,2)</f>
        <v>7678.08</v>
      </c>
      <c r="P12" s="19" t="n">
        <f aca="false">O12*E12</f>
        <v>767808</v>
      </c>
    </row>
    <row r="13" customFormat="false" ht="17.35" hidden="false" customHeight="false" outlineLevel="0" collapsed="false">
      <c r="A13" s="13" t="n">
        <f aca="false">ROW()-7</f>
        <v>6</v>
      </c>
      <c r="B13" s="22" t="s">
        <v>30</v>
      </c>
      <c r="C13" s="15" t="n">
        <v>54262</v>
      </c>
      <c r="D13" s="15" t="s">
        <v>6</v>
      </c>
      <c r="E13" s="16" t="n">
        <v>100</v>
      </c>
      <c r="F13" s="17"/>
      <c r="G13" s="17" t="n">
        <v>6007.43</v>
      </c>
      <c r="H13" s="17" t="n">
        <v>8608.53</v>
      </c>
      <c r="I13" s="17" t="n">
        <v>8514.9</v>
      </c>
      <c r="J13" s="0"/>
      <c r="K13" s="17"/>
      <c r="L13" s="17"/>
      <c r="M13" s="18" t="n">
        <f aca="false">COUNT(F13:L13)</f>
        <v>3</v>
      </c>
      <c r="N13" s="18" t="n">
        <f aca="false">COUNTIFS(F13:L13,"&lt;="&amp;Analise!G9,F13:L13,"&gt;="&amp;Analise!H9)</f>
        <v>3</v>
      </c>
      <c r="O13" s="19" t="n">
        <f aca="false">ROUND(SUMIFS(F13:L13,F13:L13,"&lt;="&amp;Analise!G9,F13:L13,"&gt;="&amp;Analise!H9)/N13,2)</f>
        <v>7710.29</v>
      </c>
      <c r="P13" s="19" t="n">
        <f aca="false">O13*E13</f>
        <v>771029</v>
      </c>
    </row>
    <row r="14" customFormat="false" ht="17.35" hidden="false" customHeight="false" outlineLevel="0" collapsed="false">
      <c r="A14" s="13" t="n">
        <f aca="false">ROW()-7</f>
        <v>7</v>
      </c>
      <c r="B14" s="22" t="s">
        <v>31</v>
      </c>
      <c r="C14" s="15" t="n">
        <v>12344</v>
      </c>
      <c r="D14" s="15" t="s">
        <v>6</v>
      </c>
      <c r="E14" s="16" t="n">
        <v>100</v>
      </c>
      <c r="F14" s="17"/>
      <c r="G14" s="17" t="n">
        <v>6008.43</v>
      </c>
      <c r="H14" s="17" t="n">
        <v>8609.53</v>
      </c>
      <c r="I14" s="17" t="n">
        <v>8515.9</v>
      </c>
      <c r="J14" s="17"/>
      <c r="K14" s="17"/>
      <c r="L14" s="17"/>
      <c r="M14" s="18" t="n">
        <f aca="false">COUNT(F14:L14)</f>
        <v>3</v>
      </c>
      <c r="N14" s="18" t="n">
        <f aca="false">COUNTIFS(F14:L14,"&lt;="&amp;Analise!G10,F14:L14,"&gt;="&amp;Analise!H10)</f>
        <v>3</v>
      </c>
      <c r="O14" s="19" t="n">
        <f aca="false">ROUND(SUMIFS(F14:L14,F14:L14,"&lt;="&amp;Analise!G10,F14:L14,"&gt;="&amp;Analise!H10)/N14,2)</f>
        <v>7711.29</v>
      </c>
      <c r="P14" s="19" t="n">
        <f aca="false">O14*E14</f>
        <v>771129</v>
      </c>
    </row>
    <row r="15" customFormat="false" ht="17.35" hidden="false" customHeight="false" outlineLevel="0" collapsed="false">
      <c r="A15" s="13" t="n">
        <f aca="false">ROW()-7</f>
        <v>8</v>
      </c>
      <c r="B15" s="14" t="s">
        <v>32</v>
      </c>
      <c r="C15" s="15" t="n">
        <v>2313</v>
      </c>
      <c r="D15" s="15" t="s">
        <v>6</v>
      </c>
      <c r="E15" s="16" t="n">
        <v>10</v>
      </c>
      <c r="F15" s="17"/>
      <c r="G15" s="17" t="n">
        <v>6003.43</v>
      </c>
      <c r="H15" s="17" t="n">
        <v>8604.53</v>
      </c>
      <c r="I15" s="17" t="n">
        <v>8510.9</v>
      </c>
      <c r="J15" s="17"/>
      <c r="K15" s="17"/>
      <c r="L15" s="17"/>
      <c r="M15" s="18" t="n">
        <f aca="false">COUNT(F15:L15)</f>
        <v>3</v>
      </c>
      <c r="N15" s="18" t="n">
        <f aca="false">COUNTIFS(F15:L15,"&lt;="&amp;Analise!G11,F15:L15,"&gt;="&amp;Analise!H11)</f>
        <v>3</v>
      </c>
      <c r="O15" s="19" t="n">
        <f aca="false">ROUND(SUMIFS(F15:L15,F15:L15,"&lt;="&amp;Analise!G11,F15:L15,"&gt;="&amp;Analise!H11)/N15,2)</f>
        <v>7706.29</v>
      </c>
      <c r="P15" s="19" t="n">
        <f aca="false">O15*E15</f>
        <v>77062.9</v>
      </c>
    </row>
  </sheetData>
  <mergeCells count="15">
    <mergeCell ref="A1:P2"/>
    <mergeCell ref="A3:P3"/>
    <mergeCell ref="A4:A7"/>
    <mergeCell ref="B4:B7"/>
    <mergeCell ref="C4:C7"/>
    <mergeCell ref="D4:D7"/>
    <mergeCell ref="E4:E7"/>
    <mergeCell ref="G4:I4"/>
    <mergeCell ref="J4:L4"/>
    <mergeCell ref="M4:M7"/>
    <mergeCell ref="N4:N7"/>
    <mergeCell ref="O4:O7"/>
    <mergeCell ref="P4:P7"/>
    <mergeCell ref="G5:I5"/>
    <mergeCell ref="J5:L5"/>
  </mergeCells>
  <conditionalFormatting sqref="N8:N15">
    <cfRule type="cellIs" priority="2" operator="lessThan" aboveAverage="0" equalAverage="0" bottom="0" percent="0" rank="0" text="" dxfId="0">
      <formula>3</formula>
    </cfRule>
  </conditionalFormatting>
  <conditionalFormatting sqref="F8:F15 G8:I11 G12:L12 G14:L15 G13:I13 K13:L13">
    <cfRule type="cellIs" priority="3" operator="notBetween" aboveAverage="0" equalAverage="0" bottom="0" percent="0" rank="0" text="" dxfId="1">
      <formula>Analise!$G4</formula>
      <formula>Analise!$H4</formula>
    </cfRule>
  </conditionalFormatting>
  <printOptions headings="false" gridLines="false" gridLinesSet="true" horizontalCentered="false" verticalCentered="false"/>
  <pageMargins left="0.178472222222222" right="0.138194444444444" top="0.404166666666667" bottom="0.345138888888889" header="0.511811023622047" footer="0.511811023622047"/>
  <pageSetup paperSize="9" scale="4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" activeCellId="0" sqref="A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43"/>
    <col collapsed="false" customWidth="true" hidden="false" outlineLevel="0" max="3" min="3" style="0" width="13.63"/>
    <col collapsed="false" customWidth="true" hidden="false" outlineLevel="0" max="4" min="4" style="0" width="13.5"/>
    <col collapsed="false" customWidth="true" hidden="false" outlineLevel="0" max="5" min="5" style="0" width="14.69"/>
    <col collapsed="false" customWidth="true" hidden="false" outlineLevel="0" max="6" min="6" style="0" width="14.16"/>
    <col collapsed="false" customWidth="true" hidden="false" outlineLevel="0" max="7" min="7" style="0" width="12.15"/>
    <col collapsed="false" customWidth="true" hidden="false" outlineLevel="0" max="8" min="8" style="0" width="13.5"/>
    <col collapsed="false" customWidth="true" hidden="false" outlineLevel="0" max="9" min="9" style="0" width="15.39"/>
    <col collapsed="false" customWidth="true" hidden="false" outlineLevel="0" max="10" min="10" style="0" width="24.7"/>
  </cols>
  <sheetData>
    <row r="1" customFormat="false" ht="23.85" hidden="false" customHeight="false" outlineLevel="0" collapsed="false">
      <c r="A1" s="23" t="s">
        <v>33</v>
      </c>
      <c r="B1" s="23"/>
      <c r="C1" s="23"/>
      <c r="D1" s="23"/>
      <c r="E1" s="23"/>
      <c r="F1" s="23"/>
      <c r="G1" s="23"/>
      <c r="H1" s="23"/>
      <c r="I1" s="24" t="s">
        <v>34</v>
      </c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5" t="n">
        <v>0.45</v>
      </c>
      <c r="J2" s="26"/>
    </row>
    <row r="3" customFormat="false" ht="35.05" hidden="false" customHeight="false" outlineLevel="0" collapsed="false">
      <c r="A3" s="27" t="s">
        <v>35</v>
      </c>
      <c r="B3" s="28" t="s">
        <v>36</v>
      </c>
      <c r="C3" s="28" t="s">
        <v>37</v>
      </c>
      <c r="D3" s="28" t="s">
        <v>38</v>
      </c>
      <c r="E3" s="28" t="s">
        <v>39</v>
      </c>
      <c r="F3" s="28" t="s">
        <v>40</v>
      </c>
      <c r="G3" s="29" t="s">
        <v>41</v>
      </c>
      <c r="H3" s="30" t="s">
        <v>42</v>
      </c>
    </row>
    <row r="4" customFormat="false" ht="12.8" hidden="false" customHeight="false" outlineLevel="0" collapsed="false">
      <c r="A4" s="27" t="n">
        <v>1</v>
      </c>
      <c r="B4" s="31" t="n">
        <f aca="false">Mapa!M8-2</f>
        <v>1</v>
      </c>
      <c r="C4" s="32" t="n">
        <f aca="false">SMALL(Mapa!F8:L8,1)</f>
        <v>102.43</v>
      </c>
      <c r="D4" s="32" t="n">
        <f aca="false">LARGE(Mapa!F8:L8,1)</f>
        <v>150.53</v>
      </c>
      <c r="E4" s="32" t="n">
        <f aca="false">SUM(Mapa!F8:L8)-C4-D4</f>
        <v>132.9</v>
      </c>
      <c r="F4" s="32" t="n">
        <f aca="false">E4/B4</f>
        <v>132.9</v>
      </c>
      <c r="G4" s="32" t="n">
        <f aca="false">F4*(1+$I$2)</f>
        <v>192.705</v>
      </c>
      <c r="H4" s="32" t="n">
        <f aca="false">F4*(1-$I$2)</f>
        <v>73.095</v>
      </c>
    </row>
    <row r="5" customFormat="false" ht="12.8" hidden="false" customHeight="false" outlineLevel="0" collapsed="false">
      <c r="A5" s="27" t="n">
        <v>2</v>
      </c>
      <c r="B5" s="31" t="n">
        <f aca="false">Mapa!M9-2</f>
        <v>1</v>
      </c>
      <c r="C5" s="32" t="n">
        <f aca="false">SMALL(Mapa!F9:L9,1)</f>
        <v>6003.43</v>
      </c>
      <c r="D5" s="32" t="n">
        <f aca="false">LARGE(Mapa!F9:L9,1)</f>
        <v>8604.53</v>
      </c>
      <c r="E5" s="32" t="n">
        <f aca="false">SUM(Mapa!F9:L9)-C5-D5</f>
        <v>8510.9</v>
      </c>
      <c r="F5" s="32" t="n">
        <f aca="false">E5/B5</f>
        <v>8510.9</v>
      </c>
      <c r="G5" s="32" t="n">
        <f aca="false">F5*(1+$I$2)</f>
        <v>12340.805</v>
      </c>
      <c r="H5" s="32" t="n">
        <f aca="false">F5*(1-$I$2)</f>
        <v>4680.995</v>
      </c>
    </row>
    <row r="6" customFormat="false" ht="12.8" hidden="false" customHeight="false" outlineLevel="0" collapsed="false">
      <c r="A6" s="27" t="n">
        <v>3</v>
      </c>
      <c r="B6" s="31" t="n">
        <f aca="false">Mapa!M10-2</f>
        <v>1</v>
      </c>
      <c r="C6" s="32" t="n">
        <f aca="false">SMALL(Mapa!F10:L10,1)</f>
        <v>10511.9</v>
      </c>
      <c r="D6" s="32" t="n">
        <f aca="false">LARGE(Mapa!F10:L10,1)</f>
        <v>12000</v>
      </c>
      <c r="E6" s="32" t="n">
        <f aca="false">SUM(Mapa!F10:L10)-C6-D6</f>
        <v>11605.53</v>
      </c>
      <c r="F6" s="32" t="n">
        <f aca="false">E6/B6</f>
        <v>11605.53</v>
      </c>
      <c r="G6" s="32" t="n">
        <f aca="false">F6*(1+$I$2)</f>
        <v>16828.0185</v>
      </c>
      <c r="H6" s="32" t="n">
        <f aca="false">F6*(1-$I$2)</f>
        <v>6383.0415</v>
      </c>
    </row>
    <row r="7" customFormat="false" ht="12.8" hidden="false" customHeight="false" outlineLevel="0" collapsed="false">
      <c r="A7" s="27" t="n">
        <v>4</v>
      </c>
      <c r="B7" s="31" t="n">
        <f aca="false">Mapa!M11-2</f>
        <v>1</v>
      </c>
      <c r="C7" s="32" t="n">
        <f aca="false">SMALL(Mapa!F11:L11,1)</f>
        <v>6005.43</v>
      </c>
      <c r="D7" s="32" t="n">
        <f aca="false">LARGE(Mapa!F11:L11,1)</f>
        <v>8606.53</v>
      </c>
      <c r="E7" s="32" t="n">
        <f aca="false">SUM(Mapa!F11:L11)-C7-D7</f>
        <v>8512.9</v>
      </c>
      <c r="F7" s="32" t="n">
        <f aca="false">E7/B7</f>
        <v>8512.9</v>
      </c>
      <c r="G7" s="32" t="n">
        <f aca="false">F7*(1+$I$2)</f>
        <v>12343.705</v>
      </c>
      <c r="H7" s="32" t="n">
        <f aca="false">F7*(1-$I$2)</f>
        <v>4682.095</v>
      </c>
    </row>
    <row r="8" customFormat="false" ht="12.8" hidden="false" customHeight="false" outlineLevel="0" collapsed="false">
      <c r="A8" s="27" t="n">
        <v>5</v>
      </c>
      <c r="B8" s="31" t="n">
        <f aca="false">Mapa!M12-2</f>
        <v>1</v>
      </c>
      <c r="C8" s="32" t="n">
        <f aca="false">SMALL(Mapa!F12:L12,1)</f>
        <v>6006.43</v>
      </c>
      <c r="D8" s="32" t="n">
        <f aca="false">LARGE(Mapa!F12:L12,1)</f>
        <v>8513.9</v>
      </c>
      <c r="E8" s="32" t="n">
        <f aca="false">SUM(Mapa!F12:L12)-C8-D8</f>
        <v>8513.9</v>
      </c>
      <c r="F8" s="32" t="n">
        <f aca="false">E8/B8</f>
        <v>8513.9</v>
      </c>
      <c r="G8" s="32" t="n">
        <f aca="false">F8*(1+$I$2)</f>
        <v>12345.155</v>
      </c>
      <c r="H8" s="32" t="n">
        <f aca="false">F8*(1-$I$2)</f>
        <v>4682.645</v>
      </c>
    </row>
    <row r="9" customFormat="false" ht="12.8" hidden="false" customHeight="false" outlineLevel="0" collapsed="false">
      <c r="A9" s="27" t="n">
        <v>6</v>
      </c>
      <c r="B9" s="31" t="n">
        <f aca="false">Mapa!M13-2</f>
        <v>1</v>
      </c>
      <c r="C9" s="32" t="n">
        <f aca="false">SMALL(Mapa!F13:L13,1)</f>
        <v>6007.43</v>
      </c>
      <c r="D9" s="32" t="n">
        <f aca="false">LARGE(Mapa!F13:L13,1)</f>
        <v>8608.53</v>
      </c>
      <c r="E9" s="32" t="n">
        <f aca="false">SUM(Mapa!F13:L13)-C9-D9</f>
        <v>8514.9</v>
      </c>
      <c r="F9" s="32" t="n">
        <f aca="false">E9/B9</f>
        <v>8514.9</v>
      </c>
      <c r="G9" s="32" t="n">
        <f aca="false">F9*(1+$I$2)</f>
        <v>12346.605</v>
      </c>
      <c r="H9" s="32" t="n">
        <f aca="false">F9*(1-$I$2)</f>
        <v>4683.195</v>
      </c>
    </row>
    <row r="10" customFormat="false" ht="12.8" hidden="false" customHeight="false" outlineLevel="0" collapsed="false">
      <c r="A10" s="27" t="n">
        <v>7</v>
      </c>
      <c r="B10" s="31" t="n">
        <f aca="false">Mapa!M14-2</f>
        <v>1</v>
      </c>
      <c r="C10" s="32" t="n">
        <f aca="false">SMALL(Mapa!F14:L14,1)</f>
        <v>6008.43</v>
      </c>
      <c r="D10" s="32" t="n">
        <f aca="false">LARGE(Mapa!F14:L14,1)</f>
        <v>8609.53</v>
      </c>
      <c r="E10" s="32" t="n">
        <f aca="false">SUM(Mapa!F14:L14)-C10-D10</f>
        <v>8515.9</v>
      </c>
      <c r="F10" s="32" t="n">
        <f aca="false">E10/B10</f>
        <v>8515.9</v>
      </c>
      <c r="G10" s="32" t="n">
        <f aca="false">F10*(1+$I$2)</f>
        <v>12348.055</v>
      </c>
      <c r="H10" s="32" t="n">
        <f aca="false">F10*(1-$I$2)</f>
        <v>4683.745</v>
      </c>
    </row>
    <row r="11" customFormat="false" ht="12.8" hidden="false" customHeight="false" outlineLevel="0" collapsed="false">
      <c r="A11" s="27" t="n">
        <v>8</v>
      </c>
      <c r="B11" s="31" t="n">
        <f aca="false">Mapa!M15-2</f>
        <v>1</v>
      </c>
      <c r="C11" s="32" t="n">
        <f aca="false">SMALL(Mapa!F15:L15,1)</f>
        <v>6003.43</v>
      </c>
      <c r="D11" s="32" t="n">
        <f aca="false">LARGE(Mapa!F15:L15,1)</f>
        <v>8604.53</v>
      </c>
      <c r="E11" s="32" t="n">
        <f aca="false">SUM(Mapa!F15:L15)-C11-D11</f>
        <v>8510.9</v>
      </c>
      <c r="F11" s="32" t="n">
        <f aca="false">E11/B11</f>
        <v>8510.9</v>
      </c>
      <c r="G11" s="32" t="n">
        <f aca="false">F11*(1+$I$2)</f>
        <v>12340.805</v>
      </c>
      <c r="H11" s="32" t="n">
        <f aca="false">F11*(1-$I$2)</f>
        <v>4680.995</v>
      </c>
    </row>
  </sheetData>
  <mergeCells count="1">
    <mergeCell ref="A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3" width="11.49"/>
    <col collapsed="false" customWidth="true" hidden="false" outlineLevel="0" max="2" min="2" style="0" width="34.59"/>
    <col collapsed="false" customWidth="true" hidden="false" outlineLevel="0" max="3" min="3" style="0" width="10.69"/>
    <col collapsed="false" customWidth="true" hidden="false" outlineLevel="0" max="4" min="4" style="0" width="14.88"/>
    <col collapsed="false" customWidth="true" hidden="false" outlineLevel="0" max="5" min="5" style="0" width="9.72"/>
    <col collapsed="false" customWidth="true" hidden="false" outlineLevel="0" max="6" min="6" style="0" width="14.03"/>
    <col collapsed="false" customWidth="true" hidden="false" outlineLevel="0" max="7" min="7" style="0" width="12.37"/>
    <col collapsed="false" customWidth="true" hidden="false" outlineLevel="0" max="8" min="8" style="0" width="8.38"/>
    <col collapsed="false" customWidth="true" hidden="false" outlineLevel="0" max="10" min="10" style="0" width="17.09"/>
    <col collapsed="false" customWidth="true" hidden="false" outlineLevel="0" max="11" min="11" style="0" width="14.88"/>
    <col collapsed="false" customWidth="true" hidden="false" outlineLevel="0" max="14" min="14" style="0" width="29.9"/>
  </cols>
  <sheetData>
    <row r="1" customFormat="false" ht="32.15" hidden="false" customHeight="true" outlineLevel="0" collapsed="false">
      <c r="A1" s="34" t="s">
        <v>43</v>
      </c>
      <c r="B1" s="35" t="s">
        <v>44</v>
      </c>
      <c r="C1" s="35" t="s">
        <v>45</v>
      </c>
      <c r="D1" s="35" t="s">
        <v>46</v>
      </c>
      <c r="E1" s="36" t="s">
        <v>47</v>
      </c>
      <c r="F1" s="35" t="s">
        <v>48</v>
      </c>
      <c r="G1" s="35" t="s">
        <v>49</v>
      </c>
      <c r="M1" s="0" t="s">
        <v>50</v>
      </c>
      <c r="P1" s="37" t="s">
        <v>51</v>
      </c>
      <c r="Q1" s="37"/>
    </row>
    <row r="2" customFormat="false" ht="103.3" hidden="false" customHeight="true" outlineLevel="0" collapsed="false">
      <c r="A2" s="38" t="n">
        <f aca="false">IF(M2="SIM",Mapa!A8+Q2)</f>
        <v>0</v>
      </c>
      <c r="B2" s="39" t="e">
        <f aca="false">VLOOKUP("SIM",M2:N2,2,0)&amp;" (Cota reservada do item "&amp;Mapa!A8&amp;" para ME/EPP em "&amp;G2*100&amp;"%)"</f>
        <v>#N/A</v>
      </c>
      <c r="C2" s="12" t="str">
        <f aca="false">IF(Mapa!Q8="SIM",INT(0.25*Mapa!E8),"-")</f>
        <v>-</v>
      </c>
      <c r="D2" s="21" t="str">
        <f aca="false">IF(Mapa!Q8="SIM",Mapa!P8*G2,"-")</f>
        <v>-</v>
      </c>
      <c r="E2" s="40" t="e">
        <f aca="false">Mapa!E8-C2</f>
        <v>#VALUE!</v>
      </c>
      <c r="F2" s="41" t="e">
        <f aca="false">Mapa!P8-D2</f>
        <v>#VALUE!</v>
      </c>
      <c r="G2" s="20" t="e">
        <f aca="false">ROUND(IF(Mapa!Q8="sim",C2/Mapa!E8,"-"),4)</f>
        <v>#VALUE!</v>
      </c>
      <c r="M2" s="40" t="n">
        <f aca="false">Mapa!Q8</f>
        <v>0</v>
      </c>
      <c r="N2" s="42" t="str">
        <f aca="false">Mapa!B8</f>
        <v>Aparelho de ar condicionado tipo Split (hi-wall) INVERTER, com unidade evaporadora e condensadora, Conforme Ficha de Especificação Cod: FET.DT.P01.001</v>
      </c>
      <c r="P2" s="36" t="s">
        <v>52</v>
      </c>
      <c r="Q2" s="40" t="n">
        <f aca="false">COUNTIF(M:M,"SIM")</f>
        <v>0</v>
      </c>
      <c r="R2" s="40" t="n">
        <f aca="false">COUNTIF(M:M,"não")</f>
        <v>0</v>
      </c>
    </row>
    <row r="3" customFormat="false" ht="35.05" hidden="false" customHeight="false" outlineLevel="0" collapsed="false">
      <c r="A3" s="38" t="e">
        <f aca="false">IF(M3="SIM",#REF!+Q3)</f>
        <v>#REF!</v>
      </c>
      <c r="B3" s="39" t="e">
        <f aca="false">VLOOKUP("SIM",M3:N3,2,0)&amp;" (Cota reservada do item "&amp;#REF!&amp;" para ME/EPP em "&amp;G3*100&amp;"%)"</f>
        <v>#N/A</v>
      </c>
      <c r="C3" s="12" t="e">
        <f aca="false">IF(#REF!="SIM",INT(0.25*#REF!),"-")</f>
        <v>#REF!</v>
      </c>
      <c r="D3" s="21" t="e">
        <f aca="false">IF(#REF!="SIM",#REF!*G3,"-")</f>
        <v>#REF!</v>
      </c>
      <c r="E3" s="40" t="e">
        <f aca="false">#REF!-C3</f>
        <v>#REF!</v>
      </c>
      <c r="F3" s="41" t="e">
        <f aca="false">#REF!-D3</f>
        <v>#REF!</v>
      </c>
      <c r="G3" s="20" t="e">
        <f aca="false">ROUND(IF(#REF!="sim",C3/#REF!,"-"),4)</f>
        <v>#REF!</v>
      </c>
      <c r="M3" s="40" t="e">
        <f aca="false">#REF!</f>
        <v>#REF!</v>
      </c>
      <c r="N3" s="42" t="e">
        <f aca="false">#REF!</f>
        <v>#REF!</v>
      </c>
      <c r="P3" s="36" t="s">
        <v>52</v>
      </c>
      <c r="Q3" s="40" t="n">
        <f aca="false">COUNT(Mapa!A:A)</f>
        <v>8</v>
      </c>
      <c r="R3" s="40"/>
    </row>
    <row r="4" customFormat="false" ht="35.05" hidden="false" customHeight="false" outlineLevel="0" collapsed="false">
      <c r="A4" s="38" t="e">
        <f aca="false">IF(M4="SIM",#REF!+Q4)</f>
        <v>#REF!</v>
      </c>
      <c r="B4" s="39" t="e">
        <f aca="false">VLOOKUP("SIM",M4:N4,2,0)&amp;" (Cota reservada do item "&amp;#REF!&amp;" para ME/EPP em "&amp;G4*100&amp;"%)"</f>
        <v>#N/A</v>
      </c>
      <c r="C4" s="12" t="e">
        <f aca="false">IF(#REF!="SIM",INT(0.25*#REF!),"-")</f>
        <v>#REF!</v>
      </c>
      <c r="D4" s="21" t="e">
        <f aca="false">IF(#REF!="SIM",#REF!*G4,"-")</f>
        <v>#REF!</v>
      </c>
      <c r="E4" s="40" t="e">
        <f aca="false">#REF!-C4</f>
        <v>#REF!</v>
      </c>
      <c r="F4" s="41" t="e">
        <f aca="false">#REF!-D4</f>
        <v>#REF!</v>
      </c>
      <c r="G4" s="20" t="e">
        <f aca="false">ROUND(IF(#REF!="sim",C4/#REF!,"-"),4)</f>
        <v>#REF!</v>
      </c>
      <c r="M4" s="40" t="e">
        <f aca="false">#REF!</f>
        <v>#REF!</v>
      </c>
      <c r="N4" s="42" t="e">
        <f aca="false">#REF!</f>
        <v>#REF!</v>
      </c>
      <c r="P4" s="36" t="s">
        <v>52</v>
      </c>
      <c r="Q4" s="40" t="n">
        <f aca="false">COUNT(Mapa!A:A)</f>
        <v>8</v>
      </c>
      <c r="R4" s="40"/>
    </row>
    <row r="5" customFormat="false" ht="12.8" hidden="false" customHeight="true" outlineLevel="0" collapsed="false">
      <c r="R5" s="40"/>
    </row>
    <row r="6" customFormat="false" ht="12.8" hidden="false" customHeight="true" outlineLevel="0" collapsed="false">
      <c r="R6" s="40"/>
    </row>
    <row r="7" customFormat="false" ht="12.8" hidden="false" customHeight="true" outlineLevel="0" collapsed="false">
      <c r="R7" s="40"/>
    </row>
    <row r="8" customFormat="false" ht="12.8" hidden="false" customHeight="true" outlineLevel="0" collapsed="false">
      <c r="R8" s="40"/>
    </row>
    <row r="9" customFormat="false" ht="12.8" hidden="false" customHeight="true" outlineLevel="0" collapsed="false">
      <c r="R9" s="40"/>
    </row>
    <row r="10" customFormat="false" ht="12.8" hidden="false" customHeight="true" outlineLevel="0" collapsed="false">
      <c r="R10" s="40"/>
    </row>
    <row r="11" customFormat="false" ht="12.8" hidden="false" customHeight="true" outlineLevel="0" collapsed="false">
      <c r="R11" s="40"/>
    </row>
    <row r="12" customFormat="false" ht="12.8" hidden="false" customHeight="true" outlineLevel="0" collapsed="false">
      <c r="R12" s="40"/>
    </row>
  </sheetData>
  <mergeCells count="1"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2020-02-19T13:20:43Z</dcterms:created>
  <dc:creator/>
  <dc:description/>
  <dc:language>pt-BR</dc:language>
  <cp:lastModifiedBy/>
  <cp:lastPrinted>2020-05-20T11:07:00Z</cp:lastPrinted>
  <dcterms:modified xsi:type="dcterms:W3CDTF">2023-10-27T23:56:31Z</dcterms:modified>
  <cp:revision>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