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 1" sheetId="1" r:id="rId4"/>
    <sheet state="visible" name="EXPERIMENTO 2" sheetId="2" r:id="rId5"/>
    <sheet state="visible" name="Último experimento" sheetId="3" r:id="rId6"/>
  </sheets>
  <definedNames/>
  <calcPr/>
</workbook>
</file>

<file path=xl/sharedStrings.xml><?xml version="1.0" encoding="utf-8"?>
<sst xmlns="http://schemas.openxmlformats.org/spreadsheetml/2006/main" count="114" uniqueCount="71">
  <si>
    <t>Dados</t>
  </si>
  <si>
    <t>Medida</t>
  </si>
  <si>
    <t>d1(mm)</t>
  </si>
  <si>
    <t>d2(mm)</t>
  </si>
  <si>
    <t>d3(mm)</t>
  </si>
  <si>
    <t>Média de d</t>
  </si>
  <si>
    <t>σMédia de d</t>
  </si>
  <si>
    <t>Cmedida (pf)</t>
  </si>
  <si>
    <t>σCmedida(pf)</t>
  </si>
  <si>
    <t>Ccapacitor(pf)</t>
  </si>
  <si>
    <t>σCcapacitor(pF)</t>
  </si>
  <si>
    <t>C residual</t>
  </si>
  <si>
    <t>σC residual</t>
  </si>
  <si>
    <t>Dados convertidos na unidade de medida correta</t>
  </si>
  <si>
    <t>d1(metros)</t>
  </si>
  <si>
    <t>d2(metros)</t>
  </si>
  <si>
    <t>d3 (metros)</t>
  </si>
  <si>
    <t>Cmedida (F)</t>
  </si>
  <si>
    <t>σCmedida(F)</t>
  </si>
  <si>
    <t>Ccapacitor(F)</t>
  </si>
  <si>
    <t>σCcapacitor(F)</t>
  </si>
  <si>
    <t>Exercício 3</t>
  </si>
  <si>
    <t>Exercício 4</t>
  </si>
  <si>
    <t>Área</t>
  </si>
  <si>
    <t>Permissivade</t>
  </si>
  <si>
    <t>Exercício 5</t>
  </si>
  <si>
    <t>w = 1/d (m)</t>
  </si>
  <si>
    <t>σw</t>
  </si>
  <si>
    <t>a (m)</t>
  </si>
  <si>
    <t>σa (m)</t>
  </si>
  <si>
    <t>i (A)</t>
  </si>
  <si>
    <t>σi (A)</t>
  </si>
  <si>
    <t>Tabela 1</t>
  </si>
  <si>
    <t>θ</t>
  </si>
  <si>
    <t>σθ</t>
  </si>
  <si>
    <t>tgθ</t>
  </si>
  <si>
    <t>B</t>
  </si>
  <si>
    <t>σB</t>
  </si>
  <si>
    <t>Bo</t>
  </si>
  <si>
    <t xml:space="preserve"> </t>
  </si>
  <si>
    <t>I</t>
  </si>
  <si>
    <t>Tabela 2</t>
  </si>
  <si>
    <t>Tabela 3</t>
  </si>
  <si>
    <t>w</t>
  </si>
  <si>
    <t>Atividade 1</t>
  </si>
  <si>
    <t>Dados questão 1</t>
  </si>
  <si>
    <t>Questão1a</t>
  </si>
  <si>
    <t>Questão1b</t>
  </si>
  <si>
    <t>Questão 1c</t>
  </si>
  <si>
    <t xml:space="preserve">Parâmetro (Unidade) </t>
  </si>
  <si>
    <t>Valor Medido</t>
  </si>
  <si>
    <t>±Incerteza</t>
  </si>
  <si>
    <t xml:space="preserve">RΩ </t>
  </si>
  <si>
    <t>V</t>
  </si>
  <si>
    <t>n = N/L</t>
  </si>
  <si>
    <t>σn</t>
  </si>
  <si>
    <t>ΦB</t>
  </si>
  <si>
    <t>σΦB</t>
  </si>
  <si>
    <t>Np (Voltas)</t>
  </si>
  <si>
    <t>L (x10-² m)</t>
  </si>
  <si>
    <t xml:space="preserve">D (x10-² m)
</t>
  </si>
  <si>
    <t>Dados questão 2</t>
  </si>
  <si>
    <t>Questão 2</t>
  </si>
  <si>
    <t xml:space="preserve"> μ0</t>
  </si>
  <si>
    <t>t (segundos)</t>
  </si>
  <si>
    <t>ℰ</t>
  </si>
  <si>
    <t>Atividade 3</t>
  </si>
  <si>
    <t>Ns</t>
  </si>
  <si>
    <t>Fem pico a pico (mV)</t>
  </si>
  <si>
    <t>Atividade 4</t>
  </si>
  <si>
    <t>Frequência (Hz)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</si>
</sst>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"/>
    <numFmt numFmtId="166" formatCode="0E+00"/>
    <numFmt numFmtId="167" formatCode="0.0E+00"/>
    <numFmt numFmtId="168" formatCode="#,##0.0"/>
    <numFmt numFmtId="169" formatCode="0.00000"/>
    <numFmt numFmtId="170" formatCode="0.000E+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/>
    <font>
      <sz val="7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64" xfId="0" applyBorder="1" applyFont="1" applyNumberFormat="1"/>
    <xf borderId="1" fillId="0" fontId="1" numFmtId="1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1" xfId="0" applyBorder="1" applyFont="1" applyNumberFormat="1"/>
    <xf borderId="1" fillId="0" fontId="1" numFmtId="165" xfId="0" applyAlignment="1" applyBorder="1" applyFont="1" applyNumberFormat="1">
      <alignment readingOrder="0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11" xfId="0" applyAlignment="1" applyBorder="1" applyFont="1" applyNumberFormat="1">
      <alignment horizontal="right" vertical="bottom"/>
    </xf>
    <xf borderId="1" fillId="0" fontId="1" numFmtId="11" xfId="0" applyBorder="1" applyFont="1" applyNumberFormat="1"/>
    <xf borderId="1" fillId="0" fontId="1" numFmtId="166" xfId="0" applyBorder="1" applyFont="1" applyNumberFormat="1"/>
    <xf borderId="1" fillId="0" fontId="2" numFmtId="166" xfId="0" applyAlignment="1" applyBorder="1" applyFont="1" applyNumberFormat="1">
      <alignment horizontal="right" vertical="bottom"/>
    </xf>
    <xf borderId="1" fillId="0" fontId="1" numFmtId="167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11" xfId="0" applyFont="1" applyNumberFormat="1"/>
    <xf borderId="7" fillId="0" fontId="1" numFmtId="0" xfId="0" applyAlignment="1" applyBorder="1" applyFont="1">
      <alignment readingOrder="0"/>
    </xf>
    <xf borderId="8" fillId="0" fontId="1" numFmtId="11" xfId="0" applyBorder="1" applyFont="1" applyNumberFormat="1"/>
    <xf borderId="7" fillId="0" fontId="1" numFmtId="0" xfId="0" applyBorder="1" applyFont="1"/>
    <xf borderId="9" fillId="0" fontId="1" numFmtId="0" xfId="0" applyBorder="1" applyFont="1"/>
    <xf borderId="8" fillId="0" fontId="1" numFmtId="0" xfId="0" applyBorder="1" applyFont="1"/>
    <xf borderId="1" fillId="2" fontId="3" numFmtId="0" xfId="0" applyBorder="1" applyFont="1"/>
    <xf borderId="1" fillId="2" fontId="3" numFmtId="0" xfId="0" applyAlignment="1" applyBorder="1" applyFont="1">
      <alignment readingOrder="0"/>
    </xf>
    <xf borderId="0" fillId="0" fontId="1" numFmtId="0" xfId="0" applyFont="1"/>
    <xf borderId="1" fillId="0" fontId="1" numFmtId="4" xfId="0" applyBorder="1" applyFont="1" applyNumberFormat="1"/>
    <xf borderId="0" fillId="0" fontId="1" numFmtId="4" xfId="0" applyFont="1" applyNumberFormat="1"/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9" fillId="0" fontId="1" numFmtId="0" xfId="0" applyAlignment="1" applyBorder="1" applyFont="1">
      <alignment readingOrder="0"/>
    </xf>
    <xf borderId="0" fillId="0" fontId="1" numFmtId="169" xfId="0" applyAlignment="1" applyFont="1" applyNumberFormat="1">
      <alignment readingOrder="0"/>
    </xf>
    <xf borderId="1" fillId="0" fontId="1" numFmtId="11" xfId="0" applyAlignment="1" applyBorder="1" applyFont="1" applyNumberFormat="1">
      <alignment readingOrder="0"/>
    </xf>
    <xf borderId="1" fillId="0" fontId="1" numFmtId="11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2" xfId="0" applyAlignment="1" applyBorder="1" applyFont="1" applyNumberFormat="1">
      <alignment readingOrder="0"/>
    </xf>
    <xf borderId="11" fillId="0" fontId="1" numFmtId="0" xfId="0" applyAlignment="1" applyBorder="1" applyFont="1">
      <alignment horizontal="center" readingOrder="0"/>
    </xf>
    <xf borderId="12" fillId="0" fontId="4" numFmtId="0" xfId="0" applyBorder="1" applyFont="1"/>
    <xf borderId="10" fillId="0" fontId="1" numFmtId="0" xfId="0" applyAlignment="1" applyBorder="1" applyFont="1">
      <alignment horizontal="center" readingOrder="0"/>
    </xf>
    <xf borderId="13" fillId="0" fontId="4" numFmtId="0" xfId="0" applyBorder="1" applyFont="1"/>
    <xf borderId="1" fillId="3" fontId="1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168" xfId="0" applyBorder="1" applyFont="1" applyNumberFormat="1"/>
    <xf borderId="1" fillId="0" fontId="1" numFmtId="170" xfId="0" applyBorder="1" applyFont="1" applyNumberFormat="1"/>
    <xf borderId="14" fillId="0" fontId="1" numFmtId="0" xfId="0" applyBorder="1" applyFont="1"/>
    <xf borderId="1" fillId="3" fontId="5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Ccapacitor(F) versus Média de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1'!$G$32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Ccapacitor(F)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'Experimento 1'!$F$33:$F$42</c:f>
            </c:numRef>
          </c:xVal>
          <c:yVal>
            <c:numRef>
              <c:f>'Experimento 1'!$G$33:$G$42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8532"/>
        <c:axId val="68367064"/>
      </c:scatterChart>
      <c:valAx>
        <c:axId val="78608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de 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7064"/>
      </c:valAx>
      <c:valAx>
        <c:axId val="68367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Ccapacitor(F)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08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 versus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2'!$D$17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'EXPERIMENTO 2'!$C$18:$C$23</c:f>
            </c:numRef>
          </c:xVal>
          <c:yVal>
            <c:numRef>
              <c:f>'EXPERIMENTO 2'!$D$18:$D$23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5925"/>
        <c:axId val="404298206"/>
      </c:scatterChart>
      <c:valAx>
        <c:axId val="177105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298206"/>
      </c:valAx>
      <c:valAx>
        <c:axId val="404298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05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 versus 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2'!$C$37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'EXPERIMENTO 2'!$D$38:$D$43</c:f>
            </c:numRef>
          </c:xVal>
          <c:yVal>
            <c:numRef>
              <c:f>'EXPERIMENTO 2'!$C$38:$C$43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2419"/>
        <c:axId val="479269853"/>
      </c:scatterChart>
      <c:valAx>
        <c:axId val="718782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269853"/>
      </c:valAx>
      <c:valAx>
        <c:axId val="479269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782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 pico a pico versus 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'Último experimento'!$B$19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'Último experimento'!$A$20:$A$25</c:f>
            </c:numRef>
          </c:xVal>
          <c:yVal>
            <c:numRef>
              <c:f>'Último experimento'!$B$20:$B$25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9081"/>
        <c:axId val="1364783566"/>
      </c:scatterChart>
      <c:valAx>
        <c:axId val="88179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Voltas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783566"/>
      </c:valAx>
      <c:valAx>
        <c:axId val="136478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 pico a pico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79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 pico a pico (mV) versus Frequência (Hz)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'Último experimento'!$B$39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'Último experimento'!$A$40:$A$45</c:f>
            </c:numRef>
          </c:xVal>
          <c:yVal>
            <c:numRef>
              <c:f>'Último experimento'!$B$40:$B$45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1016"/>
        <c:axId val="19930419"/>
      </c:scatterChart>
      <c:valAx>
        <c:axId val="2482510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0419"/>
      </c:valAx>
      <c:valAx>
        <c:axId val="19930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 pico a pico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251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30</xdr:row>
      <xdr:rowOff>171450</xdr:rowOff>
    </xdr:from>
    <xdr:ext cx="5372100" cy="3333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15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35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15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438150</xdr:colOff>
      <xdr:row>36</xdr:row>
      <xdr:rowOff>19050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L4" s="2" t="s">
        <v>11</v>
      </c>
      <c r="M4" s="2" t="s">
        <v>12</v>
      </c>
    </row>
    <row r="5">
      <c r="A5" s="3">
        <v>1.0</v>
      </c>
      <c r="B5" s="4">
        <v>2.65</v>
      </c>
      <c r="C5" s="4">
        <v>2.9</v>
      </c>
      <c r="D5" s="4">
        <v>2.35</v>
      </c>
      <c r="E5" s="5">
        <f t="shared" ref="E5:E14" si="1">AVERAGE(B5:D5)</f>
        <v>2.633333333</v>
      </c>
      <c r="F5" s="6">
        <f t="shared" ref="F5:F14" si="2">SQRT((0.005)^2+(0.005)^2+(0.005)^2)</f>
        <v>0.008660254038</v>
      </c>
      <c r="G5" s="3">
        <v>86.6</v>
      </c>
      <c r="H5" s="7">
        <f t="shared" ref="H5:H14" si="3">G5/100 + 0.5</f>
        <v>1.366</v>
      </c>
      <c r="I5" s="8">
        <f t="shared" ref="I5:I14" si="4">G5-$L$5</f>
        <v>80</v>
      </c>
      <c r="J5" s="9">
        <f t="shared" ref="J5:J14" si="5">SQRT(($M$5)^2 + (H5)^2)</f>
        <v>1.4546326</v>
      </c>
      <c r="L5" s="3">
        <v>6.6</v>
      </c>
      <c r="M5" s="3">
        <v>0.5</v>
      </c>
    </row>
    <row r="6">
      <c r="A6" s="3">
        <v>2.0</v>
      </c>
      <c r="B6" s="4">
        <v>3.35</v>
      </c>
      <c r="C6" s="4">
        <v>3.2</v>
      </c>
      <c r="D6" s="4">
        <v>2.85</v>
      </c>
      <c r="E6" s="5">
        <f t="shared" si="1"/>
        <v>3.133333333</v>
      </c>
      <c r="F6" s="6">
        <f t="shared" si="2"/>
        <v>0.008660254038</v>
      </c>
      <c r="G6" s="3">
        <v>71.8</v>
      </c>
      <c r="H6" s="7">
        <f t="shared" si="3"/>
        <v>1.218</v>
      </c>
      <c r="I6" s="8">
        <f t="shared" si="4"/>
        <v>65.2</v>
      </c>
      <c r="J6" s="9">
        <f t="shared" si="5"/>
        <v>1.316633586</v>
      </c>
    </row>
    <row r="7">
      <c r="A7" s="3">
        <v>3.0</v>
      </c>
      <c r="B7" s="4">
        <v>4.45</v>
      </c>
      <c r="C7" s="4">
        <v>4.2</v>
      </c>
      <c r="D7" s="4">
        <v>4.15</v>
      </c>
      <c r="E7" s="5">
        <f t="shared" si="1"/>
        <v>4.266666667</v>
      </c>
      <c r="F7" s="6">
        <f t="shared" si="2"/>
        <v>0.008660254038</v>
      </c>
      <c r="G7" s="3">
        <v>54.9</v>
      </c>
      <c r="H7" s="7">
        <f t="shared" si="3"/>
        <v>1.049</v>
      </c>
      <c r="I7" s="8">
        <f t="shared" si="4"/>
        <v>48.3</v>
      </c>
      <c r="J7" s="9">
        <f t="shared" si="5"/>
        <v>1.162067554</v>
      </c>
    </row>
    <row r="8">
      <c r="A8" s="3">
        <v>4.0</v>
      </c>
      <c r="B8" s="4">
        <v>5.15</v>
      </c>
      <c r="C8" s="4">
        <v>5.35</v>
      </c>
      <c r="D8" s="4">
        <v>5.0</v>
      </c>
      <c r="E8" s="5">
        <f t="shared" si="1"/>
        <v>5.166666667</v>
      </c>
      <c r="F8" s="6">
        <f t="shared" si="2"/>
        <v>0.008660254038</v>
      </c>
      <c r="G8" s="3">
        <v>46.2</v>
      </c>
      <c r="H8" s="7">
        <f t="shared" si="3"/>
        <v>0.962</v>
      </c>
      <c r="I8" s="8">
        <f t="shared" si="4"/>
        <v>39.6</v>
      </c>
      <c r="J8" s="9">
        <f t="shared" si="5"/>
        <v>1.084178952</v>
      </c>
    </row>
    <row r="9">
      <c r="A9" s="3">
        <v>5.0</v>
      </c>
      <c r="B9" s="4">
        <v>6.65</v>
      </c>
      <c r="C9" s="4">
        <v>6.2</v>
      </c>
      <c r="D9" s="4">
        <v>6.25</v>
      </c>
      <c r="E9" s="5">
        <f t="shared" si="1"/>
        <v>6.366666667</v>
      </c>
      <c r="F9" s="6">
        <f t="shared" si="2"/>
        <v>0.008660254038</v>
      </c>
      <c r="G9" s="3">
        <v>39.6</v>
      </c>
      <c r="H9" s="10">
        <f t="shared" si="3"/>
        <v>0.896</v>
      </c>
      <c r="I9" s="8">
        <f t="shared" si="4"/>
        <v>33</v>
      </c>
      <c r="J9" s="9">
        <f t="shared" si="5"/>
        <v>1.026068224</v>
      </c>
    </row>
    <row r="10">
      <c r="A10" s="3">
        <v>6.0</v>
      </c>
      <c r="B10" s="4">
        <v>7.65</v>
      </c>
      <c r="C10" s="4">
        <v>7.3</v>
      </c>
      <c r="D10" s="4">
        <v>7.2</v>
      </c>
      <c r="E10" s="5">
        <f t="shared" si="1"/>
        <v>7.383333333</v>
      </c>
      <c r="F10" s="6">
        <f t="shared" si="2"/>
        <v>0.008660254038</v>
      </c>
      <c r="G10" s="3">
        <v>35.1</v>
      </c>
      <c r="H10" s="10">
        <f t="shared" si="3"/>
        <v>0.851</v>
      </c>
      <c r="I10" s="8">
        <f t="shared" si="4"/>
        <v>28.5</v>
      </c>
      <c r="J10" s="9">
        <f t="shared" si="5"/>
        <v>0.9870162106</v>
      </c>
    </row>
    <row r="11">
      <c r="A11" s="3">
        <v>7.0</v>
      </c>
      <c r="B11" s="4">
        <v>8.2</v>
      </c>
      <c r="C11" s="4">
        <v>8.05</v>
      </c>
      <c r="D11" s="4">
        <v>8.1</v>
      </c>
      <c r="E11" s="5">
        <f t="shared" si="1"/>
        <v>8.116666667</v>
      </c>
      <c r="F11" s="6">
        <f t="shared" si="2"/>
        <v>0.008660254038</v>
      </c>
      <c r="G11" s="3">
        <v>31.7</v>
      </c>
      <c r="H11" s="10">
        <f t="shared" si="3"/>
        <v>0.817</v>
      </c>
      <c r="I11" s="8">
        <f t="shared" si="4"/>
        <v>25.1</v>
      </c>
      <c r="J11" s="9">
        <f t="shared" si="5"/>
        <v>0.9578564611</v>
      </c>
    </row>
    <row r="12">
      <c r="A12" s="3">
        <v>8.0</v>
      </c>
      <c r="B12" s="4">
        <v>9.55</v>
      </c>
      <c r="C12" s="4">
        <v>9.2</v>
      </c>
      <c r="D12" s="4">
        <v>8.9</v>
      </c>
      <c r="E12" s="5">
        <f t="shared" si="1"/>
        <v>9.216666667</v>
      </c>
      <c r="F12" s="6">
        <f t="shared" si="2"/>
        <v>0.008660254038</v>
      </c>
      <c r="G12" s="3">
        <v>29.2</v>
      </c>
      <c r="H12" s="10">
        <f t="shared" si="3"/>
        <v>0.792</v>
      </c>
      <c r="I12" s="8">
        <f t="shared" si="4"/>
        <v>22.6</v>
      </c>
      <c r="J12" s="8">
        <f t="shared" si="5"/>
        <v>0.9366237238</v>
      </c>
    </row>
    <row r="13">
      <c r="A13" s="3">
        <v>9.0</v>
      </c>
      <c r="B13" s="4">
        <v>10.25</v>
      </c>
      <c r="C13" s="4">
        <v>10.1</v>
      </c>
      <c r="D13" s="4">
        <v>9.75</v>
      </c>
      <c r="E13" s="5">
        <f t="shared" si="1"/>
        <v>10.03333333</v>
      </c>
      <c r="F13" s="6">
        <f t="shared" si="2"/>
        <v>0.008660254038</v>
      </c>
      <c r="G13" s="3">
        <v>27.2</v>
      </c>
      <c r="H13" s="10">
        <f t="shared" si="3"/>
        <v>0.772</v>
      </c>
      <c r="I13" s="8">
        <f t="shared" si="4"/>
        <v>20.6</v>
      </c>
      <c r="J13" s="8">
        <f t="shared" si="5"/>
        <v>0.9197738853</v>
      </c>
    </row>
    <row r="14">
      <c r="A14" s="3">
        <v>10.0</v>
      </c>
      <c r="B14" s="4">
        <v>11.55</v>
      </c>
      <c r="C14" s="4">
        <v>11.1</v>
      </c>
      <c r="D14" s="4">
        <v>10.75</v>
      </c>
      <c r="E14" s="5">
        <f t="shared" si="1"/>
        <v>11.13333333</v>
      </c>
      <c r="F14" s="6">
        <f t="shared" si="2"/>
        <v>0.008660254038</v>
      </c>
      <c r="G14" s="3">
        <v>25.6</v>
      </c>
      <c r="H14" s="10">
        <f t="shared" si="3"/>
        <v>0.756</v>
      </c>
      <c r="I14" s="8">
        <f t="shared" si="4"/>
        <v>19</v>
      </c>
      <c r="J14" s="8">
        <f t="shared" si="5"/>
        <v>0.9063862311</v>
      </c>
    </row>
    <row r="16">
      <c r="A16" s="1" t="s">
        <v>13</v>
      </c>
    </row>
    <row r="18">
      <c r="A18" s="11" t="s">
        <v>1</v>
      </c>
      <c r="B18" s="11" t="s">
        <v>14</v>
      </c>
      <c r="C18" s="11" t="s">
        <v>15</v>
      </c>
      <c r="D18" s="2" t="s">
        <v>16</v>
      </c>
      <c r="E18" s="2" t="s">
        <v>5</v>
      </c>
      <c r="F18" s="2" t="s">
        <v>6</v>
      </c>
      <c r="G18" s="12" t="s">
        <v>17</v>
      </c>
      <c r="H18" s="12" t="s">
        <v>18</v>
      </c>
      <c r="I18" s="12" t="s">
        <v>19</v>
      </c>
      <c r="J18" s="12" t="s">
        <v>20</v>
      </c>
      <c r="L18" s="2" t="s">
        <v>11</v>
      </c>
      <c r="M18" s="2" t="s">
        <v>12</v>
      </c>
    </row>
    <row r="19">
      <c r="A19" s="13">
        <v>1.0</v>
      </c>
      <c r="B19" s="14">
        <f t="shared" ref="B19:D19" si="6">B5/100</f>
        <v>0.0265</v>
      </c>
      <c r="C19" s="14">
        <f t="shared" si="6"/>
        <v>0.029</v>
      </c>
      <c r="D19" s="14">
        <f t="shared" si="6"/>
        <v>0.0235</v>
      </c>
      <c r="E19" s="15">
        <f t="shared" ref="E19:E28" si="10">AVERAGE(B19:D19)</f>
        <v>0.02633333333</v>
      </c>
      <c r="F19" s="16">
        <f t="shared" ref="F19:F28" si="11">F5/1000</f>
        <v>0.000008660254038</v>
      </c>
      <c r="G19" s="14">
        <f t="shared" ref="G19:H19" si="7">G5/1000000000000</f>
        <v>0</v>
      </c>
      <c r="H19" s="17">
        <f t="shared" si="7"/>
        <v>0</v>
      </c>
      <c r="I19" s="14">
        <f t="shared" ref="I19:I28" si="13">(G19-$L$19)</f>
        <v>0</v>
      </c>
      <c r="J19" s="17">
        <f t="shared" ref="J19:J28" si="14">SQRT(($M$19)^2 + (H19)^2)</f>
        <v>0</v>
      </c>
      <c r="L19" s="18">
        <f t="shared" ref="L19:M19" si="8">L5/1000000000000</f>
        <v>0</v>
      </c>
      <c r="M19" s="19">
        <f t="shared" si="8"/>
        <v>0</v>
      </c>
    </row>
    <row r="20">
      <c r="A20" s="13">
        <v>2.0</v>
      </c>
      <c r="B20" s="14">
        <f t="shared" ref="B20:D20" si="9">B6/100</f>
        <v>0.0335</v>
      </c>
      <c r="C20" s="14">
        <f t="shared" si="9"/>
        <v>0.032</v>
      </c>
      <c r="D20" s="14">
        <f t="shared" si="9"/>
        <v>0.0285</v>
      </c>
      <c r="E20" s="15">
        <f t="shared" si="10"/>
        <v>0.03133333333</v>
      </c>
      <c r="F20" s="16">
        <f t="shared" si="11"/>
        <v>0.000008660254038</v>
      </c>
      <c r="G20" s="14">
        <f t="shared" ref="G20:H20" si="12">G6/1000000000000</f>
        <v>0</v>
      </c>
      <c r="H20" s="17">
        <f t="shared" si="12"/>
        <v>0</v>
      </c>
      <c r="I20" s="14">
        <f t="shared" si="13"/>
        <v>0</v>
      </c>
      <c r="J20" s="17">
        <f t="shared" si="14"/>
        <v>0</v>
      </c>
    </row>
    <row r="21">
      <c r="A21" s="13">
        <v>3.0</v>
      </c>
      <c r="B21" s="14">
        <f t="shared" ref="B21:D21" si="15">B7/100</f>
        <v>0.0445</v>
      </c>
      <c r="C21" s="14">
        <f t="shared" si="15"/>
        <v>0.042</v>
      </c>
      <c r="D21" s="14">
        <f t="shared" si="15"/>
        <v>0.0415</v>
      </c>
      <c r="E21" s="15">
        <f t="shared" si="10"/>
        <v>0.04266666667</v>
      </c>
      <c r="F21" s="16">
        <f t="shared" si="11"/>
        <v>0.000008660254038</v>
      </c>
      <c r="G21" s="14">
        <f t="shared" ref="G21:H21" si="16">G7/1000000000000</f>
        <v>0</v>
      </c>
      <c r="H21" s="17">
        <f t="shared" si="16"/>
        <v>0</v>
      </c>
      <c r="I21" s="14">
        <f t="shared" si="13"/>
        <v>0</v>
      </c>
      <c r="J21" s="17">
        <f t="shared" si="14"/>
        <v>0</v>
      </c>
    </row>
    <row r="22">
      <c r="A22" s="13">
        <v>4.0</v>
      </c>
      <c r="B22" s="14">
        <f t="shared" ref="B22:D22" si="17">B8/100</f>
        <v>0.0515</v>
      </c>
      <c r="C22" s="14">
        <f t="shared" si="17"/>
        <v>0.0535</v>
      </c>
      <c r="D22" s="14">
        <f t="shared" si="17"/>
        <v>0.05</v>
      </c>
      <c r="E22" s="15">
        <f t="shared" si="10"/>
        <v>0.05166666667</v>
      </c>
      <c r="F22" s="16">
        <f t="shared" si="11"/>
        <v>0.000008660254038</v>
      </c>
      <c r="G22" s="14">
        <f t="shared" ref="G22:H22" si="18">G8/1000000000000</f>
        <v>0</v>
      </c>
      <c r="H22" s="17">
        <f t="shared" si="18"/>
        <v>0</v>
      </c>
      <c r="I22" s="14">
        <f t="shared" si="13"/>
        <v>0</v>
      </c>
      <c r="J22" s="17">
        <f t="shared" si="14"/>
        <v>0</v>
      </c>
    </row>
    <row r="23">
      <c r="A23" s="13">
        <v>5.0</v>
      </c>
      <c r="B23" s="14">
        <f t="shared" ref="B23:D23" si="19">B9/100</f>
        <v>0.0665</v>
      </c>
      <c r="C23" s="14">
        <f t="shared" si="19"/>
        <v>0.062</v>
      </c>
      <c r="D23" s="14">
        <f t="shared" si="19"/>
        <v>0.0625</v>
      </c>
      <c r="E23" s="15">
        <f t="shared" si="10"/>
        <v>0.06366666667</v>
      </c>
      <c r="F23" s="16">
        <f t="shared" si="11"/>
        <v>0.000008660254038</v>
      </c>
      <c r="G23" s="14">
        <f t="shared" ref="G23:H23" si="20">G9/1000000000000</f>
        <v>0</v>
      </c>
      <c r="H23" s="17">
        <f t="shared" si="20"/>
        <v>0</v>
      </c>
      <c r="I23" s="14">
        <f t="shared" si="13"/>
        <v>0</v>
      </c>
      <c r="J23" s="17">
        <f t="shared" si="14"/>
        <v>0</v>
      </c>
    </row>
    <row r="24">
      <c r="A24" s="13">
        <v>6.0</v>
      </c>
      <c r="B24" s="14">
        <f t="shared" ref="B24:D24" si="21">B10/100</f>
        <v>0.0765</v>
      </c>
      <c r="C24" s="14">
        <f t="shared" si="21"/>
        <v>0.073</v>
      </c>
      <c r="D24" s="14">
        <f t="shared" si="21"/>
        <v>0.072</v>
      </c>
      <c r="E24" s="15">
        <f t="shared" si="10"/>
        <v>0.07383333333</v>
      </c>
      <c r="F24" s="16">
        <f t="shared" si="11"/>
        <v>0.000008660254038</v>
      </c>
      <c r="G24" s="14">
        <f t="shared" ref="G24:H24" si="22">G10/1000000000000</f>
        <v>0</v>
      </c>
      <c r="H24" s="17">
        <f t="shared" si="22"/>
        <v>0</v>
      </c>
      <c r="I24" s="14">
        <f t="shared" si="13"/>
        <v>0</v>
      </c>
      <c r="J24" s="17">
        <f t="shared" si="14"/>
        <v>0</v>
      </c>
    </row>
    <row r="25">
      <c r="A25" s="13">
        <v>7.0</v>
      </c>
      <c r="B25" s="14">
        <f t="shared" ref="B25:D25" si="23">B11/100</f>
        <v>0.082</v>
      </c>
      <c r="C25" s="14">
        <f t="shared" si="23"/>
        <v>0.0805</v>
      </c>
      <c r="D25" s="14">
        <f t="shared" si="23"/>
        <v>0.081</v>
      </c>
      <c r="E25" s="15">
        <f t="shared" si="10"/>
        <v>0.08116666667</v>
      </c>
      <c r="F25" s="16">
        <f t="shared" si="11"/>
        <v>0.000008660254038</v>
      </c>
      <c r="G25" s="14">
        <f t="shared" ref="G25:H25" si="24">G11/1000000000000</f>
        <v>0</v>
      </c>
      <c r="H25" s="17">
        <f t="shared" si="24"/>
        <v>0</v>
      </c>
      <c r="I25" s="14">
        <f t="shared" si="13"/>
        <v>0</v>
      </c>
      <c r="J25" s="17">
        <f t="shared" si="14"/>
        <v>0</v>
      </c>
    </row>
    <row r="26">
      <c r="A26" s="13">
        <v>8.0</v>
      </c>
      <c r="B26" s="14">
        <f t="shared" ref="B26:D26" si="25">B12/100</f>
        <v>0.0955</v>
      </c>
      <c r="C26" s="14">
        <f t="shared" si="25"/>
        <v>0.092</v>
      </c>
      <c r="D26" s="14">
        <f t="shared" si="25"/>
        <v>0.089</v>
      </c>
      <c r="E26" s="15">
        <f t="shared" si="10"/>
        <v>0.09216666667</v>
      </c>
      <c r="F26" s="16">
        <f t="shared" si="11"/>
        <v>0.000008660254038</v>
      </c>
      <c r="G26" s="14">
        <f t="shared" ref="G26:H26" si="26">G12/1000000000000</f>
        <v>0</v>
      </c>
      <c r="H26" s="17">
        <f t="shared" si="26"/>
        <v>0</v>
      </c>
      <c r="I26" s="14">
        <f t="shared" si="13"/>
        <v>0</v>
      </c>
      <c r="J26" s="17">
        <f t="shared" si="14"/>
        <v>0</v>
      </c>
    </row>
    <row r="27">
      <c r="A27" s="13">
        <v>9.0</v>
      </c>
      <c r="B27" s="14">
        <f t="shared" ref="B27:D27" si="27">B13/100</f>
        <v>0.1025</v>
      </c>
      <c r="C27" s="14">
        <f t="shared" si="27"/>
        <v>0.101</v>
      </c>
      <c r="D27" s="14">
        <f t="shared" si="27"/>
        <v>0.0975</v>
      </c>
      <c r="E27" s="15">
        <f t="shared" si="10"/>
        <v>0.1003333333</v>
      </c>
      <c r="F27" s="16">
        <f t="shared" si="11"/>
        <v>0.000008660254038</v>
      </c>
      <c r="G27" s="14">
        <f t="shared" ref="G27:H27" si="28">G13/1000000000000</f>
        <v>0</v>
      </c>
      <c r="H27" s="17">
        <f t="shared" si="28"/>
        <v>0</v>
      </c>
      <c r="I27" s="14">
        <f t="shared" si="13"/>
        <v>0</v>
      </c>
      <c r="J27" s="17">
        <f t="shared" si="14"/>
        <v>0</v>
      </c>
    </row>
    <row r="28">
      <c r="A28" s="13">
        <v>10.0</v>
      </c>
      <c r="B28" s="14">
        <f t="shared" ref="B28:D28" si="29">B14/100</f>
        <v>0.1155</v>
      </c>
      <c r="C28" s="14">
        <f t="shared" si="29"/>
        <v>0.111</v>
      </c>
      <c r="D28" s="14">
        <f t="shared" si="29"/>
        <v>0.1075</v>
      </c>
      <c r="E28" s="15">
        <f t="shared" si="10"/>
        <v>0.1113333333</v>
      </c>
      <c r="F28" s="16">
        <f t="shared" si="11"/>
        <v>0.000008660254038</v>
      </c>
      <c r="G28" s="14">
        <f t="shared" ref="G28:H28" si="30">G14/1000000000000</f>
        <v>0</v>
      </c>
      <c r="H28" s="17">
        <f t="shared" si="30"/>
        <v>0</v>
      </c>
      <c r="I28" s="14">
        <f t="shared" si="13"/>
        <v>0</v>
      </c>
      <c r="J28" s="17">
        <f t="shared" si="14"/>
        <v>0</v>
      </c>
    </row>
    <row r="31"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2"/>
    </row>
    <row r="32">
      <c r="A32" s="23" t="s">
        <v>21</v>
      </c>
      <c r="B32" s="22"/>
      <c r="D32" s="24" t="s">
        <v>22</v>
      </c>
      <c r="F32" s="1" t="s">
        <v>5</v>
      </c>
      <c r="G32" s="1" t="s">
        <v>19</v>
      </c>
      <c r="N32" s="25"/>
    </row>
    <row r="33">
      <c r="A33" s="24" t="s">
        <v>23</v>
      </c>
      <c r="B33" s="26">
        <v>0.01985565097</v>
      </c>
      <c r="D33" s="27"/>
      <c r="F33" s="28">
        <v>0.002633333333333333</v>
      </c>
      <c r="G33" s="28">
        <v>8.0E-11</v>
      </c>
      <c r="N33" s="25"/>
    </row>
    <row r="34">
      <c r="A34" s="29" t="s">
        <v>24</v>
      </c>
      <c r="B34" s="30">
        <f>(I19*E19)/0.0198</f>
        <v>0.0000000001063973064</v>
      </c>
      <c r="D34" s="27"/>
      <c r="F34" s="28">
        <v>0.0031333333333333335</v>
      </c>
      <c r="G34" s="28">
        <v>6.52E-11</v>
      </c>
      <c r="N34" s="25"/>
    </row>
    <row r="35">
      <c r="D35" s="27"/>
      <c r="F35" s="28">
        <v>0.004266666666666668</v>
      </c>
      <c r="G35" s="28">
        <v>4.83E-11</v>
      </c>
      <c r="N35" s="25"/>
    </row>
    <row r="36">
      <c r="D36" s="27"/>
      <c r="F36" s="28">
        <v>0.005166666666666667</v>
      </c>
      <c r="G36" s="28">
        <v>3.9600000000000004E-11</v>
      </c>
      <c r="N36" s="25"/>
    </row>
    <row r="37">
      <c r="D37" s="27"/>
      <c r="F37" s="28">
        <v>0.006366666666666666</v>
      </c>
      <c r="G37" s="28">
        <v>3.3E-11</v>
      </c>
      <c r="N37" s="25"/>
    </row>
    <row r="38">
      <c r="D38" s="27"/>
      <c r="F38" s="28">
        <v>0.007383333333333335</v>
      </c>
      <c r="G38" s="28">
        <v>2.8500000000000002E-11</v>
      </c>
      <c r="N38" s="25"/>
    </row>
    <row r="39">
      <c r="D39" s="27"/>
      <c r="F39" s="28">
        <v>0.008116666666666666</v>
      </c>
      <c r="G39" s="28">
        <v>2.51E-11</v>
      </c>
      <c r="N39" s="25"/>
    </row>
    <row r="40">
      <c r="D40" s="27"/>
      <c r="F40" s="28">
        <v>0.009216666666666666</v>
      </c>
      <c r="G40" s="28">
        <v>2.26E-11</v>
      </c>
      <c r="N40" s="25"/>
    </row>
    <row r="41">
      <c r="D41" s="27"/>
      <c r="F41" s="28">
        <v>0.010033333333333333</v>
      </c>
      <c r="G41" s="28">
        <v>2.0600000000000002E-11</v>
      </c>
      <c r="N41" s="25"/>
    </row>
    <row r="42">
      <c r="D42" s="27"/>
      <c r="F42" s="28">
        <v>0.011133333333333334</v>
      </c>
      <c r="G42" s="28">
        <v>1.9000000000000002E-11</v>
      </c>
      <c r="N42" s="25"/>
    </row>
    <row r="43">
      <c r="D43" s="27"/>
      <c r="N43" s="25"/>
    </row>
    <row r="44">
      <c r="D44" s="27"/>
      <c r="N44" s="25"/>
    </row>
    <row r="45">
      <c r="D45" s="27"/>
      <c r="N45" s="25"/>
    </row>
    <row r="46">
      <c r="D46" s="27"/>
      <c r="N46" s="25"/>
    </row>
    <row r="47">
      <c r="D47" s="27"/>
      <c r="N47" s="25"/>
    </row>
    <row r="48">
      <c r="D48" s="27"/>
      <c r="N48" s="25"/>
    </row>
    <row r="49"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3"/>
    </row>
    <row r="51">
      <c r="A51" s="23" t="s">
        <v>25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2"/>
    </row>
    <row r="52">
      <c r="A52" s="27"/>
      <c r="B52" s="34" t="s">
        <v>26</v>
      </c>
      <c r="C52" s="35" t="s">
        <v>27</v>
      </c>
      <c r="D52" s="2" t="s">
        <v>9</v>
      </c>
      <c r="E52" s="2" t="s">
        <v>10</v>
      </c>
      <c r="G52" s="2" t="s">
        <v>1</v>
      </c>
      <c r="H52" s="36" t="s">
        <v>26</v>
      </c>
      <c r="I52" s="2" t="s">
        <v>9</v>
      </c>
      <c r="L52" s="25"/>
    </row>
    <row r="53">
      <c r="A53" s="27"/>
      <c r="B53" s="37">
        <f t="shared" ref="B53:B62" si="31">1/E19</f>
        <v>37.97468354</v>
      </c>
      <c r="C53" s="37">
        <f t="shared" ref="C53:C62" si="32">B53*SQRT((F19/E19)^2)</f>
        <v>0.01248874961</v>
      </c>
      <c r="D53" s="8">
        <v>80.0</v>
      </c>
      <c r="E53" s="9">
        <v>1.4546325996621967</v>
      </c>
      <c r="G53" s="3">
        <v>1.0</v>
      </c>
      <c r="H53" s="38">
        <v>379.74683544303804</v>
      </c>
      <c r="I53" s="8">
        <v>80.0</v>
      </c>
      <c r="L53" s="25"/>
    </row>
    <row r="54">
      <c r="A54" s="27"/>
      <c r="B54" s="37">
        <f t="shared" si="31"/>
        <v>31.91489362</v>
      </c>
      <c r="C54" s="37">
        <f t="shared" si="32"/>
        <v>0.008820992116</v>
      </c>
      <c r="D54" s="8">
        <v>65.2</v>
      </c>
      <c r="E54" s="9">
        <v>1.3166335860823237</v>
      </c>
      <c r="G54" s="3">
        <v>2.0</v>
      </c>
      <c r="H54" s="38">
        <v>319.1489361702128</v>
      </c>
      <c r="I54" s="8">
        <v>65.2</v>
      </c>
      <c r="L54" s="25"/>
    </row>
    <row r="55">
      <c r="A55" s="27"/>
      <c r="B55" s="37">
        <f t="shared" si="31"/>
        <v>23.4375</v>
      </c>
      <c r="C55" s="37">
        <f t="shared" si="32"/>
        <v>0.004757219625</v>
      </c>
      <c r="D55" s="8">
        <v>48.3</v>
      </c>
      <c r="E55" s="9">
        <v>1.1620675539743806</v>
      </c>
      <c r="G55" s="3">
        <v>3.0</v>
      </c>
      <c r="H55" s="38">
        <v>234.37499999999994</v>
      </c>
      <c r="I55" s="8">
        <v>48.3</v>
      </c>
      <c r="L55" s="25"/>
    </row>
    <row r="56">
      <c r="A56" s="27"/>
      <c r="B56" s="37">
        <f t="shared" si="31"/>
        <v>19.35483871</v>
      </c>
      <c r="C56" s="37">
        <f t="shared" si="32"/>
        <v>0.003244215873</v>
      </c>
      <c r="D56" s="8">
        <v>39.6</v>
      </c>
      <c r="E56" s="9">
        <v>1.084178952018531</v>
      </c>
      <c r="G56" s="3">
        <v>4.0</v>
      </c>
      <c r="H56" s="38">
        <v>193.5483870967742</v>
      </c>
      <c r="I56" s="8">
        <v>39.6</v>
      </c>
      <c r="L56" s="25"/>
    </row>
    <row r="57">
      <c r="A57" s="27"/>
      <c r="B57" s="37">
        <f t="shared" si="31"/>
        <v>15.70680628</v>
      </c>
      <c r="C57" s="37">
        <f t="shared" si="32"/>
        <v>0.002136517265</v>
      </c>
      <c r="D57" s="8">
        <v>33.0</v>
      </c>
      <c r="E57" s="9">
        <v>1.0260682238525858</v>
      </c>
      <c r="G57" s="3">
        <v>5.0</v>
      </c>
      <c r="H57" s="38">
        <v>157.06806282722513</v>
      </c>
      <c r="I57" s="8">
        <v>33.0</v>
      </c>
      <c r="L57" s="25"/>
    </row>
    <row r="58">
      <c r="A58" s="27"/>
      <c r="B58" s="37">
        <f t="shared" si="31"/>
        <v>13.54401806</v>
      </c>
      <c r="C58" s="37">
        <f t="shared" si="32"/>
        <v>0.001588640683</v>
      </c>
      <c r="D58" s="8">
        <v>28.5</v>
      </c>
      <c r="E58" s="9">
        <v>0.9870162106064925</v>
      </c>
      <c r="G58" s="3">
        <v>6.0</v>
      </c>
      <c r="H58" s="38">
        <v>135.44018058690742</v>
      </c>
      <c r="I58" s="8">
        <v>28.5</v>
      </c>
      <c r="L58" s="25"/>
    </row>
    <row r="59">
      <c r="A59" s="27"/>
      <c r="B59" s="37">
        <f t="shared" si="31"/>
        <v>12.32032854</v>
      </c>
      <c r="C59" s="37">
        <f t="shared" si="32"/>
        <v>0.001314544251</v>
      </c>
      <c r="D59" s="8">
        <v>25.1</v>
      </c>
      <c r="E59" s="9">
        <v>0.9578564610629298</v>
      </c>
      <c r="G59" s="3">
        <v>7.0</v>
      </c>
      <c r="H59" s="38">
        <v>123.20328542094457</v>
      </c>
      <c r="I59" s="8">
        <v>25.1</v>
      </c>
      <c r="L59" s="25"/>
    </row>
    <row r="60">
      <c r="A60" s="27"/>
      <c r="B60" s="37">
        <f t="shared" si="31"/>
        <v>10.84990958</v>
      </c>
      <c r="C60" s="37">
        <f t="shared" si="32"/>
        <v>0.001019489764</v>
      </c>
      <c r="D60" s="8">
        <v>22.6</v>
      </c>
      <c r="E60" s="8">
        <v>0.9366237238080188</v>
      </c>
      <c r="G60" s="3">
        <v>8.0</v>
      </c>
      <c r="H60" s="38">
        <v>108.499095840868</v>
      </c>
      <c r="I60" s="8">
        <v>22.6</v>
      </c>
      <c r="L60" s="25"/>
    </row>
    <row r="61">
      <c r="A61" s="27"/>
      <c r="B61" s="37">
        <f t="shared" si="31"/>
        <v>9.966777409</v>
      </c>
      <c r="C61" s="37">
        <f t="shared" si="32"/>
        <v>0.0008602806408</v>
      </c>
      <c r="D61" s="8">
        <v>20.6</v>
      </c>
      <c r="E61" s="8">
        <v>0.9197738852565885</v>
      </c>
      <c r="G61" s="3">
        <v>9.0</v>
      </c>
      <c r="H61" s="38">
        <v>99.66777408637874</v>
      </c>
      <c r="I61" s="8">
        <v>20.6</v>
      </c>
      <c r="L61" s="25"/>
    </row>
    <row r="62">
      <c r="A62" s="27"/>
      <c r="B62" s="37">
        <f t="shared" si="31"/>
        <v>8.982035928</v>
      </c>
      <c r="C62" s="37">
        <f t="shared" si="32"/>
        <v>0.0006986830501</v>
      </c>
      <c r="D62" s="8">
        <v>19.0</v>
      </c>
      <c r="E62" s="8">
        <v>0.9063862311399044</v>
      </c>
      <c r="G62" s="3">
        <v>10.0</v>
      </c>
      <c r="H62" s="38">
        <v>89.82035928143712</v>
      </c>
      <c r="I62" s="8">
        <v>19.0</v>
      </c>
      <c r="L62" s="25"/>
    </row>
    <row r="63">
      <c r="A63" s="27"/>
      <c r="L63" s="25"/>
    </row>
    <row r="64">
      <c r="A64" s="27"/>
      <c r="L64" s="25"/>
    </row>
    <row r="65">
      <c r="A65" s="27"/>
      <c r="L65" s="25"/>
    </row>
    <row r="66">
      <c r="A66" s="27"/>
      <c r="L66" s="25"/>
    </row>
    <row r="67">
      <c r="A67" s="27"/>
      <c r="L67" s="25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</row>
    <row r="2">
      <c r="A2" s="27"/>
      <c r="B2" s="39" t="s">
        <v>28</v>
      </c>
      <c r="C2" s="39" t="s">
        <v>29</v>
      </c>
      <c r="G2" s="39" t="s">
        <v>30</v>
      </c>
      <c r="H2" s="39" t="s">
        <v>31</v>
      </c>
      <c r="K2" s="25"/>
    </row>
    <row r="3">
      <c r="A3" s="27"/>
      <c r="B3" s="39">
        <v>0.26</v>
      </c>
      <c r="C3" s="39">
        <v>0.005</v>
      </c>
      <c r="G3" s="39">
        <v>4.042</v>
      </c>
      <c r="H3" s="40">
        <f>G3*1.2/100 +10*0.001</f>
        <v>0.058504</v>
      </c>
      <c r="K3" s="25"/>
      <c r="M3" s="20"/>
      <c r="N3" s="21"/>
      <c r="O3" s="21"/>
      <c r="P3" s="21"/>
      <c r="Q3" s="21"/>
      <c r="R3" s="21"/>
      <c r="S3" s="21"/>
      <c r="T3" s="21"/>
      <c r="U3" s="21"/>
      <c r="V3" s="22"/>
    </row>
    <row r="4">
      <c r="A4" s="27"/>
      <c r="K4" s="25"/>
      <c r="M4" s="24" t="s">
        <v>32</v>
      </c>
      <c r="V4" s="25"/>
    </row>
    <row r="5">
      <c r="A5" s="27"/>
      <c r="K5" s="25"/>
      <c r="M5" s="27"/>
      <c r="V5" s="25"/>
    </row>
    <row r="6">
      <c r="A6" s="27"/>
      <c r="B6" s="39" t="s">
        <v>30</v>
      </c>
      <c r="C6" s="39" t="s">
        <v>31</v>
      </c>
      <c r="D6" s="39" t="s">
        <v>33</v>
      </c>
      <c r="E6" s="39" t="s">
        <v>34</v>
      </c>
      <c r="G6" s="39" t="s">
        <v>28</v>
      </c>
      <c r="H6" s="39" t="s">
        <v>29</v>
      </c>
      <c r="I6" s="39" t="s">
        <v>33</v>
      </c>
      <c r="J6" s="39" t="s">
        <v>34</v>
      </c>
      <c r="K6" s="25"/>
      <c r="M6" s="41" t="s">
        <v>30</v>
      </c>
      <c r="N6" s="39" t="s">
        <v>31</v>
      </c>
      <c r="O6" s="39" t="s">
        <v>33</v>
      </c>
      <c r="P6" s="39" t="s">
        <v>34</v>
      </c>
      <c r="Q6" s="39" t="s">
        <v>35</v>
      </c>
      <c r="R6" s="39" t="s">
        <v>36</v>
      </c>
      <c r="S6" s="39" t="s">
        <v>37</v>
      </c>
      <c r="U6" s="3" t="s">
        <v>38</v>
      </c>
      <c r="V6" s="25"/>
    </row>
    <row r="7">
      <c r="A7" s="27"/>
      <c r="B7" s="39">
        <v>0.998</v>
      </c>
      <c r="C7" s="40">
        <f t="shared" ref="C7:C10" si="1">B7*1.2/100 +10*0.001</f>
        <v>0.021976</v>
      </c>
      <c r="D7" s="39">
        <v>19.0</v>
      </c>
      <c r="E7" s="39">
        <v>1.0</v>
      </c>
      <c r="G7" s="39">
        <v>0.26</v>
      </c>
      <c r="H7" s="42">
        <v>0.005</v>
      </c>
      <c r="I7" s="39">
        <v>44.0</v>
      </c>
      <c r="J7" s="39">
        <v>1.0</v>
      </c>
      <c r="K7" s="25"/>
      <c r="M7" s="41">
        <v>0.998</v>
      </c>
      <c r="N7" s="40">
        <f t="shared" ref="N7:N10" si="2">M7*1.2/100 +10*0.001</f>
        <v>0.021976</v>
      </c>
      <c r="O7" s="39">
        <v>19.0</v>
      </c>
      <c r="P7" s="39">
        <v>1.0</v>
      </c>
      <c r="Q7" s="43">
        <f t="shared" ref="Q7:Q12" si="3">TAN((O7*(PI()/180)))</f>
        <v>0.3443276133</v>
      </c>
      <c r="R7" s="43">
        <f t="shared" ref="R7:R12" si="4">$U$7*Q7</f>
        <v>6.197897039</v>
      </c>
      <c r="S7" s="44">
        <f t="shared" ref="S7:S12" si="5">($U$7/(COS(O7*(PI()/180)))^2)*(PI()/180)*P7</f>
        <v>0.3514064608</v>
      </c>
      <c r="U7" s="3">
        <v>18.0</v>
      </c>
      <c r="V7" s="25"/>
    </row>
    <row r="8">
      <c r="A8" s="27"/>
      <c r="B8" s="39">
        <v>2.014</v>
      </c>
      <c r="C8" s="40">
        <f t="shared" si="1"/>
        <v>0.034168</v>
      </c>
      <c r="D8" s="39">
        <v>31.0</v>
      </c>
      <c r="E8" s="39">
        <v>1.0</v>
      </c>
      <c r="G8" s="39">
        <v>0.35</v>
      </c>
      <c r="H8" s="42">
        <v>0.005</v>
      </c>
      <c r="I8" s="39">
        <v>41.0</v>
      </c>
      <c r="J8" s="39">
        <v>1.0</v>
      </c>
      <c r="K8" s="25"/>
      <c r="M8" s="41">
        <v>2.014</v>
      </c>
      <c r="N8" s="40">
        <f t="shared" si="2"/>
        <v>0.034168</v>
      </c>
      <c r="O8" s="39">
        <v>31.0</v>
      </c>
      <c r="P8" s="39">
        <v>1.0</v>
      </c>
      <c r="Q8" s="43">
        <f t="shared" si="3"/>
        <v>0.600860619</v>
      </c>
      <c r="R8" s="43">
        <f t="shared" si="4"/>
        <v>10.81549114</v>
      </c>
      <c r="S8" s="44">
        <f t="shared" si="5"/>
        <v>0.4275812793</v>
      </c>
      <c r="V8" s="25"/>
    </row>
    <row r="9">
      <c r="A9" s="27"/>
      <c r="B9" s="39">
        <v>3.011</v>
      </c>
      <c r="C9" s="40">
        <f t="shared" si="1"/>
        <v>0.046132</v>
      </c>
      <c r="D9" s="39">
        <v>40.0</v>
      </c>
      <c r="E9" s="39">
        <v>1.0</v>
      </c>
      <c r="G9" s="39">
        <v>0.46</v>
      </c>
      <c r="H9" s="42">
        <v>0.005</v>
      </c>
      <c r="I9" s="39">
        <v>31.0</v>
      </c>
      <c r="J9" s="39">
        <v>1.0</v>
      </c>
      <c r="K9" s="25"/>
      <c r="M9" s="41">
        <v>3.011</v>
      </c>
      <c r="N9" s="40">
        <f t="shared" si="2"/>
        <v>0.046132</v>
      </c>
      <c r="O9" s="39">
        <v>40.0</v>
      </c>
      <c r="P9" s="39">
        <v>1.0</v>
      </c>
      <c r="Q9" s="43">
        <f t="shared" si="3"/>
        <v>0.8390996312</v>
      </c>
      <c r="R9" s="43">
        <f t="shared" si="4"/>
        <v>15.10379336</v>
      </c>
      <c r="S9" s="44">
        <f t="shared" si="5"/>
        <v>0.5353550942</v>
      </c>
      <c r="V9" s="25"/>
    </row>
    <row r="10">
      <c r="A10" s="27"/>
      <c r="B10" s="39">
        <v>4.018</v>
      </c>
      <c r="C10" s="40">
        <f t="shared" si="1"/>
        <v>0.058216</v>
      </c>
      <c r="D10" s="39">
        <v>44.0</v>
      </c>
      <c r="E10" s="39">
        <v>1.0</v>
      </c>
      <c r="G10" s="39">
        <v>0.55</v>
      </c>
      <c r="H10" s="42">
        <v>0.005</v>
      </c>
      <c r="I10" s="39">
        <v>24.0</v>
      </c>
      <c r="J10" s="39">
        <v>1.0</v>
      </c>
      <c r="K10" s="25"/>
      <c r="M10" s="41">
        <v>4.018</v>
      </c>
      <c r="N10" s="40">
        <f t="shared" si="2"/>
        <v>0.058216</v>
      </c>
      <c r="O10" s="39">
        <v>44.0</v>
      </c>
      <c r="P10" s="39">
        <v>1.0</v>
      </c>
      <c r="Q10" s="43">
        <f t="shared" si="3"/>
        <v>0.9656887748</v>
      </c>
      <c r="R10" s="43">
        <f t="shared" si="4"/>
        <v>17.38239795</v>
      </c>
      <c r="S10" s="44">
        <f t="shared" si="5"/>
        <v>0.6071299993</v>
      </c>
      <c r="V10" s="25"/>
    </row>
    <row r="11">
      <c r="A11" s="27"/>
      <c r="B11" s="39">
        <v>5.02</v>
      </c>
      <c r="C11" s="40">
        <f t="shared" ref="C11:C12" si="6">B11*1.2/100 +10*0.01</f>
        <v>0.16024</v>
      </c>
      <c r="D11" s="39">
        <v>58.0</v>
      </c>
      <c r="E11" s="39">
        <v>1.0</v>
      </c>
      <c r="G11" s="39">
        <v>0.64</v>
      </c>
      <c r="H11" s="42">
        <v>0.005</v>
      </c>
      <c r="I11" s="39">
        <v>22.0</v>
      </c>
      <c r="J11" s="39">
        <v>1.0</v>
      </c>
      <c r="K11" s="25"/>
      <c r="M11" s="41">
        <v>5.02</v>
      </c>
      <c r="N11" s="40">
        <f t="shared" ref="N11:N12" si="7">M11*1.2/100 +10*0.01</f>
        <v>0.16024</v>
      </c>
      <c r="O11" s="39">
        <v>58.0</v>
      </c>
      <c r="P11" s="39">
        <v>1.0</v>
      </c>
      <c r="Q11" s="43">
        <f t="shared" si="3"/>
        <v>1.600334529</v>
      </c>
      <c r="R11" s="43">
        <f t="shared" si="4"/>
        <v>28.80602152</v>
      </c>
      <c r="S11" s="45">
        <f t="shared" si="5"/>
        <v>1.118743325</v>
      </c>
      <c r="V11" s="25"/>
    </row>
    <row r="12">
      <c r="A12" s="27"/>
      <c r="B12" s="43">
        <v>6.0</v>
      </c>
      <c r="C12" s="40">
        <f t="shared" si="6"/>
        <v>0.172</v>
      </c>
      <c r="D12" s="39">
        <v>60.0</v>
      </c>
      <c r="E12" s="39">
        <v>1.0</v>
      </c>
      <c r="G12" s="43">
        <v>0.85</v>
      </c>
      <c r="H12" s="42">
        <v>0.005</v>
      </c>
      <c r="I12" s="39">
        <v>18.0</v>
      </c>
      <c r="J12" s="39">
        <v>1.0</v>
      </c>
      <c r="K12" s="25"/>
      <c r="M12" s="46">
        <v>6.0</v>
      </c>
      <c r="N12" s="40">
        <f t="shared" si="7"/>
        <v>0.172</v>
      </c>
      <c r="O12" s="39">
        <v>60.0</v>
      </c>
      <c r="P12" s="39">
        <v>1.0</v>
      </c>
      <c r="Q12" s="43">
        <f t="shared" si="3"/>
        <v>1.732050808</v>
      </c>
      <c r="R12" s="43">
        <f t="shared" si="4"/>
        <v>31.17691454</v>
      </c>
      <c r="S12" s="45">
        <f t="shared" si="5"/>
        <v>1.256637061</v>
      </c>
      <c r="T12" s="1" t="s">
        <v>39</v>
      </c>
      <c r="U12" s="47"/>
      <c r="V12" s="25"/>
    </row>
    <row r="13">
      <c r="A13" s="31"/>
      <c r="B13" s="32"/>
      <c r="C13" s="32"/>
      <c r="D13" s="32"/>
      <c r="E13" s="48"/>
      <c r="F13" s="32"/>
      <c r="G13" s="32"/>
      <c r="H13" s="32"/>
      <c r="I13" s="32"/>
      <c r="J13" s="32"/>
      <c r="K13" s="33"/>
      <c r="M13" s="27"/>
      <c r="V13" s="25"/>
    </row>
    <row r="14">
      <c r="M14" s="27"/>
      <c r="U14" s="49"/>
      <c r="V14" s="25"/>
    </row>
    <row r="15">
      <c r="M15" s="31"/>
      <c r="N15" s="32"/>
      <c r="O15" s="32"/>
      <c r="P15" s="32"/>
      <c r="Q15" s="32"/>
      <c r="R15" s="32"/>
      <c r="S15" s="32"/>
      <c r="T15" s="32"/>
      <c r="U15" s="32"/>
      <c r="V15" s="33"/>
    </row>
    <row r="17">
      <c r="C17" s="39" t="s">
        <v>40</v>
      </c>
      <c r="D17" s="39" t="s">
        <v>36</v>
      </c>
    </row>
    <row r="18">
      <c r="C18" s="39">
        <v>0.998</v>
      </c>
      <c r="D18" s="39">
        <v>6.12</v>
      </c>
      <c r="M18" s="20"/>
      <c r="N18" s="21"/>
      <c r="O18" s="21"/>
      <c r="P18" s="21"/>
      <c r="Q18" s="21"/>
      <c r="R18" s="21"/>
      <c r="S18" s="21"/>
      <c r="T18" s="21"/>
      <c r="U18" s="21"/>
      <c r="V18" s="22"/>
    </row>
    <row r="19">
      <c r="C19" s="39">
        <v>2.014</v>
      </c>
      <c r="D19" s="39">
        <v>10.8</v>
      </c>
      <c r="M19" s="24" t="s">
        <v>41</v>
      </c>
      <c r="V19" s="25"/>
    </row>
    <row r="20">
      <c r="C20" s="39">
        <v>3.011</v>
      </c>
      <c r="D20" s="39">
        <v>15.12</v>
      </c>
      <c r="M20" s="27"/>
      <c r="V20" s="25"/>
    </row>
    <row r="21">
      <c r="C21" s="39">
        <v>4.018</v>
      </c>
      <c r="D21" s="39">
        <v>17.28</v>
      </c>
      <c r="M21" s="39" t="s">
        <v>28</v>
      </c>
      <c r="N21" s="39" t="s">
        <v>29</v>
      </c>
      <c r="O21" s="39" t="s">
        <v>33</v>
      </c>
      <c r="P21" s="39" t="s">
        <v>34</v>
      </c>
      <c r="Q21" s="39" t="s">
        <v>35</v>
      </c>
      <c r="R21" s="39" t="s">
        <v>36</v>
      </c>
      <c r="S21" s="39" t="s">
        <v>37</v>
      </c>
      <c r="U21" s="3" t="s">
        <v>38</v>
      </c>
      <c r="V21" s="25"/>
    </row>
    <row r="22">
      <c r="C22" s="39">
        <v>5.02</v>
      </c>
      <c r="D22" s="39">
        <v>28.8</v>
      </c>
      <c r="M22" s="50">
        <f>0.26/10</f>
        <v>0.026</v>
      </c>
      <c r="N22" s="51">
        <v>5.0E-4</v>
      </c>
      <c r="O22" s="39">
        <v>44.0</v>
      </c>
      <c r="P22" s="39">
        <v>1.0</v>
      </c>
      <c r="Q22" s="43">
        <f t="shared" ref="Q22:Q27" si="8">TAN((O22*(PI()/180)))</f>
        <v>0.9656887748</v>
      </c>
      <c r="R22" s="43">
        <f t="shared" ref="R22:R27" si="9">$U$7*Q22</f>
        <v>17.38239795</v>
      </c>
      <c r="S22" s="44">
        <f t="shared" ref="S22:S27" si="10">($U$7/(COS(O22*(PI()/180)))^2)*(PI()/180)*P22</f>
        <v>0.6071299993</v>
      </c>
      <c r="U22" s="3">
        <v>18.0</v>
      </c>
      <c r="V22" s="25"/>
    </row>
    <row r="23">
      <c r="C23" s="39">
        <v>6.0</v>
      </c>
      <c r="D23" s="39">
        <v>31.14</v>
      </c>
      <c r="M23" s="50">
        <f>0.35/10</f>
        <v>0.035</v>
      </c>
      <c r="N23" s="51">
        <v>5.0E-4</v>
      </c>
      <c r="O23" s="39">
        <v>41.0</v>
      </c>
      <c r="P23" s="39">
        <v>1.0</v>
      </c>
      <c r="Q23" s="43">
        <f t="shared" si="8"/>
        <v>0.8692867378</v>
      </c>
      <c r="R23" s="43">
        <f t="shared" si="9"/>
        <v>15.64716128</v>
      </c>
      <c r="S23" s="44">
        <f t="shared" si="10"/>
        <v>0.5515566775</v>
      </c>
      <c r="V23" s="25"/>
    </row>
    <row r="24">
      <c r="M24" s="50">
        <f>0.46/10</f>
        <v>0.046</v>
      </c>
      <c r="N24" s="51">
        <v>5.0E-4</v>
      </c>
      <c r="O24" s="39">
        <v>31.0</v>
      </c>
      <c r="P24" s="39">
        <v>1.0</v>
      </c>
      <c r="Q24" s="43">
        <f t="shared" si="8"/>
        <v>0.600860619</v>
      </c>
      <c r="R24" s="43">
        <f t="shared" si="9"/>
        <v>10.81549114</v>
      </c>
      <c r="S24" s="44">
        <f t="shared" si="10"/>
        <v>0.4275812793</v>
      </c>
      <c r="V24" s="25"/>
    </row>
    <row r="25">
      <c r="M25" s="50">
        <f>0.55/10</f>
        <v>0.055</v>
      </c>
      <c r="N25" s="51">
        <v>5.0E-4</v>
      </c>
      <c r="O25" s="39">
        <v>24.0</v>
      </c>
      <c r="P25" s="39">
        <v>1.0</v>
      </c>
      <c r="Q25" s="43">
        <f t="shared" si="8"/>
        <v>0.4452286853</v>
      </c>
      <c r="R25" s="43">
        <f t="shared" si="9"/>
        <v>8.014116336</v>
      </c>
      <c r="S25" s="44">
        <f t="shared" si="10"/>
        <v>0.3764346111</v>
      </c>
      <c r="V25" s="25"/>
    </row>
    <row r="26">
      <c r="M26" s="50">
        <f>0.64/10</f>
        <v>0.064</v>
      </c>
      <c r="N26" s="51">
        <v>5.0E-4</v>
      </c>
      <c r="O26" s="39">
        <v>22.0</v>
      </c>
      <c r="P26" s="39">
        <v>1.0</v>
      </c>
      <c r="Q26" s="43">
        <f t="shared" si="8"/>
        <v>0.4040262258</v>
      </c>
      <c r="R26" s="43">
        <f t="shared" si="9"/>
        <v>7.272472065</v>
      </c>
      <c r="S26" s="44">
        <f t="shared" si="10"/>
        <v>0.3654417414</v>
      </c>
      <c r="V26" s="25"/>
    </row>
    <row r="27">
      <c r="M27" s="50">
        <f>0.85/10</f>
        <v>0.085</v>
      </c>
      <c r="N27" s="51">
        <v>5.0E-4</v>
      </c>
      <c r="O27" s="39">
        <v>18.0</v>
      </c>
      <c r="P27" s="39">
        <v>1.0</v>
      </c>
      <c r="Q27" s="43">
        <f t="shared" si="8"/>
        <v>0.3249196962</v>
      </c>
      <c r="R27" s="43">
        <f t="shared" si="9"/>
        <v>5.848554532</v>
      </c>
      <c r="S27" s="44">
        <f t="shared" si="10"/>
        <v>0.3473259415</v>
      </c>
      <c r="T27" s="1" t="s">
        <v>39</v>
      </c>
      <c r="U27" s="47"/>
      <c r="V27" s="25"/>
    </row>
    <row r="28">
      <c r="M28" s="27"/>
      <c r="V28" s="25"/>
    </row>
    <row r="29">
      <c r="M29" s="27"/>
      <c r="U29" s="49"/>
      <c r="V29" s="25"/>
    </row>
    <row r="30">
      <c r="M30" s="31"/>
      <c r="N30" s="32"/>
      <c r="O30" s="32"/>
      <c r="P30" s="32"/>
      <c r="Q30" s="32"/>
      <c r="R30" s="32"/>
      <c r="S30" s="32"/>
      <c r="T30" s="32"/>
      <c r="U30" s="32"/>
      <c r="V30" s="33"/>
    </row>
    <row r="32">
      <c r="M32" s="23" t="s">
        <v>42</v>
      </c>
      <c r="N32" s="21"/>
      <c r="O32" s="21"/>
      <c r="P32" s="21"/>
      <c r="Q32" s="21"/>
      <c r="R32" s="21"/>
      <c r="S32" s="22"/>
    </row>
    <row r="33">
      <c r="M33" s="27"/>
      <c r="S33" s="25"/>
    </row>
    <row r="34">
      <c r="M34" s="41" t="s">
        <v>28</v>
      </c>
      <c r="N34" s="39" t="s">
        <v>29</v>
      </c>
      <c r="O34" s="39" t="s">
        <v>43</v>
      </c>
      <c r="P34" s="39" t="s">
        <v>27</v>
      </c>
      <c r="Q34" s="39" t="s">
        <v>36</v>
      </c>
      <c r="R34" s="39" t="s">
        <v>37</v>
      </c>
      <c r="S34" s="25"/>
    </row>
    <row r="35">
      <c r="M35" s="50">
        <f>0.26/10</f>
        <v>0.026</v>
      </c>
      <c r="N35" s="51">
        <v>5.0E-4</v>
      </c>
      <c r="O35" s="43">
        <f t="shared" ref="O35:O40" si="11">1/M35</f>
        <v>38.46153846</v>
      </c>
      <c r="P35" s="43">
        <f t="shared" ref="P35:P40" si="12">SQRT((N35/M35)^2)</f>
        <v>0.01923076923</v>
      </c>
      <c r="Q35" s="43">
        <v>17.38239794652733</v>
      </c>
      <c r="R35" s="44">
        <v>0.6071299993090817</v>
      </c>
      <c r="S35" s="25"/>
    </row>
    <row r="36">
      <c r="M36" s="50">
        <f>0.35/10</f>
        <v>0.035</v>
      </c>
      <c r="N36" s="51">
        <v>5.0E-4</v>
      </c>
      <c r="O36" s="43">
        <f t="shared" si="11"/>
        <v>28.57142857</v>
      </c>
      <c r="P36" s="43">
        <f t="shared" si="12"/>
        <v>0.01428571429</v>
      </c>
      <c r="Q36" s="43">
        <v>15.64716128069208</v>
      </c>
      <c r="R36" s="44">
        <v>0.551556677548327</v>
      </c>
      <c r="S36" s="25"/>
    </row>
    <row r="37">
      <c r="C37" s="52" t="s">
        <v>36</v>
      </c>
      <c r="D37" s="3" t="s">
        <v>43</v>
      </c>
      <c r="M37" s="50">
        <f>0.46/10</f>
        <v>0.046</v>
      </c>
      <c r="N37" s="51">
        <v>5.0E-4</v>
      </c>
      <c r="O37" s="43">
        <f t="shared" si="11"/>
        <v>21.73913043</v>
      </c>
      <c r="P37" s="43">
        <f t="shared" si="12"/>
        <v>0.01086956522</v>
      </c>
      <c r="Q37" s="43">
        <v>10.815491142496088</v>
      </c>
      <c r="R37" s="44">
        <v>0.42758127930476164</v>
      </c>
      <c r="S37" s="25"/>
    </row>
    <row r="38">
      <c r="C38" s="53">
        <v>17.38239794652733</v>
      </c>
      <c r="D38" s="4">
        <v>38.4615384615385</v>
      </c>
      <c r="M38" s="50">
        <f>0.55/10</f>
        <v>0.055</v>
      </c>
      <c r="N38" s="51">
        <v>5.0E-4</v>
      </c>
      <c r="O38" s="43">
        <f t="shared" si="11"/>
        <v>18.18181818</v>
      </c>
      <c r="P38" s="42">
        <f t="shared" si="12"/>
        <v>0.009090909091</v>
      </c>
      <c r="Q38" s="43">
        <v>8.014116335553652</v>
      </c>
      <c r="R38" s="44">
        <v>0.37643461112285903</v>
      </c>
      <c r="S38" s="25"/>
    </row>
    <row r="39">
      <c r="C39" s="53">
        <v>15.64716128069208</v>
      </c>
      <c r="D39" s="4">
        <v>28.5714285714286</v>
      </c>
      <c r="M39" s="50">
        <f>0.64/10</f>
        <v>0.064</v>
      </c>
      <c r="N39" s="51">
        <v>5.0E-4</v>
      </c>
      <c r="O39" s="43">
        <f t="shared" si="11"/>
        <v>15.625</v>
      </c>
      <c r="P39" s="42">
        <f t="shared" si="12"/>
        <v>0.0078125</v>
      </c>
      <c r="Q39" s="43">
        <v>7.272472065032822</v>
      </c>
      <c r="R39" s="44">
        <v>0.3654417414138853</v>
      </c>
      <c r="S39" s="25"/>
    </row>
    <row r="40">
      <c r="C40" s="53">
        <v>10.815491142496088</v>
      </c>
      <c r="D40" s="4">
        <v>21.7391304347826</v>
      </c>
      <c r="M40" s="50">
        <f>0.85/10</f>
        <v>0.085</v>
      </c>
      <c r="N40" s="51">
        <v>5.0E-4</v>
      </c>
      <c r="O40" s="43">
        <f t="shared" si="11"/>
        <v>11.76470588</v>
      </c>
      <c r="P40" s="42">
        <f t="shared" si="12"/>
        <v>0.005882352941</v>
      </c>
      <c r="Q40" s="43">
        <v>5.848554532192313</v>
      </c>
      <c r="R40" s="44">
        <v>0.3473259414763296</v>
      </c>
      <c r="S40" s="25"/>
    </row>
    <row r="41">
      <c r="C41" s="53">
        <v>8.014116335553652</v>
      </c>
      <c r="D41" s="4">
        <v>18.1818181818182</v>
      </c>
      <c r="M41" s="27"/>
      <c r="S41" s="25"/>
    </row>
    <row r="42">
      <c r="C42" s="53">
        <v>7.272472065032822</v>
      </c>
      <c r="D42" s="4">
        <v>15.625</v>
      </c>
      <c r="M42" s="27"/>
      <c r="S42" s="25"/>
    </row>
    <row r="43">
      <c r="C43" s="53">
        <v>5.848554532192313</v>
      </c>
      <c r="D43" s="4">
        <v>11.7647058823529</v>
      </c>
      <c r="M43" s="31"/>
      <c r="N43" s="32"/>
      <c r="O43" s="32"/>
      <c r="P43" s="32"/>
      <c r="Q43" s="32"/>
      <c r="R43" s="32"/>
      <c r="S43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2">
      <c r="A2" s="54" t="s">
        <v>44</v>
      </c>
      <c r="B2" s="55"/>
      <c r="E2" s="56" t="s">
        <v>45</v>
      </c>
      <c r="F2" s="57"/>
      <c r="H2" s="3" t="s">
        <v>46</v>
      </c>
      <c r="K2" s="3" t="s">
        <v>47</v>
      </c>
      <c r="N2" s="3" t="s">
        <v>48</v>
      </c>
    </row>
    <row r="4">
      <c r="A4" s="58" t="s">
        <v>49</v>
      </c>
      <c r="B4" s="58" t="s">
        <v>50</v>
      </c>
      <c r="C4" s="58" t="s">
        <v>51</v>
      </c>
      <c r="E4" s="58" t="s">
        <v>52</v>
      </c>
      <c r="F4" s="58" t="s">
        <v>53</v>
      </c>
      <c r="H4" s="58" t="s">
        <v>54</v>
      </c>
      <c r="I4" s="58" t="s">
        <v>55</v>
      </c>
      <c r="K4" s="58" t="s">
        <v>36</v>
      </c>
      <c r="L4" s="58" t="s">
        <v>37</v>
      </c>
      <c r="N4" s="58" t="s">
        <v>56</v>
      </c>
      <c r="O4" s="58" t="s">
        <v>57</v>
      </c>
    </row>
    <row r="5">
      <c r="A5" s="3" t="s">
        <v>58</v>
      </c>
      <c r="B5" s="3">
        <v>11.0</v>
      </c>
      <c r="C5" s="59"/>
      <c r="E5" s="3">
        <v>100.0</v>
      </c>
      <c r="F5" s="3">
        <v>1.0</v>
      </c>
      <c r="H5" s="60">
        <f>B5/B6</f>
        <v>282.7763496</v>
      </c>
      <c r="I5" s="60">
        <f>H5*SQRT((C6/B6)^2)</f>
        <v>0.1817328725</v>
      </c>
      <c r="K5" s="15">
        <f> A10*H5*F5/E5</f>
        <v>0.00000355347241</v>
      </c>
      <c r="L5" s="16">
        <f>K5*SQRT((I5/H5)^2)</f>
        <v>0.000000002283722629</v>
      </c>
      <c r="N5" s="61">
        <f>K5*PI()*(B7/2)^2</f>
        <v>0.000000001116356282</v>
      </c>
      <c r="O5" s="16">
        <f>N5*SQRT(((L5/K5)^2)+ ((2*C7/B7)^2))</f>
        <v>0</v>
      </c>
    </row>
    <row r="6">
      <c r="A6" s="3" t="s">
        <v>59</v>
      </c>
      <c r="B6" s="3">
        <f>3.89/100</f>
        <v>0.0389</v>
      </c>
      <c r="C6" s="3">
        <f t="shared" ref="C6:C7" si="1">0.0025/100</f>
        <v>0.000025</v>
      </c>
    </row>
    <row r="7">
      <c r="A7" s="3" t="s">
        <v>60</v>
      </c>
      <c r="B7" s="3">
        <f>2/100</f>
        <v>0.02</v>
      </c>
      <c r="C7" s="3">
        <f t="shared" si="1"/>
        <v>0.000025</v>
      </c>
    </row>
    <row r="8">
      <c r="E8" s="56" t="s">
        <v>61</v>
      </c>
      <c r="F8" s="57"/>
      <c r="H8" s="3" t="s">
        <v>62</v>
      </c>
    </row>
    <row r="9">
      <c r="A9" s="58" t="s">
        <v>63</v>
      </c>
    </row>
    <row r="10">
      <c r="A10" s="15">
        <f> 4*PI()*10^(-7)</f>
        <v>0.000001256637061</v>
      </c>
      <c r="E10" s="58" t="s">
        <v>53</v>
      </c>
      <c r="F10" s="58" t="s">
        <v>64</v>
      </c>
      <c r="H10" s="58" t="s">
        <v>65</v>
      </c>
    </row>
    <row r="11">
      <c r="E11" s="3">
        <v>8.0</v>
      </c>
      <c r="F11" s="19">
        <f>2*10^-6</f>
        <v>0.000002</v>
      </c>
      <c r="H11" s="60">
        <f>((A10*H5*PI()*(B7^2))/4*E5)*(E11/F11)</f>
        <v>44.65425127</v>
      </c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</row>
    <row r="17">
      <c r="A17" s="54" t="s">
        <v>66</v>
      </c>
      <c r="B17" s="55"/>
    </row>
    <row r="19">
      <c r="A19" s="58" t="s">
        <v>67</v>
      </c>
      <c r="B19" s="63" t="s">
        <v>68</v>
      </c>
      <c r="C19" s="64"/>
    </row>
    <row r="20">
      <c r="A20" s="3">
        <v>1.0</v>
      </c>
      <c r="B20" s="3">
        <v>14.0</v>
      </c>
      <c r="H20" s="28"/>
    </row>
    <row r="21">
      <c r="A21" s="3">
        <v>2.0</v>
      </c>
      <c r="B21" s="3">
        <v>21.4</v>
      </c>
    </row>
    <row r="22">
      <c r="A22" s="3">
        <v>3.0</v>
      </c>
      <c r="B22" s="3">
        <v>29.4</v>
      </c>
    </row>
    <row r="23">
      <c r="A23" s="3">
        <v>4.0</v>
      </c>
      <c r="B23" s="3">
        <v>42.0</v>
      </c>
    </row>
    <row r="24">
      <c r="A24" s="3">
        <v>5.0</v>
      </c>
      <c r="B24" s="3">
        <v>52.0</v>
      </c>
    </row>
    <row r="25">
      <c r="A25" s="3">
        <v>6.0</v>
      </c>
      <c r="B25" s="3">
        <v>61.6</v>
      </c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7">
      <c r="A37" s="54" t="s">
        <v>69</v>
      </c>
      <c r="B37" s="55"/>
    </row>
    <row r="39">
      <c r="A39" s="58" t="s">
        <v>70</v>
      </c>
      <c r="B39" s="63" t="s">
        <v>68</v>
      </c>
    </row>
    <row r="40">
      <c r="A40" s="3">
        <v>5.0</v>
      </c>
      <c r="B40" s="3">
        <v>1.44</v>
      </c>
    </row>
    <row r="41">
      <c r="A41" s="3">
        <v>10.0</v>
      </c>
      <c r="B41" s="3">
        <v>2.56</v>
      </c>
    </row>
    <row r="42">
      <c r="A42" s="3">
        <v>25.0</v>
      </c>
      <c r="B42" s="3">
        <v>6.4</v>
      </c>
    </row>
    <row r="43">
      <c r="A43" s="3">
        <v>50.0</v>
      </c>
      <c r="B43" s="3">
        <v>13.2</v>
      </c>
    </row>
    <row r="44">
      <c r="A44" s="3">
        <v>100.0</v>
      </c>
      <c r="B44" s="3">
        <v>25.4</v>
      </c>
    </row>
    <row r="45">
      <c r="A45" s="3">
        <v>200.0</v>
      </c>
      <c r="B45" s="3">
        <v>54.4</v>
      </c>
    </row>
  </sheetData>
  <mergeCells count="5">
    <mergeCell ref="E2:F2"/>
    <mergeCell ref="E8:F8"/>
    <mergeCell ref="A2:B2"/>
    <mergeCell ref="A17:B17"/>
    <mergeCell ref="A37:B37"/>
  </mergeCells>
  <drawing r:id="rId1"/>
</worksheet>
</file>