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<sst xmlns="http://schemas.openxmlformats.org/spreadsheetml/2006/main" count="33" uniqueCount="32">
  <si>
    <t>Medida</t>
  </si>
  <si>
    <t>T (°C)</t>
  </si>
  <si>
    <t>T (K)</t>
  </si>
  <si>
    <t>σT ( °C ou K)</t>
  </si>
  <si>
    <t>R (kΩ)</t>
  </si>
  <si>
    <t>σR(kΩ)</t>
  </si>
  <si>
    <t>ln (R/Ro)</t>
  </si>
  <si>
    <t>σln(R/Ro)</t>
  </si>
  <si>
    <t>1/T (K-1)</t>
  </si>
  <si>
    <t>σ1/T (K-1)</t>
  </si>
  <si>
    <t>Ambiente</t>
  </si>
  <si>
    <t>Ro</t>
  </si>
  <si>
    <t>Pessoa</t>
  </si>
  <si>
    <t>MMQ</t>
  </si>
  <si>
    <t>Resultado MMQ</t>
  </si>
  <si>
    <t>valores para gráfico temperatura x resistencia</t>
  </si>
  <si>
    <t>y = ax+b</t>
  </si>
  <si>
    <t>x</t>
  </si>
  <si>
    <t>y</t>
  </si>
  <si>
    <t>y = 1/emperatura</t>
  </si>
  <si>
    <t>a</t>
  </si>
  <si>
    <t>x = resistêcia</t>
  </si>
  <si>
    <t>b</t>
  </si>
  <si>
    <t>delta a</t>
  </si>
  <si>
    <t>temperatura  do corpo em kelvin</t>
  </si>
  <si>
    <t>temperatura do corpo em celsius</t>
  </si>
  <si>
    <t>delta b</t>
  </si>
  <si>
    <t>&lt;o²&gt;</t>
  </si>
  <si>
    <t xml:space="preserve">&lt;x&gt; </t>
  </si>
  <si>
    <t>&lt;x²&gt;</t>
  </si>
  <si>
    <t>&lt;y&gt;</t>
  </si>
  <si>
    <t>&lt;xy&gt;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</si>
</sst>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"/>
    <numFmt numFmtId="165" formatCode="0.000"/>
    <numFmt numFmtId="166" formatCode="#,##0.000"/>
    <numFmt numFmtId="167" formatCode="0.00000"/>
    <numFmt numFmtId="168" formatCode="#,##0.0000"/>
    <numFmt numFmtId="169" formatCode="0.00000000000000000000"/>
    <numFmt numFmtId="170" formatCode="0.0000"/>
    <numFmt numFmtId="171" formatCode="0.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sz val="5.0"/>
      <color theme="1"/>
      <name val="Arial"/>
      <scheme val="minor"/>
    </font>
    <font>
      <sz val="14.0"/>
      <color theme="1"/>
      <name val="Arial"/>
    </font>
    <font>
      <color theme="1"/>
      <name val="Arial"/>
    </font>
    <font>
      <sz val="13.0"/>
      <color theme="1"/>
      <name val="Arial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6" fillId="0" fontId="1" numFmtId="165" xfId="0" applyAlignment="1" applyBorder="1" applyFont="1" applyNumberFormat="1">
      <alignment readingOrder="0"/>
    </xf>
    <xf borderId="7" fillId="0" fontId="1" numFmtId="166" xfId="0" applyAlignment="1" applyBorder="1" applyFont="1" applyNumberFormat="1">
      <alignment readingOrder="0"/>
    </xf>
    <xf borderId="8" fillId="0" fontId="1" numFmtId="167" xfId="0" applyAlignment="1" applyBorder="1" applyFont="1" applyNumberFormat="1">
      <alignment readingOrder="0"/>
    </xf>
    <xf borderId="7" fillId="0" fontId="1" numFmtId="167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7" fillId="0" fontId="1" numFmtId="168" xfId="0" applyAlignment="1" applyBorder="1" applyFont="1" applyNumberFormat="1">
      <alignment readingOrder="0"/>
    </xf>
    <xf borderId="0" fillId="0" fontId="1" numFmtId="0" xfId="0" applyFont="1"/>
    <xf borderId="7" fillId="0" fontId="1" numFmtId="164" xfId="0" applyAlignment="1" applyBorder="1" applyFont="1" applyNumberFormat="1">
      <alignment readingOrder="0"/>
    </xf>
    <xf borderId="0" fillId="0" fontId="2" numFmtId="169" xfId="0" applyFont="1" applyNumberFormat="1"/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9" fillId="0" fontId="4" numFmtId="0" xfId="0" applyAlignment="1" applyBorder="1" applyFont="1">
      <alignment vertical="bottom"/>
    </xf>
    <xf borderId="10" fillId="0" fontId="5" numFmtId="0" xfId="0" applyAlignment="1" applyBorder="1" applyFont="1">
      <alignment horizontal="center" vertical="bottom"/>
    </xf>
    <xf borderId="11" fillId="0" fontId="4" numFmtId="0" xfId="0" applyAlignment="1" applyBorder="1" applyFont="1">
      <alignment vertical="bottom"/>
    </xf>
    <xf borderId="12" fillId="0" fontId="3" numFmtId="0" xfId="0" applyAlignment="1" applyBorder="1" applyFont="1">
      <alignment horizontal="center" vertical="bottom"/>
    </xf>
    <xf borderId="10" fillId="0" fontId="6" numFmtId="0" xfId="0" applyBorder="1" applyFont="1"/>
    <xf borderId="13" fillId="0" fontId="4" numFmtId="0" xfId="0" applyAlignment="1" applyBorder="1" applyFont="1">
      <alignment vertical="bottom"/>
    </xf>
    <xf borderId="14" fillId="0" fontId="4" numFmtId="0" xfId="0" applyAlignment="1" applyBorder="1" applyFont="1">
      <alignment vertical="bottom"/>
    </xf>
    <xf borderId="14" fillId="0" fontId="4" numFmtId="1" xfId="0" applyAlignment="1" applyBorder="1" applyFont="1" applyNumberFormat="1">
      <alignment vertical="bottom"/>
    </xf>
    <xf borderId="0" fillId="0" fontId="4" numFmtId="170" xfId="0" applyAlignment="1" applyFont="1" applyNumberFormat="1">
      <alignment vertical="bottom"/>
    </xf>
    <xf borderId="8" fillId="0" fontId="1" numFmtId="0" xfId="0" applyAlignment="1" applyBorder="1" applyFont="1">
      <alignment readingOrder="0"/>
    </xf>
    <xf borderId="15" fillId="0" fontId="6" numFmtId="0" xfId="0" applyBorder="1" applyFont="1"/>
    <xf borderId="6" fillId="0" fontId="6" numFmtId="0" xfId="0" applyBorder="1" applyFont="1"/>
    <xf borderId="7" fillId="0" fontId="1" numFmtId="0" xfId="0" applyBorder="1" applyFont="1"/>
    <xf borderId="16" fillId="0" fontId="4" numFmtId="0" xfId="0" applyAlignment="1" applyBorder="1" applyFont="1">
      <alignment vertical="bottom"/>
    </xf>
    <xf borderId="16" fillId="0" fontId="4" numFmtId="170" xfId="0" applyAlignment="1" applyBorder="1" applyFont="1" applyNumberFormat="1">
      <alignment vertical="bottom"/>
    </xf>
    <xf borderId="17" fillId="0" fontId="4" numFmtId="0" xfId="0" applyAlignment="1" applyBorder="1" applyFont="1">
      <alignment vertical="bottom"/>
    </xf>
    <xf borderId="9" fillId="0" fontId="4" numFmtId="171" xfId="0" applyAlignment="1" applyBorder="1" applyFont="1" applyNumberFormat="1">
      <alignment horizontal="right" vertical="bottom"/>
    </xf>
    <xf borderId="7" fillId="0" fontId="1" numFmtId="165" xfId="0" applyAlignment="1" applyBorder="1" applyFont="1" applyNumberFormat="1">
      <alignment readingOrder="0"/>
    </xf>
    <xf borderId="7" fillId="0" fontId="1" numFmtId="167" xfId="0" applyBorder="1" applyFont="1" applyNumberFormat="1"/>
    <xf borderId="7" fillId="0" fontId="7" numFmtId="0" xfId="0" applyAlignment="1" applyBorder="1" applyFont="1">
      <alignment readingOrder="0" shrinkToFit="0" wrapText="1"/>
    </xf>
    <xf borderId="18" fillId="0" fontId="4" numFmtId="0" xfId="0" applyAlignment="1" applyBorder="1" applyFont="1">
      <alignment vertical="bottom"/>
    </xf>
    <xf borderId="19" fillId="0" fontId="4" numFmtId="171" xfId="0" applyAlignment="1" applyBorder="1" applyFont="1" applyNumberFormat="1">
      <alignment horizontal="right" vertical="bottom"/>
    </xf>
    <xf borderId="7" fillId="0" fontId="1" numFmtId="166" xfId="0" applyBorder="1" applyFont="1" applyNumberFormat="1"/>
    <xf borderId="4" fillId="0" fontId="4" numFmtId="0" xfId="0" applyAlignment="1" applyBorder="1" applyFont="1">
      <alignment vertical="bottom"/>
    </xf>
    <xf borderId="4" fillId="0" fontId="4" numFmtId="170" xfId="0" applyAlignment="1" applyBorder="1" applyFont="1" applyNumberFormat="1">
      <alignment horizontal="right" vertical="bottom"/>
    </xf>
    <xf borderId="4" fillId="0" fontId="4" numFmtId="0" xfId="0" applyAlignment="1" applyBorder="1" applyFont="1">
      <alignment horizontal="right" vertical="bottom"/>
    </xf>
    <xf borderId="4" fillId="0" fontId="4" numFmtId="1" xfId="0" applyAlignment="1" applyBorder="1" applyFont="1" applyNumberFormat="1">
      <alignment horizontal="right" vertical="bottom"/>
    </xf>
    <xf borderId="20" fillId="0" fontId="4" numFmtId="0" xfId="0" applyAlignment="1" applyBorder="1" applyFont="1">
      <alignment vertical="bottom"/>
    </xf>
    <xf borderId="21" fillId="0" fontId="4" numFmtId="0" xfId="0" applyAlignment="1" applyBorder="1" applyFont="1">
      <alignment vertical="bottom"/>
    </xf>
    <xf borderId="22" fillId="0" fontId="4" numFmtId="0" xfId="0" applyAlignment="1" applyBorder="1" applyFont="1">
      <alignment vertical="bottom"/>
    </xf>
    <xf borderId="23" fillId="0" fontId="4" numFmtId="0" xfId="0" applyAlignment="1" applyBorder="1" applyFont="1">
      <alignment vertical="bottom"/>
    </xf>
    <xf borderId="23" fillId="0" fontId="4" numFmtId="170" xfId="0" applyAlignment="1" applyBorder="1" applyFont="1" applyNumberFormat="1">
      <alignment horizontal="right" vertical="bottom"/>
    </xf>
    <xf borderId="23" fillId="0" fontId="4" numFmtId="171" xfId="0" applyAlignment="1" applyBorder="1" applyFont="1" applyNumberFormat="1">
      <alignment horizontal="right" vertical="bottom"/>
    </xf>
    <xf borderId="19" fillId="0" fontId="4" numFmtId="0" xfId="0" applyAlignment="1" applyBorder="1" applyFont="1">
      <alignment vertical="bottom"/>
    </xf>
    <xf borderId="7" fillId="0" fontId="1" numFmtId="171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'Página1'!$L$3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'Página1'!$J$4:$J$14</c:f>
            </c:numRef>
          </c:xVal>
          <c:yVal>
            <c:numRef>
              <c:f>'Página1'!$L$4:$L$13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783983"/>
        <c:axId val="1838336860"/>
      </c:scatterChart>
      <c:valAx>
        <c:axId val="1832783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 (R/Ro)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336860"/>
      </c:valAx>
      <c:valAx>
        <c:axId val="1838336860"/>
        <c:scaling>
          <c:orientation val="minMax"/>
          <c:max val="0.003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1/T (K-1)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783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Expressão Temperatura x Resistência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3810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'Página1'!$U$27:$U$37</c:f>
            </c:numRef>
          </c:xVal>
          <c:yVal>
            <c:numRef>
              <c:f>'Página1'!$V$27:$V$37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85278"/>
        <c:axId val="1674162021"/>
      </c:scatterChart>
      <c:valAx>
        <c:axId val="10803852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ln (R/Ro)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162021"/>
      </c:valAx>
      <c:valAx>
        <c:axId val="1674162021"/>
        <c:scaling>
          <c:orientation val="minMax"/>
          <c:max val="0.003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1/T (K-1)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3852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2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95250</xdr:colOff>
      <xdr:row>37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4" max="24" width="17.75"/>
    <col customWidth="1" min="25" max="25" width="17.13"/>
  </cols>
  <sheetData>
    <row r="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I3" s="1" t="s">
        <v>0</v>
      </c>
      <c r="J3" s="2" t="s">
        <v>6</v>
      </c>
      <c r="K3" s="2" t="s">
        <v>7</v>
      </c>
      <c r="L3" s="3" t="s">
        <v>8</v>
      </c>
      <c r="M3" s="2" t="s">
        <v>9</v>
      </c>
      <c r="N3" s="4"/>
    </row>
    <row r="4">
      <c r="B4" s="2" t="s">
        <v>10</v>
      </c>
      <c r="C4" s="5">
        <v>25.0</v>
      </c>
      <c r="D4" s="6">
        <v>298.0</v>
      </c>
      <c r="E4" s="6">
        <v>0.5</v>
      </c>
      <c r="F4" s="6">
        <v>9.87</v>
      </c>
      <c r="G4" s="7">
        <v>0.1</v>
      </c>
      <c r="I4" s="2">
        <v>1.0</v>
      </c>
      <c r="J4" s="8">
        <f>LN(F5/F4)</f>
        <v>-2.050482953</v>
      </c>
      <c r="K4" s="9">
        <f>((J4)^2)*((O5))+((G5/F5)^2)</f>
        <v>0.001981599706</v>
      </c>
      <c r="L4" s="10">
        <f t="shared" ref="L4:L13" si="1">1/D5</f>
        <v>0.002898550725</v>
      </c>
      <c r="M4" s="11">
        <f t="shared" ref="M4:M13" si="2">L4*(E5/D5)</f>
        <v>0.000004200798152</v>
      </c>
      <c r="N4" s="12"/>
      <c r="O4" s="12" t="s">
        <v>11</v>
      </c>
    </row>
    <row r="5">
      <c r="B5" s="2">
        <v>1.0</v>
      </c>
      <c r="C5" s="13">
        <v>72.0</v>
      </c>
      <c r="D5" s="14">
        <v>345.0</v>
      </c>
      <c r="E5" s="6">
        <v>0.5</v>
      </c>
      <c r="F5" s="14">
        <v>1.27</v>
      </c>
      <c r="G5" s="14">
        <v>0.05</v>
      </c>
      <c r="I5" s="2">
        <v>2.0</v>
      </c>
      <c r="J5" s="8">
        <f>LN(F6/F4)</f>
        <v>-1.249223142</v>
      </c>
      <c r="K5" s="15">
        <f>((J5)^2)*((O5))+((G6/F6)^2)</f>
        <v>0.0006096937435</v>
      </c>
      <c r="L5" s="10">
        <f t="shared" si="1"/>
        <v>0.003048780488</v>
      </c>
      <c r="M5" s="11">
        <f t="shared" si="2"/>
        <v>0.000004647531231</v>
      </c>
      <c r="N5" s="12"/>
      <c r="O5" s="16">
        <f>(G4/F4)^2</f>
        <v>0.0001026515933</v>
      </c>
    </row>
    <row r="6">
      <c r="B6" s="2">
        <v>2.0</v>
      </c>
      <c r="C6" s="13">
        <v>55.0</v>
      </c>
      <c r="D6" s="14">
        <v>328.0</v>
      </c>
      <c r="E6" s="6">
        <v>0.5</v>
      </c>
      <c r="F6" s="14">
        <v>2.83</v>
      </c>
      <c r="G6" s="14">
        <v>0.06</v>
      </c>
      <c r="I6" s="2">
        <v>3.0</v>
      </c>
      <c r="J6" s="8">
        <f>LN(F7/F4)</f>
        <v>-1.016934258</v>
      </c>
      <c r="K6" s="15">
        <f>((J6)^2)*((O5))+((G7/F7)^2)</f>
        <v>0.0004906252002</v>
      </c>
      <c r="L6" s="10">
        <f t="shared" si="1"/>
        <v>0.003105590062</v>
      </c>
      <c r="M6" s="11">
        <f t="shared" si="2"/>
        <v>0.000004822344817</v>
      </c>
      <c r="N6" s="12"/>
    </row>
    <row r="7">
      <c r="B7" s="2">
        <v>3.0</v>
      </c>
      <c r="C7" s="13">
        <v>49.0</v>
      </c>
      <c r="D7" s="14">
        <v>322.0</v>
      </c>
      <c r="E7" s="6">
        <v>0.5</v>
      </c>
      <c r="F7" s="14">
        <v>3.57</v>
      </c>
      <c r="G7" s="14">
        <v>0.07</v>
      </c>
      <c r="I7" s="2">
        <v>4.0</v>
      </c>
      <c r="J7" s="8">
        <f>LN(F8/F4)</f>
        <v>-0.7743726205</v>
      </c>
      <c r="K7" s="15">
        <f>((J7)^2)*((O5))+((G8/F8)^2)</f>
        <v>0.0003706967393</v>
      </c>
      <c r="L7" s="10">
        <f t="shared" si="1"/>
        <v>0.003164556962</v>
      </c>
      <c r="M7" s="11">
        <f t="shared" si="2"/>
        <v>0.000005007210383</v>
      </c>
      <c r="N7" s="12"/>
    </row>
    <row r="8">
      <c r="B8" s="2">
        <v>4.0</v>
      </c>
      <c r="C8" s="13">
        <v>43.0</v>
      </c>
      <c r="D8" s="14">
        <v>316.0</v>
      </c>
      <c r="E8" s="6">
        <v>0.5</v>
      </c>
      <c r="F8" s="14">
        <v>4.55</v>
      </c>
      <c r="G8" s="14">
        <v>0.08</v>
      </c>
      <c r="I8" s="2">
        <v>5.0</v>
      </c>
      <c r="J8" s="8">
        <f>LN(F9/F4)</f>
        <v>-0.6350885754</v>
      </c>
      <c r="K8" s="15">
        <f>((J8)^2)*((O5))+((G9/F9)^2)</f>
        <v>0.0002753820837</v>
      </c>
      <c r="L8" s="10">
        <f t="shared" si="1"/>
        <v>0.003194888179</v>
      </c>
      <c r="M8" s="11">
        <f t="shared" si="2"/>
        <v>0.000005103655238</v>
      </c>
      <c r="N8" s="12"/>
    </row>
    <row r="9">
      <c r="B9" s="2">
        <v>5.0</v>
      </c>
      <c r="C9" s="13">
        <v>40.0</v>
      </c>
      <c r="D9" s="14">
        <v>313.0</v>
      </c>
      <c r="E9" s="6">
        <v>0.5</v>
      </c>
      <c r="F9" s="14">
        <v>5.23</v>
      </c>
      <c r="G9" s="14">
        <v>0.08</v>
      </c>
      <c r="I9" s="2">
        <v>6.0</v>
      </c>
      <c r="J9" s="8">
        <f>LN(F10/F4)</f>
        <v>-0.4633389575</v>
      </c>
      <c r="K9" s="15">
        <f>((J9)^2)*((O5))+((G10/F10)^2)</f>
        <v>0.0002320774585</v>
      </c>
      <c r="L9" s="10">
        <f t="shared" si="1"/>
        <v>0.003236245955</v>
      </c>
      <c r="M9" s="11">
        <f t="shared" si="2"/>
        <v>0.00000523664394</v>
      </c>
      <c r="N9" s="12"/>
    </row>
    <row r="10">
      <c r="B10" s="2">
        <v>6.0</v>
      </c>
      <c r="C10" s="13">
        <v>36.0</v>
      </c>
      <c r="D10" s="14">
        <v>309.0</v>
      </c>
      <c r="E10" s="6">
        <v>0.5</v>
      </c>
      <c r="F10" s="14">
        <v>6.21</v>
      </c>
      <c r="G10" s="14">
        <v>0.09</v>
      </c>
      <c r="I10" s="2">
        <v>7.0</v>
      </c>
      <c r="J10" s="8">
        <f>LN(F11/F4)</f>
        <v>-0.326592128</v>
      </c>
      <c r="K10" s="15">
        <f>((J10)^2)*((O5))+((G11/F11)^2)</f>
        <v>0.0002082095141</v>
      </c>
      <c r="L10" s="10">
        <f t="shared" si="1"/>
        <v>0.003267973856</v>
      </c>
      <c r="M10" s="11">
        <f t="shared" si="2"/>
        <v>0.000005339826562</v>
      </c>
      <c r="N10" s="12"/>
      <c r="O10" s="16">
        <f>(F5/F4)</f>
        <v>0.1286727457</v>
      </c>
    </row>
    <row r="11">
      <c r="B11" s="2">
        <v>7.0</v>
      </c>
      <c r="C11" s="13">
        <v>33.0</v>
      </c>
      <c r="D11" s="14">
        <v>306.0</v>
      </c>
      <c r="E11" s="6">
        <v>0.5</v>
      </c>
      <c r="F11" s="14">
        <v>7.12</v>
      </c>
      <c r="G11" s="14">
        <v>0.1</v>
      </c>
      <c r="I11" s="2">
        <v>8.0</v>
      </c>
      <c r="J11" s="8">
        <f>LN(F12/F4)</f>
        <v>-0.1804995095</v>
      </c>
      <c r="K11" s="15">
        <f>((J11)^2)*((O5))+((G12/F12)^2)</f>
        <v>0.0001506250072</v>
      </c>
      <c r="L11" s="10">
        <f t="shared" si="1"/>
        <v>0.003311258278</v>
      </c>
      <c r="M11" s="11">
        <f t="shared" si="2"/>
        <v>0.000005482215692</v>
      </c>
      <c r="N11" s="12"/>
    </row>
    <row r="12">
      <c r="B12" s="2">
        <v>8.0</v>
      </c>
      <c r="C12" s="13">
        <v>29.0</v>
      </c>
      <c r="D12" s="14">
        <v>302.0</v>
      </c>
      <c r="E12" s="6">
        <v>0.5</v>
      </c>
      <c r="F12" s="14">
        <v>8.24</v>
      </c>
      <c r="G12" s="17">
        <v>0.1</v>
      </c>
      <c r="I12" s="1">
        <v>9.0</v>
      </c>
      <c r="J12" s="8">
        <f>LN(F13/F4)</f>
        <v>-0.09449997113</v>
      </c>
      <c r="K12" s="15">
        <f>((J12)^2)*((O5))+((G13/F13)^2)</f>
        <v>0.0001249240252</v>
      </c>
      <c r="L12" s="10">
        <f t="shared" si="1"/>
        <v>0.003333333333</v>
      </c>
      <c r="M12" s="11">
        <f t="shared" si="2"/>
        <v>0.000005555555556</v>
      </c>
      <c r="N12" s="12"/>
    </row>
    <row r="13">
      <c r="B13" s="2">
        <v>9.0</v>
      </c>
      <c r="C13" s="13">
        <v>27.0</v>
      </c>
      <c r="D13" s="14">
        <v>300.0</v>
      </c>
      <c r="E13" s="6">
        <v>0.5</v>
      </c>
      <c r="F13" s="14">
        <v>8.98</v>
      </c>
      <c r="G13" s="17">
        <v>0.1</v>
      </c>
      <c r="I13" s="2">
        <v>10.0</v>
      </c>
      <c r="J13" s="8">
        <f>LN(F14/F4)</f>
        <v>0.006060624612</v>
      </c>
      <c r="K13" s="15">
        <f>((J13)^2)*((O5))+((G14/F14)^2)</f>
        <v>0.0001014186089</v>
      </c>
      <c r="L13" s="10">
        <f t="shared" si="1"/>
        <v>0.003355704698</v>
      </c>
      <c r="M13" s="11">
        <f t="shared" si="2"/>
        <v>0.00000563037701</v>
      </c>
      <c r="N13" s="12"/>
    </row>
    <row r="14">
      <c r="B14" s="2">
        <v>10.0</v>
      </c>
      <c r="C14" s="13">
        <v>25.0</v>
      </c>
      <c r="D14" s="14">
        <v>298.0</v>
      </c>
      <c r="E14" s="6">
        <v>0.5</v>
      </c>
      <c r="F14" s="14">
        <v>9.93</v>
      </c>
      <c r="G14" s="17">
        <v>0.1</v>
      </c>
      <c r="I14" s="4"/>
      <c r="J14" s="12">
        <f>LN(F15/F4)</f>
        <v>-0.4730477716</v>
      </c>
      <c r="K14" s="12"/>
      <c r="L14" s="12"/>
      <c r="M14" s="12"/>
      <c r="N14" s="12"/>
    </row>
    <row r="15">
      <c r="B15" s="12" t="s">
        <v>12</v>
      </c>
      <c r="C15" s="12">
        <v>36.7</v>
      </c>
      <c r="F15" s="12">
        <v>6.15</v>
      </c>
    </row>
    <row r="19">
      <c r="L19" s="18"/>
    </row>
    <row r="21">
      <c r="Q21" s="19"/>
    </row>
    <row r="22">
      <c r="Q22" s="20"/>
      <c r="R22" s="20"/>
    </row>
    <row r="23">
      <c r="A23" s="20"/>
      <c r="B23" s="20"/>
      <c r="C23" s="20"/>
      <c r="D23" s="20"/>
      <c r="E23" s="20"/>
      <c r="F23" s="20"/>
      <c r="G23" s="21"/>
      <c r="H23" s="22" t="s">
        <v>13</v>
      </c>
      <c r="I23" s="20"/>
      <c r="J23" s="20"/>
      <c r="K23" s="20"/>
      <c r="L23" s="20"/>
      <c r="M23" s="20"/>
      <c r="N23" s="20"/>
      <c r="O23" s="20"/>
      <c r="Q23" s="20"/>
      <c r="R23" s="20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Q24" s="24" t="s">
        <v>14</v>
      </c>
      <c r="R24" s="25"/>
    </row>
    <row r="25">
      <c r="A25" s="26"/>
      <c r="B25" s="27">
        <f t="shared" ref="B25:B34" si="3">1/(M4)^2</f>
        <v>56667802500</v>
      </c>
      <c r="C25" s="20"/>
      <c r="D25" s="27"/>
      <c r="E25" s="27">
        <f t="shared" ref="E25:E34" si="4">J4/(M4)^2</f>
        <v>-116196363009</v>
      </c>
      <c r="F25" s="20"/>
      <c r="G25" s="27"/>
      <c r="H25" s="27">
        <f t="shared" ref="H25:H34" si="5">(J4)^2/(M4)^2</f>
        <v>238258661547</v>
      </c>
      <c r="I25" s="20"/>
      <c r="J25" s="27"/>
      <c r="K25" s="27">
        <f t="shared" ref="K25:K34" si="6">L4/(M4)^2</f>
        <v>164254500</v>
      </c>
      <c r="L25" s="20"/>
      <c r="M25" s="27"/>
      <c r="N25" s="28">
        <f t="shared" ref="N25:N34" si="7">(J4*L4)/M4^2</f>
        <v>-336801052.2</v>
      </c>
      <c r="O25" s="27"/>
      <c r="Q25" s="20"/>
      <c r="R25" s="29"/>
      <c r="U25" s="30" t="s">
        <v>15</v>
      </c>
      <c r="V25" s="31"/>
      <c r="W25" s="32"/>
      <c r="X25" s="14" t="s">
        <v>16</v>
      </c>
      <c r="Y25" s="33"/>
    </row>
    <row r="26">
      <c r="A26" s="26"/>
      <c r="B26" s="27">
        <f t="shared" si="3"/>
        <v>46297268224</v>
      </c>
      <c r="C26" s="20"/>
      <c r="D26" s="27"/>
      <c r="E26" s="27">
        <f t="shared" si="4"/>
        <v>-57835618867</v>
      </c>
      <c r="F26" s="20"/>
      <c r="G26" s="27"/>
      <c r="H26" s="27">
        <f t="shared" si="5"/>
        <v>72249593509</v>
      </c>
      <c r="I26" s="20"/>
      <c r="J26" s="27"/>
      <c r="K26" s="27">
        <f t="shared" si="6"/>
        <v>141150208</v>
      </c>
      <c r="L26" s="20"/>
      <c r="M26" s="27"/>
      <c r="N26" s="28">
        <f t="shared" si="7"/>
        <v>-176328106.3</v>
      </c>
      <c r="O26" s="27"/>
      <c r="Q26" s="34"/>
      <c r="R26" s="35"/>
      <c r="U26" s="14" t="s">
        <v>17</v>
      </c>
      <c r="V26" s="14" t="s">
        <v>18</v>
      </c>
      <c r="W26" s="33"/>
      <c r="X26" s="14" t="s">
        <v>19</v>
      </c>
      <c r="Y26" s="33"/>
    </row>
    <row r="27">
      <c r="A27" s="26"/>
      <c r="B27" s="27">
        <f t="shared" si="3"/>
        <v>43001487424</v>
      </c>
      <c r="C27" s="20"/>
      <c r="D27" s="27"/>
      <c r="E27" s="27">
        <f t="shared" si="4"/>
        <v>-43729685692</v>
      </c>
      <c r="F27" s="20"/>
      <c r="G27" s="27"/>
      <c r="H27" s="27">
        <f t="shared" si="5"/>
        <v>44470215456</v>
      </c>
      <c r="I27" s="20"/>
      <c r="J27" s="27"/>
      <c r="K27" s="27">
        <f t="shared" si="6"/>
        <v>133544992</v>
      </c>
      <c r="L27" s="20"/>
      <c r="M27" s="27"/>
      <c r="N27" s="28">
        <f t="shared" si="7"/>
        <v>-135806477.3</v>
      </c>
      <c r="O27" s="27"/>
      <c r="Q27" s="36" t="s">
        <v>20</v>
      </c>
      <c r="R27" s="37">
        <f>(E35*K35-N35)/(E35^2-H35)</f>
        <v>0.0002237237003</v>
      </c>
      <c r="U27" s="38">
        <v>-2.0504829529748902</v>
      </c>
      <c r="V27" s="39">
        <f t="shared" ref="V27:V37" si="8">(U27*$R$27)+$R$28</f>
        <v>0.002884510146</v>
      </c>
      <c r="W27" s="33"/>
      <c r="X27" s="14" t="s">
        <v>21</v>
      </c>
      <c r="Y27" s="33"/>
    </row>
    <row r="28">
      <c r="A28" s="26"/>
      <c r="B28" s="27">
        <f t="shared" si="3"/>
        <v>39884882944</v>
      </c>
      <c r="C28" s="20"/>
      <c r="D28" s="27"/>
      <c r="E28" s="27">
        <f t="shared" si="4"/>
        <v>-30885761323</v>
      </c>
      <c r="F28" s="20"/>
      <c r="G28" s="27"/>
      <c r="H28" s="27">
        <f t="shared" si="5"/>
        <v>23917087931</v>
      </c>
      <c r="I28" s="20"/>
      <c r="J28" s="27"/>
      <c r="K28" s="27">
        <f t="shared" si="6"/>
        <v>126217984</v>
      </c>
      <c r="L28" s="20"/>
      <c r="M28" s="27"/>
      <c r="N28" s="28">
        <f t="shared" si="7"/>
        <v>-97739751.02</v>
      </c>
      <c r="O28" s="27"/>
      <c r="Q28" s="36" t="s">
        <v>22</v>
      </c>
      <c r="R28" s="37">
        <f>K35 - R27*E35</f>
        <v>0.00334325178</v>
      </c>
      <c r="U28" s="38">
        <v>-1.2492231417902437</v>
      </c>
      <c r="V28" s="39">
        <f t="shared" si="8"/>
        <v>0.003063770956</v>
      </c>
      <c r="W28" s="33"/>
      <c r="X28" s="33"/>
      <c r="Y28" s="33"/>
    </row>
    <row r="29">
      <c r="A29" s="26"/>
      <c r="B29" s="27">
        <f t="shared" si="3"/>
        <v>38391699844</v>
      </c>
      <c r="C29" s="20"/>
      <c r="D29" s="27"/>
      <c r="E29" s="27">
        <f t="shared" si="4"/>
        <v>-24382129960</v>
      </c>
      <c r="F29" s="20"/>
      <c r="G29" s="27"/>
      <c r="H29" s="27">
        <f t="shared" si="5"/>
        <v>15484812181</v>
      </c>
      <c r="I29" s="20"/>
      <c r="J29" s="27"/>
      <c r="K29" s="27">
        <f t="shared" si="6"/>
        <v>122657188</v>
      </c>
      <c r="L29" s="20"/>
      <c r="M29" s="27"/>
      <c r="N29" s="28">
        <f t="shared" si="7"/>
        <v>-77898178.79</v>
      </c>
      <c r="O29" s="27"/>
      <c r="Q29" s="36" t="s">
        <v>23</v>
      </c>
      <c r="R29" s="37">
        <f>SQRT((1/B35)/(H35 - E35^2))</f>
        <v>0.000002481538337</v>
      </c>
      <c r="U29" s="38">
        <v>-1.0169342576538425</v>
      </c>
      <c r="V29" s="39">
        <f t="shared" si="8"/>
        <v>0.003115739485</v>
      </c>
      <c r="W29" s="33"/>
      <c r="X29" s="40" t="s">
        <v>24</v>
      </c>
      <c r="Y29" s="40" t="s">
        <v>25</v>
      </c>
    </row>
    <row r="30">
      <c r="A30" s="26"/>
      <c r="B30" s="27">
        <f t="shared" si="3"/>
        <v>36466485444</v>
      </c>
      <c r="C30" s="20"/>
      <c r="D30" s="27"/>
      <c r="E30" s="27">
        <f t="shared" si="4"/>
        <v>-16896343349</v>
      </c>
      <c r="F30" s="20"/>
      <c r="G30" s="27"/>
      <c r="H30" s="27">
        <f t="shared" si="5"/>
        <v>7828734113</v>
      </c>
      <c r="I30" s="20"/>
      <c r="J30" s="27"/>
      <c r="K30" s="27">
        <f t="shared" si="6"/>
        <v>118014516</v>
      </c>
      <c r="L30" s="20"/>
      <c r="M30" s="27"/>
      <c r="N30" s="28">
        <f t="shared" si="7"/>
        <v>-54680722.81</v>
      </c>
      <c r="O30" s="27"/>
      <c r="Q30" s="41" t="s">
        <v>26</v>
      </c>
      <c r="R30" s="42">
        <f>SQRT((H35/B35)/(H35-E35^2))</f>
        <v>0.00000252636546</v>
      </c>
      <c r="U30" s="38">
        <v>-0.7743726204825312</v>
      </c>
      <c r="V30" s="39">
        <f t="shared" si="8"/>
        <v>0.003170006272</v>
      </c>
      <c r="W30" s="33"/>
      <c r="X30" s="43">
        <f>1/V37</f>
        <v>308.8879625</v>
      </c>
      <c r="Y30" s="43">
        <f>X30-273.15</f>
        <v>35.73796246</v>
      </c>
    </row>
    <row r="31">
      <c r="A31" s="26"/>
      <c r="B31" s="27">
        <f t="shared" si="3"/>
        <v>35070801984</v>
      </c>
      <c r="C31" s="20"/>
      <c r="D31" s="27"/>
      <c r="E31" s="27">
        <f t="shared" si="4"/>
        <v>-11453847851</v>
      </c>
      <c r="F31" s="20"/>
      <c r="G31" s="27"/>
      <c r="H31" s="27">
        <f t="shared" si="5"/>
        <v>3740736544</v>
      </c>
      <c r="I31" s="20"/>
      <c r="J31" s="27"/>
      <c r="K31" s="27">
        <f t="shared" si="6"/>
        <v>114610464</v>
      </c>
      <c r="L31" s="20"/>
      <c r="M31" s="27"/>
      <c r="N31" s="28">
        <f t="shared" si="7"/>
        <v>-37430875.33</v>
      </c>
      <c r="O31" s="27"/>
      <c r="U31" s="38">
        <v>-0.6350885753685586</v>
      </c>
      <c r="V31" s="39">
        <f t="shared" si="8"/>
        <v>0.003201167414</v>
      </c>
      <c r="W31" s="33"/>
      <c r="X31" s="33"/>
      <c r="Y31" s="33"/>
    </row>
    <row r="32">
      <c r="A32" s="26"/>
      <c r="B32" s="27">
        <f t="shared" si="3"/>
        <v>33272678464</v>
      </c>
      <c r="C32" s="20"/>
      <c r="D32" s="27"/>
      <c r="E32" s="27">
        <f t="shared" si="4"/>
        <v>-6005702143</v>
      </c>
      <c r="F32" s="23"/>
      <c r="G32" s="27"/>
      <c r="H32" s="27">
        <f t="shared" si="5"/>
        <v>1084026291</v>
      </c>
      <c r="I32" s="23"/>
      <c r="J32" s="27"/>
      <c r="K32" s="27">
        <f t="shared" si="6"/>
        <v>110174432</v>
      </c>
      <c r="L32" s="23"/>
      <c r="M32" s="27"/>
      <c r="N32" s="28">
        <f t="shared" si="7"/>
        <v>-19886430.94</v>
      </c>
      <c r="O32" s="44"/>
      <c r="U32" s="38">
        <v>-0.4633389575000028</v>
      </c>
      <c r="V32" s="39">
        <f t="shared" si="8"/>
        <v>0.003239591874</v>
      </c>
      <c r="W32" s="33"/>
      <c r="X32" s="33"/>
      <c r="Y32" s="33"/>
    </row>
    <row r="33">
      <c r="A33" s="26"/>
      <c r="B33" s="27">
        <f t="shared" si="3"/>
        <v>32400000000</v>
      </c>
      <c r="D33" s="27"/>
      <c r="E33" s="27">
        <f t="shared" si="4"/>
        <v>-3061799065</v>
      </c>
      <c r="F33" s="45">
        <f>SUM(E25:E34)</f>
        <v>-310256071270</v>
      </c>
      <c r="G33" s="27"/>
      <c r="H33" s="27">
        <f t="shared" si="5"/>
        <v>289339923.2</v>
      </c>
      <c r="I33" s="46">
        <f>SUM(H25:H34)</f>
        <v>407324366165</v>
      </c>
      <c r="J33" s="27"/>
      <c r="K33" s="27">
        <f t="shared" si="6"/>
        <v>108000000</v>
      </c>
      <c r="L33" s="46">
        <f>SUM(K25:K34)</f>
        <v>1244478652</v>
      </c>
      <c r="M33" s="27"/>
      <c r="N33" s="28">
        <f t="shared" si="7"/>
        <v>-10205996.88</v>
      </c>
      <c r="O33" s="47">
        <f>SUM(N25:N34)</f>
        <v>-946136048</v>
      </c>
      <c r="U33" s="38">
        <v>-0.3265921280215058</v>
      </c>
      <c r="V33" s="39">
        <f t="shared" si="8"/>
        <v>0.00327018538</v>
      </c>
      <c r="W33" s="33"/>
      <c r="X33" s="33"/>
      <c r="Y33" s="33"/>
    </row>
    <row r="34">
      <c r="A34" s="48"/>
      <c r="B34" s="27">
        <f t="shared" si="3"/>
        <v>31544601664</v>
      </c>
      <c r="C34" s="34"/>
      <c r="D34" s="49"/>
      <c r="E34" s="27">
        <f t="shared" si="4"/>
        <v>191179989.2</v>
      </c>
      <c r="F34" s="34"/>
      <c r="G34" s="49"/>
      <c r="H34" s="27">
        <f t="shared" si="5"/>
        <v>1158670.148</v>
      </c>
      <c r="I34" s="34"/>
      <c r="J34" s="49"/>
      <c r="K34" s="27">
        <f t="shared" si="6"/>
        <v>105854368</v>
      </c>
      <c r="L34" s="34"/>
      <c r="M34" s="49"/>
      <c r="N34" s="28">
        <f t="shared" si="7"/>
        <v>641543.588</v>
      </c>
      <c r="O34" s="49"/>
      <c r="U34" s="38">
        <v>-0.18049950952400978</v>
      </c>
      <c r="V34" s="39">
        <f t="shared" si="8"/>
        <v>0.003302869761</v>
      </c>
      <c r="W34" s="33"/>
      <c r="X34" s="33"/>
      <c r="Y34" s="33"/>
    </row>
    <row r="35">
      <c r="A35" s="50" t="s">
        <v>27</v>
      </c>
      <c r="B35" s="51">
        <f>SUM(B25:B34)</f>
        <v>392997708492</v>
      </c>
      <c r="C35" s="34"/>
      <c r="D35" s="34" t="s">
        <v>28</v>
      </c>
      <c r="E35" s="52">
        <f>(1/B35)*SUM(E25:E34)</f>
        <v>-0.7894602553</v>
      </c>
      <c r="F35" s="34"/>
      <c r="G35" s="34" t="s">
        <v>29</v>
      </c>
      <c r="H35" s="53">
        <f>(1/B35)*SUM(H25:H34)</f>
        <v>1.036454812</v>
      </c>
      <c r="I35" s="34"/>
      <c r="J35" s="34" t="s">
        <v>30</v>
      </c>
      <c r="K35" s="52">
        <f>(1/B35)*SUM(K25:K34)</f>
        <v>0.00316663081</v>
      </c>
      <c r="L35" s="34"/>
      <c r="M35" s="34" t="s">
        <v>31</v>
      </c>
      <c r="N35" s="52">
        <f> ((1/B35)*SUM(N25:N34))</f>
        <v>-0.002407484898</v>
      </c>
      <c r="O35" s="54"/>
      <c r="U35" s="38">
        <v>-0.09449997113128186</v>
      </c>
      <c r="V35" s="39">
        <f t="shared" si="8"/>
        <v>0.003322109896</v>
      </c>
      <c r="W35" s="33"/>
      <c r="X35" s="33"/>
      <c r="Y35" s="33"/>
    </row>
    <row r="36">
      <c r="U36" s="38">
        <v>0.0060606246116909545</v>
      </c>
      <c r="V36" s="39">
        <f t="shared" si="8"/>
        <v>0.003344607685</v>
      </c>
      <c r="W36" s="33"/>
      <c r="X36" s="33"/>
      <c r="Y36" s="33"/>
    </row>
    <row r="37">
      <c r="U37" s="14">
        <v>-0.4730477716</v>
      </c>
      <c r="V37" s="55">
        <f t="shared" si="8"/>
        <v>0.003237419782</v>
      </c>
      <c r="W37" s="33"/>
      <c r="X37" s="33"/>
      <c r="Y37" s="33"/>
    </row>
  </sheetData>
  <mergeCells count="3">
    <mergeCell ref="Q21:R21"/>
    <mergeCell ref="Q24:R24"/>
    <mergeCell ref="U25:W25"/>
  </mergeCells>
  <drawing r:id="rId1"/>
</worksheet>
</file>