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0103" sheetId="2" r:id="rId5"/>
    <sheet state="visible" name="1204" sheetId="3" r:id="rId6"/>
  </sheets>
  <definedNames/>
  <calcPr/>
</workbook>
</file>

<file path=xl/sharedStrings.xml><?xml version="1.0" encoding="utf-8"?>
<sst xmlns="http://schemas.openxmlformats.org/spreadsheetml/2006/main" count="92" uniqueCount="73">
  <si>
    <t>Número de MOLS</t>
  </si>
  <si>
    <t>n = PV/RT</t>
  </si>
  <si>
    <t>Volume</t>
  </si>
  <si>
    <t>Incerteza 1/V</t>
  </si>
  <si>
    <t>Incerteza pressao</t>
  </si>
  <si>
    <t>Incerteza Volume</t>
  </si>
  <si>
    <r>
      <rPr>
        <rFont val="Arial"/>
        <color theme="1"/>
      </rPr>
      <t>Pressão (P</t>
    </r>
    <r>
      <rPr>
        <rFont val="Arial"/>
        <color theme="1"/>
        <sz val="7.0"/>
      </rPr>
      <t>man</t>
    </r>
    <r>
      <rPr>
        <rFont val="Arial"/>
        <color theme="1"/>
      </rPr>
      <t>)</t>
    </r>
  </si>
  <si>
    <t>Inverso de V (1/V)</t>
  </si>
  <si>
    <t>1/V (valor)</t>
  </si>
  <si>
    <t>Incerteza de n</t>
  </si>
  <si>
    <t>1/26</t>
  </si>
  <si>
    <t>Resultado MMQ</t>
  </si>
  <si>
    <t>1/24,7</t>
  </si>
  <si>
    <t>1/23,5</t>
  </si>
  <si>
    <t>1/22,5</t>
  </si>
  <si>
    <t>a</t>
  </si>
  <si>
    <t>temperatura kelvin</t>
  </si>
  <si>
    <t>R</t>
  </si>
  <si>
    <t>volume em m^3</t>
  </si>
  <si>
    <t>Ptot em pascal</t>
  </si>
  <si>
    <t>1/21,5</t>
  </si>
  <si>
    <t>b</t>
  </si>
  <si>
    <t>1/20,5</t>
  </si>
  <si>
    <t>delta a</t>
  </si>
  <si>
    <t>1/19,8</t>
  </si>
  <si>
    <t>delta b</t>
  </si>
  <si>
    <t>1/19,4</t>
  </si>
  <si>
    <t>1/18,5</t>
  </si>
  <si>
    <t>Ptot</t>
  </si>
  <si>
    <t>Ptot.V</t>
  </si>
  <si>
    <t>Média</t>
  </si>
  <si>
    <t>Incerteza</t>
  </si>
  <si>
    <t>Numero de fatores</t>
  </si>
  <si>
    <t>MMQ</t>
  </si>
  <si>
    <t xml:space="preserve"> </t>
  </si>
  <si>
    <t>Incerteza Ptot</t>
  </si>
  <si>
    <t>Incerteza Ptot.V</t>
  </si>
  <si>
    <t>&lt;o²&gt;</t>
  </si>
  <si>
    <t xml:space="preserve">&lt;x&gt; </t>
  </si>
  <si>
    <t>&lt;x²&gt;</t>
  </si>
  <si>
    <t>&lt;y&gt;</t>
  </si>
  <si>
    <t>&lt;xy&gt;</t>
  </si>
  <si>
    <t>Soma Ptot.V</t>
  </si>
  <si>
    <t>Incerteza da soma</t>
  </si>
  <si>
    <t>Media Ptot.V</t>
  </si>
  <si>
    <t>Incerteza da Media da reta Ptot.V</t>
  </si>
  <si>
    <t>temp em °C</t>
  </si>
  <si>
    <t>tempo em °K</t>
  </si>
  <si>
    <t>incerteza R</t>
  </si>
  <si>
    <t xml:space="preserve">ambiente </t>
  </si>
  <si>
    <t>inc</t>
  </si>
  <si>
    <t>massa calorimetro</t>
  </si>
  <si>
    <t xml:space="preserve">massa peça </t>
  </si>
  <si>
    <t>Tabela 1</t>
  </si>
  <si>
    <t>m1</t>
  </si>
  <si>
    <t>Ta</t>
  </si>
  <si>
    <t>Tq</t>
  </si>
  <si>
    <t>Tf</t>
  </si>
  <si>
    <t>m2</t>
  </si>
  <si>
    <t>inc m</t>
  </si>
  <si>
    <t>inc T</t>
  </si>
  <si>
    <t>Tabela 2</t>
  </si>
  <si>
    <t>ma</t>
  </si>
  <si>
    <t>delta Ta</t>
  </si>
  <si>
    <t>mq</t>
  </si>
  <si>
    <t>delta Tq</t>
  </si>
  <si>
    <t>Ccal</t>
  </si>
  <si>
    <t>Tabela 3</t>
  </si>
  <si>
    <t>Tabela 4</t>
  </si>
  <si>
    <t>cM</t>
  </si>
  <si>
    <t>Media</t>
  </si>
  <si>
    <t>Ccal med</t>
  </si>
  <si>
    <t>cM med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</si>
</sst>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00000"/>
    <numFmt numFmtId="165" formatCode="0.0000"/>
    <numFmt numFmtId="166" formatCode="#,##0.0000"/>
    <numFmt numFmtId="167" formatCode="0.00000"/>
    <numFmt numFmtId="168" formatCode="0.000"/>
  </numFmts>
  <fonts count="8">
    <font>
      <sz val="10.0"/>
      <color rgb="FF000000"/>
      <name val="Arial"/>
      <scheme val="minor"/>
    </font>
    <font>
      <sz val="14.0"/>
      <color theme="1"/>
      <name val="Arial"/>
      <scheme val="minor"/>
    </font>
    <font/>
    <font>
      <color theme="1"/>
      <name val="Arial"/>
      <scheme val="minor"/>
    </font>
    <font>
      <sz val="9.0"/>
      <color theme="1"/>
      <name val="Arial"/>
      <scheme val="minor"/>
    </font>
    <font>
      <b/>
      <color theme="1"/>
      <name val="Arial"/>
      <scheme val="minor"/>
    </font>
    <font>
      <sz val="8.0"/>
      <color theme="1"/>
      <name val="Arial"/>
      <scheme val="minor"/>
    </font>
    <font>
      <sz val="13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</fills>
  <borders count="22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readingOrder="0"/>
    </xf>
    <xf borderId="4" fillId="0" fontId="3" numFmtId="164" xfId="0" applyBorder="1" applyFont="1" applyNumberFormat="1"/>
    <xf borderId="4" fillId="0" fontId="3" numFmtId="11" xfId="0" applyBorder="1" applyFont="1" applyNumberFormat="1"/>
    <xf borderId="5" fillId="0" fontId="3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 readingOrder="0"/>
    </xf>
    <xf borderId="4" fillId="0" fontId="3" numFmtId="0" xfId="0" applyBorder="1" applyFont="1"/>
    <xf borderId="6" fillId="0" fontId="3" numFmtId="0" xfId="0" applyAlignment="1" applyBorder="1" applyFont="1">
      <alignment readingOrder="0"/>
    </xf>
    <xf borderId="6" fillId="0" fontId="3" numFmtId="165" xfId="0" applyBorder="1" applyFont="1" applyNumberFormat="1"/>
    <xf borderId="7" fillId="0" fontId="3" numFmtId="0" xfId="0" applyAlignment="1" applyBorder="1" applyFont="1">
      <alignment readingOrder="0"/>
    </xf>
    <xf borderId="8" fillId="0" fontId="3" numFmtId="165" xfId="0" applyBorder="1" applyFont="1" applyNumberFormat="1"/>
    <xf borderId="9" fillId="0" fontId="3" numFmtId="0" xfId="0" applyAlignment="1" applyBorder="1" applyFont="1">
      <alignment readingOrder="0"/>
    </xf>
    <xf borderId="10" fillId="0" fontId="3" numFmtId="165" xfId="0" applyBorder="1" applyFont="1" applyNumberFormat="1"/>
    <xf borderId="4" fillId="0" fontId="5" numFmtId="0" xfId="0" applyAlignment="1" applyBorder="1" applyFont="1">
      <alignment horizontal="center" readingOrder="0"/>
    </xf>
    <xf borderId="11" fillId="0" fontId="3" numFmtId="0" xfId="0" applyAlignment="1" applyBorder="1" applyFont="1">
      <alignment readingOrder="0"/>
    </xf>
    <xf borderId="12" fillId="0" fontId="3" numFmtId="165" xfId="0" applyBorder="1" applyFont="1" applyNumberFormat="1"/>
    <xf borderId="0" fillId="0" fontId="3" numFmtId="165" xfId="0" applyAlignment="1" applyFont="1" applyNumberFormat="1">
      <alignment readingOrder="0"/>
    </xf>
    <xf borderId="4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 readingOrder="0"/>
    </xf>
    <xf borderId="13" fillId="0" fontId="3" numFmtId="0" xfId="0" applyAlignment="1" applyBorder="1" applyFont="1">
      <alignment readingOrder="0"/>
    </xf>
    <xf borderId="14" fillId="0" fontId="3" numFmtId="165" xfId="0" applyBorder="1" applyFont="1" applyNumberFormat="1"/>
    <xf borderId="15" fillId="0" fontId="3" numFmtId="0" xfId="0" applyAlignment="1" applyBorder="1" applyFont="1">
      <alignment readingOrder="0"/>
    </xf>
    <xf borderId="15" fillId="0" fontId="3" numFmtId="165" xfId="0" applyBorder="1" applyFont="1" applyNumberFormat="1"/>
    <xf borderId="16" fillId="0" fontId="3" numFmtId="0" xfId="0" applyAlignment="1" applyBorder="1" applyFont="1">
      <alignment readingOrder="0"/>
    </xf>
    <xf borderId="17" fillId="0" fontId="3" numFmtId="165" xfId="0" applyBorder="1" applyFont="1" applyNumberFormat="1"/>
    <xf borderId="1" fillId="0" fontId="3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7" fillId="0" fontId="3" numFmtId="165" xfId="0" applyBorder="1" applyFont="1" applyNumberFormat="1"/>
    <xf borderId="6" fillId="0" fontId="3" numFmtId="0" xfId="0" applyBorder="1" applyFont="1"/>
    <xf borderId="4" fillId="0" fontId="3" numFmtId="166" xfId="0" applyBorder="1" applyFont="1" applyNumberFormat="1"/>
    <xf borderId="5" fillId="0" fontId="6" numFmtId="0" xfId="0" applyAlignment="1" applyBorder="1" applyFont="1">
      <alignment horizontal="center" readingOrder="0"/>
    </xf>
    <xf borderId="15" fillId="0" fontId="3" numFmtId="1" xfId="0" applyAlignment="1" applyBorder="1" applyFont="1" applyNumberFormat="1">
      <alignment horizontal="center" readingOrder="0"/>
    </xf>
    <xf borderId="0" fillId="2" fontId="3" numFmtId="165" xfId="0" applyFill="1" applyFont="1" applyNumberFormat="1"/>
    <xf borderId="5" fillId="0" fontId="7" numFmtId="0" xfId="0" applyAlignment="1" applyBorder="1" applyFont="1">
      <alignment horizontal="center" readingOrder="0"/>
    </xf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4" fillId="0" fontId="3" numFmtId="165" xfId="0" applyBorder="1" applyFont="1" applyNumberFormat="1"/>
    <xf borderId="2" fillId="0" fontId="3" numFmtId="0" xfId="0" applyBorder="1" applyFont="1"/>
    <xf borderId="2" fillId="0" fontId="3" numFmtId="0" xfId="0" applyAlignment="1" applyBorder="1" applyFont="1">
      <alignment readingOrder="0"/>
    </xf>
    <xf borderId="2" fillId="0" fontId="3" numFmtId="165" xfId="0" applyBorder="1" applyFont="1" applyNumberFormat="1"/>
    <xf borderId="3" fillId="0" fontId="3" numFmtId="0" xfId="0" applyBorder="1" applyFont="1"/>
    <xf borderId="16" fillId="0" fontId="3" numFmtId="0" xfId="0" applyBorder="1" applyFont="1"/>
    <xf borderId="1" fillId="0" fontId="4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/>
    </xf>
    <xf borderId="15" fillId="0" fontId="3" numFmtId="167" xfId="0" applyAlignment="1" applyBorder="1" applyFont="1" applyNumberFormat="1">
      <alignment horizontal="center"/>
    </xf>
    <xf borderId="16" fillId="0" fontId="3" numFmtId="0" xfId="0" applyAlignment="1" applyBorder="1" applyFont="1">
      <alignment horizontal="center"/>
    </xf>
    <xf borderId="17" fillId="0" fontId="2" numFmtId="0" xfId="0" applyBorder="1" applyFont="1"/>
    <xf borderId="4" fillId="0" fontId="3" numFmtId="4" xfId="0" applyBorder="1" applyFont="1" applyNumberFormat="1"/>
    <xf borderId="4" fillId="3" fontId="5" numFmtId="0" xfId="0" applyAlignment="1" applyBorder="1" applyFill="1" applyFont="1">
      <alignment horizontal="center" readingOrder="0"/>
    </xf>
    <xf borderId="4" fillId="4" fontId="5" numFmtId="0" xfId="0" applyAlignment="1" applyBorder="1" applyFill="1" applyFont="1">
      <alignment readingOrder="0"/>
    </xf>
    <xf borderId="4" fillId="3" fontId="5" numFmtId="0" xfId="0" applyAlignment="1" applyBorder="1" applyFont="1">
      <alignment horizontal="right" readingOrder="0"/>
    </xf>
    <xf borderId="4" fillId="0" fontId="3" numFmtId="168" xfId="0" applyAlignment="1" applyBorder="1" applyFont="1" applyNumberFormat="1">
      <alignment readingOrder="0"/>
    </xf>
    <xf borderId="4" fillId="0" fontId="3" numFmtId="168" xfId="0" applyBorder="1" applyFont="1" applyNumberFormat="1"/>
    <xf borderId="4" fillId="0" fontId="3" numFmtId="2" xfId="0" applyBorder="1" applyFont="1" applyNumberFormat="1"/>
    <xf borderId="0" fillId="0" fontId="3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right" readingOrder="0"/>
    </xf>
    <xf borderId="0" fillId="0" fontId="3" numFmtId="168" xfId="0" applyAlignment="1" applyFont="1" applyNumberFormat="1">
      <alignment readingOrder="0"/>
    </xf>
    <xf borderId="0" fillId="0" fontId="3" numFmtId="168" xfId="0" applyFont="1" applyNumberFormat="1"/>
    <xf borderId="0" fillId="0" fontId="3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Pressão versus Inverso de V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'Página1'!$E$6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'Página1'!$F$7:$F$15</c:f>
            </c:numRef>
          </c:xVal>
          <c:yVal>
            <c:numRef>
              <c:f>'Página1'!$E$7:$E$15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874285"/>
        <c:axId val="576907945"/>
      </c:scatterChart>
      <c:valAx>
        <c:axId val="3578742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Inverso de V (ml⁻¹)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6907945"/>
      </c:valAx>
      <c:valAx>
        <c:axId val="5769079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Pressão (kgf/cm²)</a:t>
                </a:r>
              </a:p>
            </c:rich>
          </c:tx>
          <c:layout>
            <c:manualLayout>
              <c:xMode val="edge"/>
              <c:yMode val="edge"/>
              <c:x val="0.03258333333333333"/>
              <c:y val="0.137241689128481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7874285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123825</xdr:colOff>
      <xdr:row>1</xdr:row>
      <xdr:rowOff>133350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123825</xdr:colOff>
      <xdr:row>39</xdr:row>
      <xdr:rowOff>57150</xdr:rowOff>
    </xdr:from>
    <xdr:ext cx="5810250" cy="37147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0" max="20" width="14.75"/>
  </cols>
  <sheetData>
    <row r="4">
      <c r="V4" s="1" t="s">
        <v>0</v>
      </c>
      <c r="W4" s="2"/>
      <c r="X4" s="3"/>
    </row>
    <row r="5">
      <c r="V5" s="4" t="s">
        <v>1</v>
      </c>
      <c r="W5" s="5">
        <f>(W11*V11)/(U11*T11)</f>
        <v>0.001007967329</v>
      </c>
      <c r="X5" s="6">
        <v>0.0010079673290817992</v>
      </c>
    </row>
    <row r="6">
      <c r="A6" s="7" t="s">
        <v>2</v>
      </c>
      <c r="B6" s="7" t="s">
        <v>3</v>
      </c>
      <c r="C6" s="8" t="s">
        <v>4</v>
      </c>
      <c r="D6" s="8" t="s">
        <v>5</v>
      </c>
      <c r="E6" s="7" t="s">
        <v>6</v>
      </c>
      <c r="F6" s="8" t="s">
        <v>7</v>
      </c>
      <c r="G6" s="7" t="s">
        <v>8</v>
      </c>
      <c r="V6" s="4" t="s">
        <v>9</v>
      </c>
      <c r="W6" s="6"/>
      <c r="X6" s="9"/>
    </row>
    <row r="7">
      <c r="A7" s="10">
        <v>26.0</v>
      </c>
      <c r="B7" s="11">
        <f t="shared" ref="B7:B15" si="1">(1/A7)*(0.5/A7)</f>
        <v>0.0007396449704</v>
      </c>
      <c r="C7" s="10">
        <v>0.01</v>
      </c>
      <c r="D7" s="10">
        <v>0.5</v>
      </c>
      <c r="E7" s="12">
        <v>0.03</v>
      </c>
      <c r="F7" s="10" t="s">
        <v>10</v>
      </c>
      <c r="G7" s="13">
        <f t="shared" ref="G7:G15" si="2">1/A7</f>
        <v>0.03846153846</v>
      </c>
      <c r="P7" s="1" t="s">
        <v>11</v>
      </c>
      <c r="Q7" s="3"/>
    </row>
    <row r="8">
      <c r="A8" s="10">
        <v>24.7</v>
      </c>
      <c r="B8" s="11">
        <f t="shared" si="1"/>
        <v>0.0008195512138</v>
      </c>
      <c r="C8" s="10">
        <v>0.01</v>
      </c>
      <c r="D8" s="10">
        <v>0.5</v>
      </c>
      <c r="E8" s="12">
        <v>0.07</v>
      </c>
      <c r="F8" s="10" t="s">
        <v>12</v>
      </c>
      <c r="G8" s="13">
        <f t="shared" si="2"/>
        <v>0.04048582996</v>
      </c>
    </row>
    <row r="9">
      <c r="A9" s="10">
        <v>23.5</v>
      </c>
      <c r="B9" s="11">
        <f t="shared" si="1"/>
        <v>0.000905387053</v>
      </c>
      <c r="C9" s="10">
        <v>0.01</v>
      </c>
      <c r="D9" s="10">
        <v>0.5</v>
      </c>
      <c r="E9" s="12">
        <v>0.12</v>
      </c>
      <c r="F9" s="10" t="s">
        <v>13</v>
      </c>
      <c r="G9" s="13">
        <f t="shared" si="2"/>
        <v>0.04255319149</v>
      </c>
    </row>
    <row r="10">
      <c r="A10" s="10">
        <v>22.5</v>
      </c>
      <c r="B10" s="11">
        <f t="shared" si="1"/>
        <v>0.000987654321</v>
      </c>
      <c r="C10" s="10">
        <v>0.01</v>
      </c>
      <c r="D10" s="10">
        <v>0.5</v>
      </c>
      <c r="E10" s="12">
        <v>0.17</v>
      </c>
      <c r="F10" s="10" t="s">
        <v>14</v>
      </c>
      <c r="G10" s="13">
        <f t="shared" si="2"/>
        <v>0.04444444444</v>
      </c>
      <c r="P10" s="14" t="s">
        <v>15</v>
      </c>
      <c r="Q10" s="15">
        <f>((E35*K35)-N35)/(E35^2 - H35)</f>
        <v>25.4691107</v>
      </c>
      <c r="T10" s="16" t="s">
        <v>16</v>
      </c>
      <c r="U10" s="16" t="s">
        <v>17</v>
      </c>
      <c r="V10" s="16" t="s">
        <v>18</v>
      </c>
      <c r="W10" s="16" t="s">
        <v>19</v>
      </c>
    </row>
    <row r="11">
      <c r="A11" s="10">
        <v>21.5</v>
      </c>
      <c r="B11" s="11">
        <f t="shared" si="1"/>
        <v>0.001081665765</v>
      </c>
      <c r="C11" s="10">
        <v>0.01</v>
      </c>
      <c r="D11" s="10">
        <v>0.5</v>
      </c>
      <c r="E11" s="12">
        <v>0.22</v>
      </c>
      <c r="F11" s="10" t="s">
        <v>20</v>
      </c>
      <c r="G11" s="13">
        <f t="shared" si="2"/>
        <v>0.04651162791</v>
      </c>
      <c r="P11" s="17" t="s">
        <v>21</v>
      </c>
      <c r="Q11" s="18">
        <f>K35 - Q10*E35</f>
        <v>-0.9599272549</v>
      </c>
      <c r="R11" s="19">
        <v>0.959927254938835</v>
      </c>
      <c r="T11" s="20">
        <f>26+273.15</f>
        <v>299.15</v>
      </c>
      <c r="U11" s="21">
        <v>8.371</v>
      </c>
      <c r="V11" s="20">
        <f>CONVERT(A7,"ml","m^3")</f>
        <v>0.000026</v>
      </c>
      <c r="W11" s="20">
        <f>Q17*98070</f>
        <v>97082.16589</v>
      </c>
    </row>
    <row r="12">
      <c r="A12" s="10">
        <v>20.5</v>
      </c>
      <c r="B12" s="11">
        <f t="shared" si="1"/>
        <v>0.001189767995</v>
      </c>
      <c r="C12" s="10">
        <v>0.01</v>
      </c>
      <c r="D12" s="10">
        <v>0.5</v>
      </c>
      <c r="E12" s="12">
        <v>0.27</v>
      </c>
      <c r="F12" s="10" t="s">
        <v>22</v>
      </c>
      <c r="G12" s="13">
        <f t="shared" si="2"/>
        <v>0.0487804878</v>
      </c>
      <c r="P12" s="17" t="s">
        <v>23</v>
      </c>
      <c r="Q12" s="18">
        <f>SQRT((1/B35)/(H35 - E35^2))</f>
        <v>0.6678373496</v>
      </c>
    </row>
    <row r="13">
      <c r="A13" s="10">
        <v>19.8</v>
      </c>
      <c r="B13" s="11">
        <f t="shared" si="1"/>
        <v>0.001275380063</v>
      </c>
      <c r="C13" s="10">
        <v>0.01</v>
      </c>
      <c r="D13" s="10">
        <v>0.5</v>
      </c>
      <c r="E13" s="12">
        <v>0.32</v>
      </c>
      <c r="F13" s="10" t="s">
        <v>24</v>
      </c>
      <c r="G13" s="13">
        <f t="shared" si="2"/>
        <v>0.05050505051</v>
      </c>
      <c r="P13" s="22" t="s">
        <v>25</v>
      </c>
      <c r="Q13" s="23">
        <f>SQRT((H35/B35)/(H35-E35^2))</f>
        <v>0.03114743093</v>
      </c>
    </row>
    <row r="14">
      <c r="A14" s="10">
        <v>19.4</v>
      </c>
      <c r="B14" s="11">
        <f t="shared" si="1"/>
        <v>0.001328515251</v>
      </c>
      <c r="C14" s="10">
        <v>0.01</v>
      </c>
      <c r="D14" s="10">
        <v>0.5</v>
      </c>
      <c r="E14" s="12">
        <v>0.37</v>
      </c>
      <c r="F14" s="10" t="s">
        <v>26</v>
      </c>
      <c r="G14" s="13">
        <f t="shared" si="2"/>
        <v>0.05154639175</v>
      </c>
    </row>
    <row r="15">
      <c r="A15" s="24">
        <v>18.5</v>
      </c>
      <c r="B15" s="25">
        <f t="shared" si="1"/>
        <v>0.00146092038</v>
      </c>
      <c r="C15" s="24">
        <v>0.01</v>
      </c>
      <c r="D15" s="24">
        <v>0.5</v>
      </c>
      <c r="E15" s="26">
        <v>0.42</v>
      </c>
      <c r="F15" s="24" t="s">
        <v>27</v>
      </c>
      <c r="G15" s="27">
        <f t="shared" si="2"/>
        <v>0.05405405405</v>
      </c>
    </row>
    <row r="16">
      <c r="Q16" s="28" t="s">
        <v>28</v>
      </c>
      <c r="R16" s="29" t="s">
        <v>29</v>
      </c>
      <c r="T16" s="4" t="s">
        <v>30</v>
      </c>
      <c r="U16" s="4" t="s">
        <v>31</v>
      </c>
    </row>
    <row r="17">
      <c r="E17" s="30" t="s">
        <v>28</v>
      </c>
      <c r="Q17" s="31">
        <f t="shared" ref="Q17:Q25" si="3">E7+$R$11</f>
        <v>0.9899272549</v>
      </c>
      <c r="R17" s="32">
        <f t="shared" ref="R17:R25" si="4">Q17*A7</f>
        <v>25.73810863</v>
      </c>
      <c r="T17" s="33">
        <f>AVERAGE(R17:R25)</f>
        <v>25.47030143</v>
      </c>
      <c r="U17" s="33">
        <f>SQRT(SUM((R17-T17)^2, (R18-T17)^2, (R19-T17)^2, (R20-T17)^2, (R21-T17)^2, (R22-T17)^2, (R23-T17)^2, (R24-T17)^2, (R25-T17)^2)/(T21-1))</f>
        <v>0.1898975995</v>
      </c>
    </row>
    <row r="18">
      <c r="Q18" s="31">
        <f t="shared" si="3"/>
        <v>1.029927255</v>
      </c>
      <c r="R18" s="11">
        <f t="shared" si="4"/>
        <v>25.4392032</v>
      </c>
    </row>
    <row r="19">
      <c r="Q19" s="31">
        <f t="shared" si="3"/>
        <v>1.079927255</v>
      </c>
      <c r="R19" s="11">
        <f t="shared" si="4"/>
        <v>25.37829049</v>
      </c>
      <c r="U19" s="30"/>
    </row>
    <row r="20">
      <c r="Q20" s="31">
        <f t="shared" si="3"/>
        <v>1.129927255</v>
      </c>
      <c r="R20" s="11">
        <f t="shared" si="4"/>
        <v>25.42336324</v>
      </c>
      <c r="T20" s="34" t="s">
        <v>32</v>
      </c>
      <c r="U20" s="33"/>
    </row>
    <row r="21">
      <c r="Q21" s="31">
        <f t="shared" si="3"/>
        <v>1.179927255</v>
      </c>
      <c r="R21" s="11">
        <f t="shared" si="4"/>
        <v>25.36843598</v>
      </c>
      <c r="T21" s="35">
        <f>COUNT(R17:R25)</f>
        <v>9</v>
      </c>
      <c r="U21" s="36"/>
    </row>
    <row r="22">
      <c r="Q22" s="31">
        <f t="shared" si="3"/>
        <v>1.229927255</v>
      </c>
      <c r="R22" s="11">
        <f t="shared" si="4"/>
        <v>25.21350873</v>
      </c>
    </row>
    <row r="23">
      <c r="H23" s="37" t="s">
        <v>33</v>
      </c>
      <c r="Q23" s="31">
        <f t="shared" si="3"/>
        <v>1.279927255</v>
      </c>
      <c r="R23" s="11">
        <f t="shared" si="4"/>
        <v>25.34255965</v>
      </c>
    </row>
    <row r="24">
      <c r="Q24" s="31">
        <f t="shared" si="3"/>
        <v>1.329927255</v>
      </c>
      <c r="R24" s="11">
        <f t="shared" si="4"/>
        <v>25.80058875</v>
      </c>
      <c r="T24" s="30" t="s">
        <v>34</v>
      </c>
    </row>
    <row r="25">
      <c r="A25" s="38"/>
      <c r="B25" s="39"/>
      <c r="C25" s="40"/>
      <c r="D25" s="40"/>
      <c r="E25" s="39"/>
      <c r="F25" s="40"/>
      <c r="G25" s="40"/>
      <c r="H25" s="39"/>
      <c r="I25" s="40"/>
      <c r="J25" s="40"/>
      <c r="K25" s="39"/>
      <c r="L25" s="40"/>
      <c r="M25" s="40"/>
      <c r="N25" s="39"/>
      <c r="O25" s="41"/>
      <c r="Q25" s="31">
        <f t="shared" si="3"/>
        <v>1.379927255</v>
      </c>
      <c r="R25" s="25">
        <f t="shared" si="4"/>
        <v>25.52865422</v>
      </c>
    </row>
    <row r="26">
      <c r="A26" s="42"/>
      <c r="B26" s="32">
        <f>1/C7^2</f>
        <v>10000</v>
      </c>
      <c r="E26" s="11">
        <f t="shared" ref="E26:E34" si="5">G7/(0.01)^2</f>
        <v>384.6153846</v>
      </c>
      <c r="H26" s="32">
        <f t="shared" ref="H26:H34" si="6">(G7)^2/(0.01)^2</f>
        <v>14.79289941</v>
      </c>
      <c r="K26" s="32">
        <f t="shared" ref="K26:K34" si="7">E7/(0.01)^2</f>
        <v>300</v>
      </c>
      <c r="N26" s="32">
        <f t="shared" ref="N26:N34" si="8">(G7*E7)/(0.01)^2</f>
        <v>11.53846154</v>
      </c>
      <c r="O26" s="43"/>
    </row>
    <row r="27">
      <c r="A27" s="42"/>
      <c r="B27" s="32">
        <f>1/C7^2</f>
        <v>10000</v>
      </c>
      <c r="E27" s="11">
        <f t="shared" si="5"/>
        <v>404.8582996</v>
      </c>
      <c r="H27" s="32">
        <f t="shared" si="6"/>
        <v>16.39102428</v>
      </c>
      <c r="K27" s="32">
        <f t="shared" si="7"/>
        <v>700</v>
      </c>
      <c r="N27" s="32">
        <f t="shared" si="8"/>
        <v>28.34008097</v>
      </c>
      <c r="O27" s="43"/>
    </row>
    <row r="28">
      <c r="A28" s="42"/>
      <c r="B28" s="32">
        <f>1/C7^2</f>
        <v>10000</v>
      </c>
      <c r="E28" s="11">
        <f t="shared" si="5"/>
        <v>425.5319149</v>
      </c>
      <c r="H28" s="32">
        <f t="shared" si="6"/>
        <v>18.10774106</v>
      </c>
      <c r="K28" s="32">
        <f t="shared" si="7"/>
        <v>1200</v>
      </c>
      <c r="N28" s="32">
        <f t="shared" si="8"/>
        <v>51.06382979</v>
      </c>
      <c r="O28" s="43"/>
      <c r="Q28" s="29" t="s">
        <v>35</v>
      </c>
      <c r="R28" s="29" t="s">
        <v>36</v>
      </c>
    </row>
    <row r="29">
      <c r="A29" s="42"/>
      <c r="B29" s="32">
        <f>1/C7^2</f>
        <v>10000</v>
      </c>
      <c r="E29" s="11">
        <f t="shared" si="5"/>
        <v>444.4444444</v>
      </c>
      <c r="H29" s="32">
        <f t="shared" si="6"/>
        <v>19.75308642</v>
      </c>
      <c r="K29" s="32">
        <f t="shared" si="7"/>
        <v>1700</v>
      </c>
      <c r="N29" s="32">
        <f t="shared" si="8"/>
        <v>75.55555556</v>
      </c>
      <c r="O29" s="43"/>
      <c r="Q29" s="42">
        <f t="shared" ref="Q29:Q37" si="9">SQRT(0.0311^2)+(0.01^2)</f>
        <v>0.0312</v>
      </c>
      <c r="R29" s="11">
        <f t="shared" ref="R29:R37" si="10">R17*(SQRT((Q29/Q17)^2 + (D7/A7)^2))</f>
        <v>0.9502812386</v>
      </c>
    </row>
    <row r="30">
      <c r="A30" s="42"/>
      <c r="B30" s="32">
        <f>1/C7^2</f>
        <v>10000</v>
      </c>
      <c r="E30" s="11">
        <f t="shared" si="5"/>
        <v>465.1162791</v>
      </c>
      <c r="H30" s="32">
        <f t="shared" si="6"/>
        <v>21.63331531</v>
      </c>
      <c r="K30" s="32">
        <f t="shared" si="7"/>
        <v>2200</v>
      </c>
      <c r="N30" s="32">
        <f t="shared" si="8"/>
        <v>102.3255814</v>
      </c>
      <c r="O30" s="43"/>
      <c r="Q30" s="42">
        <f t="shared" si="9"/>
        <v>0.0312</v>
      </c>
      <c r="R30" s="11">
        <f t="shared" si="10"/>
        <v>0.9268622051</v>
      </c>
    </row>
    <row r="31">
      <c r="A31" s="42"/>
      <c r="B31" s="32">
        <f>1/C7^2</f>
        <v>10000</v>
      </c>
      <c r="E31" s="11">
        <f t="shared" si="5"/>
        <v>487.804878</v>
      </c>
      <c r="H31" s="32">
        <f t="shared" si="6"/>
        <v>23.7953599</v>
      </c>
      <c r="K31" s="32">
        <f t="shared" si="7"/>
        <v>2700</v>
      </c>
      <c r="N31" s="32">
        <f t="shared" si="8"/>
        <v>131.7073171</v>
      </c>
      <c r="O31" s="43"/>
      <c r="Q31" s="42">
        <f t="shared" si="9"/>
        <v>0.0312</v>
      </c>
      <c r="R31" s="11">
        <f t="shared" si="10"/>
        <v>0.9105728741</v>
      </c>
    </row>
    <row r="32">
      <c r="A32" s="42"/>
      <c r="B32" s="32">
        <f>1/C7^2</f>
        <v>10000</v>
      </c>
      <c r="E32" s="11">
        <f t="shared" si="5"/>
        <v>505.0505051</v>
      </c>
      <c r="H32" s="32">
        <f t="shared" si="6"/>
        <v>25.50760127</v>
      </c>
      <c r="K32" s="32">
        <f t="shared" si="7"/>
        <v>3200</v>
      </c>
      <c r="N32" s="32">
        <f t="shared" si="8"/>
        <v>161.6161616</v>
      </c>
      <c r="O32" s="43"/>
      <c r="Q32" s="42">
        <f t="shared" si="9"/>
        <v>0.0312</v>
      </c>
      <c r="R32" s="11">
        <f t="shared" si="10"/>
        <v>0.9011037123</v>
      </c>
    </row>
    <row r="33">
      <c r="A33" s="42"/>
      <c r="B33" s="32">
        <f>1/C7^2</f>
        <v>10000</v>
      </c>
      <c r="E33" s="11">
        <f t="shared" si="5"/>
        <v>515.4639175</v>
      </c>
      <c r="F33" s="44">
        <f>SUM(E26:E34)</f>
        <v>4173.426164</v>
      </c>
      <c r="H33" s="32">
        <f t="shared" si="6"/>
        <v>26.57030503</v>
      </c>
      <c r="I33" s="9">
        <f>SUM(H26:H34)</f>
        <v>195.7697403</v>
      </c>
      <c r="K33" s="32">
        <f t="shared" si="7"/>
        <v>3700</v>
      </c>
      <c r="L33" s="9">
        <f>SUM(K26:K34)</f>
        <v>19900</v>
      </c>
      <c r="N33" s="32">
        <f t="shared" si="8"/>
        <v>190.7216495</v>
      </c>
      <c r="O33" s="9">
        <f>SUM(N26:N34)</f>
        <v>979.8956644</v>
      </c>
      <c r="Q33" s="42">
        <f t="shared" si="9"/>
        <v>0.0312</v>
      </c>
      <c r="R33" s="11">
        <f t="shared" si="10"/>
        <v>0.893325093</v>
      </c>
    </row>
    <row r="34">
      <c r="A34" s="42"/>
      <c r="B34" s="32">
        <f>1/C7^2</f>
        <v>10000</v>
      </c>
      <c r="E34" s="11">
        <f t="shared" si="5"/>
        <v>540.5405405</v>
      </c>
      <c r="H34" s="32">
        <f t="shared" si="6"/>
        <v>29.2184076</v>
      </c>
      <c r="K34" s="32">
        <f t="shared" si="7"/>
        <v>4200</v>
      </c>
      <c r="N34" s="32">
        <f t="shared" si="8"/>
        <v>227.027027</v>
      </c>
      <c r="O34" s="43"/>
      <c r="Q34" s="42">
        <f t="shared" si="9"/>
        <v>0.0312</v>
      </c>
      <c r="R34" s="11">
        <f t="shared" si="10"/>
        <v>0.8872814791</v>
      </c>
    </row>
    <row r="35">
      <c r="A35" s="28" t="s">
        <v>37</v>
      </c>
      <c r="B35" s="45">
        <f>SUM(B26:B34)</f>
        <v>90000</v>
      </c>
      <c r="C35" s="45"/>
      <c r="D35" s="46" t="s">
        <v>38</v>
      </c>
      <c r="E35" s="47">
        <f>(1/B35)* F33</f>
        <v>0.04637140182</v>
      </c>
      <c r="F35" s="45"/>
      <c r="G35" s="46" t="s">
        <v>39</v>
      </c>
      <c r="H35" s="47">
        <f>(1/B35)*I33</f>
        <v>0.002175219336</v>
      </c>
      <c r="I35" s="45"/>
      <c r="J35" s="46" t="s">
        <v>40</v>
      </c>
      <c r="K35" s="47">
        <f>(1/B35)*L33</f>
        <v>0.2211111111</v>
      </c>
      <c r="L35" s="45"/>
      <c r="M35" s="46" t="s">
        <v>41</v>
      </c>
      <c r="N35" s="47">
        <f>(1/B35)*O33</f>
        <v>0.0108877296</v>
      </c>
      <c r="O35" s="48"/>
      <c r="Q35" s="42">
        <f t="shared" si="9"/>
        <v>0.0312</v>
      </c>
      <c r="R35" s="11">
        <f t="shared" si="10"/>
        <v>0.8894834805</v>
      </c>
    </row>
    <row r="36">
      <c r="Q36" s="42">
        <f t="shared" si="9"/>
        <v>0.0312</v>
      </c>
      <c r="R36" s="11">
        <f t="shared" si="10"/>
        <v>0.8991888035</v>
      </c>
    </row>
    <row r="37">
      <c r="Q37" s="49">
        <f t="shared" si="9"/>
        <v>0.0312</v>
      </c>
      <c r="R37" s="25">
        <f t="shared" si="10"/>
        <v>0.899560808</v>
      </c>
    </row>
    <row r="38">
      <c r="T38" s="7" t="s">
        <v>42</v>
      </c>
      <c r="U38" s="34" t="s">
        <v>43</v>
      </c>
      <c r="V38" s="7" t="s">
        <v>44</v>
      </c>
      <c r="W38" s="50" t="s">
        <v>45</v>
      </c>
      <c r="X38" s="3"/>
    </row>
    <row r="39">
      <c r="T39" s="51">
        <f>SUM(R17:R25)</f>
        <v>229.2327129</v>
      </c>
      <c r="U39" s="52">
        <f>SQRT((R29^2)+(R30^2)+(R31^2)+(R32^2)+(R33^2)+(R34^2)+(R35^2)+(R36^2)+(R37^2))</f>
        <v>2.719828671</v>
      </c>
      <c r="V39" s="51">
        <f>T39/T21</f>
        <v>25.47030143</v>
      </c>
      <c r="W39" s="53">
        <f>V39*(U39/T39)</f>
        <v>0.3022031856</v>
      </c>
      <c r="X39" s="54"/>
    </row>
  </sheetData>
  <mergeCells count="4">
    <mergeCell ref="V4:X4"/>
    <mergeCell ref="P7:Q7"/>
    <mergeCell ref="W38:X38"/>
    <mergeCell ref="W39:X39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9"/>
      <c r="B3" s="4" t="s">
        <v>46</v>
      </c>
      <c r="C3" s="4" t="s">
        <v>47</v>
      </c>
      <c r="D3" s="9"/>
      <c r="E3" s="9"/>
      <c r="F3" s="4" t="s">
        <v>48</v>
      </c>
    </row>
    <row r="4">
      <c r="A4" s="4" t="s">
        <v>49</v>
      </c>
      <c r="B4" s="4">
        <v>25.0</v>
      </c>
      <c r="C4" s="9">
        <f t="shared" ref="C4:C14" si="1">B4+273</f>
        <v>298</v>
      </c>
      <c r="D4" s="9"/>
      <c r="E4" s="4">
        <v>9.87</v>
      </c>
      <c r="F4" s="55">
        <f t="shared" ref="F4:F14" si="2">0.008*E4 + 4 *0.01</f>
        <v>0.11896</v>
      </c>
    </row>
    <row r="5">
      <c r="A5" s="9"/>
      <c r="B5" s="4">
        <v>72.0</v>
      </c>
      <c r="C5" s="9">
        <f t="shared" si="1"/>
        <v>345</v>
      </c>
      <c r="D5" s="9"/>
      <c r="E5" s="4">
        <v>1.27</v>
      </c>
      <c r="F5" s="55">
        <f t="shared" si="2"/>
        <v>0.05016</v>
      </c>
    </row>
    <row r="6">
      <c r="A6" s="9"/>
      <c r="B6" s="4">
        <v>55.0</v>
      </c>
      <c r="C6" s="9">
        <f t="shared" si="1"/>
        <v>328</v>
      </c>
      <c r="D6" s="9"/>
      <c r="E6" s="4">
        <v>2.83</v>
      </c>
      <c r="F6" s="55">
        <f t="shared" si="2"/>
        <v>0.06264</v>
      </c>
    </row>
    <row r="7">
      <c r="A7" s="9"/>
      <c r="B7" s="4">
        <v>49.0</v>
      </c>
      <c r="C7" s="9">
        <f t="shared" si="1"/>
        <v>322</v>
      </c>
      <c r="D7" s="9"/>
      <c r="E7" s="4">
        <v>3.57</v>
      </c>
      <c r="F7" s="55">
        <f t="shared" si="2"/>
        <v>0.06856</v>
      </c>
    </row>
    <row r="8">
      <c r="A8" s="9"/>
      <c r="B8" s="4">
        <v>43.0</v>
      </c>
      <c r="C8" s="9">
        <f t="shared" si="1"/>
        <v>316</v>
      </c>
      <c r="D8" s="9"/>
      <c r="E8" s="4">
        <v>4.55</v>
      </c>
      <c r="F8" s="55">
        <f t="shared" si="2"/>
        <v>0.0764</v>
      </c>
    </row>
    <row r="9">
      <c r="A9" s="9"/>
      <c r="B9" s="4">
        <v>40.0</v>
      </c>
      <c r="C9" s="9">
        <f t="shared" si="1"/>
        <v>313</v>
      </c>
      <c r="D9" s="9"/>
      <c r="E9" s="4">
        <v>5.23</v>
      </c>
      <c r="F9" s="55">
        <f t="shared" si="2"/>
        <v>0.08184</v>
      </c>
    </row>
    <row r="10">
      <c r="A10" s="9"/>
      <c r="B10" s="4">
        <v>36.0</v>
      </c>
      <c r="C10" s="9">
        <f t="shared" si="1"/>
        <v>309</v>
      </c>
      <c r="D10" s="9"/>
      <c r="E10" s="4">
        <v>6.21</v>
      </c>
      <c r="F10" s="55">
        <f t="shared" si="2"/>
        <v>0.08968</v>
      </c>
    </row>
    <row r="11">
      <c r="A11" s="9"/>
      <c r="B11" s="4">
        <v>33.0</v>
      </c>
      <c r="C11" s="9">
        <f t="shared" si="1"/>
        <v>306</v>
      </c>
      <c r="D11" s="9"/>
      <c r="E11" s="4">
        <v>7.12</v>
      </c>
      <c r="F11" s="55">
        <f t="shared" si="2"/>
        <v>0.09696</v>
      </c>
    </row>
    <row r="12">
      <c r="A12" s="9"/>
      <c r="B12" s="4">
        <v>29.0</v>
      </c>
      <c r="C12" s="9">
        <f t="shared" si="1"/>
        <v>302</v>
      </c>
      <c r="D12" s="9"/>
      <c r="E12" s="4">
        <v>8.24</v>
      </c>
      <c r="F12" s="55">
        <f t="shared" si="2"/>
        <v>0.10592</v>
      </c>
    </row>
    <row r="13">
      <c r="A13" s="9"/>
      <c r="B13" s="4">
        <v>27.0</v>
      </c>
      <c r="C13" s="9">
        <f t="shared" si="1"/>
        <v>300</v>
      </c>
      <c r="D13" s="9"/>
      <c r="E13" s="4">
        <v>8.98</v>
      </c>
      <c r="F13" s="55">
        <f t="shared" si="2"/>
        <v>0.11184</v>
      </c>
    </row>
    <row r="14">
      <c r="A14" s="9"/>
      <c r="B14" s="4">
        <v>25.0</v>
      </c>
      <c r="C14" s="9">
        <f t="shared" si="1"/>
        <v>298</v>
      </c>
      <c r="D14" s="9"/>
      <c r="E14" s="4">
        <v>9.93</v>
      </c>
      <c r="F14" s="55">
        <f t="shared" si="2"/>
        <v>0.11944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</cols>
  <sheetData>
    <row r="1">
      <c r="C1" s="4" t="s">
        <v>50</v>
      </c>
    </row>
    <row r="2">
      <c r="A2" s="4" t="s">
        <v>51</v>
      </c>
      <c r="B2" s="4">
        <f>133.21/1000</f>
        <v>0.13321</v>
      </c>
      <c r="C2" s="4">
        <f t="shared" ref="C2:C3" si="1">0.01/1000</f>
        <v>0.00001</v>
      </c>
    </row>
    <row r="3">
      <c r="A3" s="4" t="s">
        <v>52</v>
      </c>
      <c r="B3" s="4">
        <f>200.3/1000</f>
        <v>0.2003</v>
      </c>
      <c r="C3" s="4">
        <f t="shared" si="1"/>
        <v>0.00001</v>
      </c>
    </row>
    <row r="6">
      <c r="A6" s="56" t="s">
        <v>53</v>
      </c>
      <c r="B6" s="57" t="s">
        <v>54</v>
      </c>
      <c r="C6" s="57" t="s">
        <v>55</v>
      </c>
      <c r="D6" s="57" t="s">
        <v>56</v>
      </c>
      <c r="E6" s="57" t="s">
        <v>57</v>
      </c>
      <c r="F6" s="57" t="s">
        <v>58</v>
      </c>
      <c r="G6" s="57" t="s">
        <v>59</v>
      </c>
      <c r="H6" s="57" t="s">
        <v>60</v>
      </c>
      <c r="I6" s="56" t="s">
        <v>61</v>
      </c>
      <c r="J6" s="57" t="s">
        <v>62</v>
      </c>
      <c r="K6" s="57" t="s">
        <v>63</v>
      </c>
      <c r="L6" s="57" t="s">
        <v>64</v>
      </c>
      <c r="M6" s="57" t="s">
        <v>65</v>
      </c>
      <c r="N6" s="57" t="s">
        <v>66</v>
      </c>
    </row>
    <row r="7">
      <c r="A7" s="58">
        <v>1.0</v>
      </c>
      <c r="B7" s="59">
        <f>217.77/1000</f>
        <v>0.21777</v>
      </c>
      <c r="C7" s="4">
        <v>25.0</v>
      </c>
      <c r="D7" s="4">
        <v>92.0</v>
      </c>
      <c r="E7" s="4">
        <v>55.0</v>
      </c>
      <c r="F7" s="59">
        <f>317/1000</f>
        <v>0.317</v>
      </c>
      <c r="G7" s="4">
        <f>0.01/1000</f>
        <v>0.00001</v>
      </c>
      <c r="H7" s="4">
        <v>0.5</v>
      </c>
      <c r="I7" s="58">
        <v>1.0</v>
      </c>
      <c r="J7" s="60">
        <f t="shared" ref="J7:J9" si="2">B7-$B$22</f>
        <v>0.08456</v>
      </c>
      <c r="K7" s="9">
        <f t="shared" ref="K7:K9" si="3">E7-C7</f>
        <v>30</v>
      </c>
      <c r="L7" s="60">
        <f t="shared" ref="L7:L9" si="4">F7-$B$22-J7</f>
        <v>0.09923</v>
      </c>
      <c r="M7" s="9">
        <f t="shared" ref="M7:M9" si="5">E7-D7</f>
        <v>-37</v>
      </c>
      <c r="N7" s="61">
        <f>(-4186*(J7*K7+L7*M7))/K7</f>
        <v>158.3298687</v>
      </c>
    </row>
    <row r="8">
      <c r="A8" s="58">
        <v>2.0</v>
      </c>
      <c r="B8" s="59">
        <f> 233.31/1000</f>
        <v>0.23331</v>
      </c>
      <c r="C8" s="4">
        <v>26.0</v>
      </c>
      <c r="D8" s="4">
        <v>92.0</v>
      </c>
      <c r="E8" s="4">
        <v>52.0</v>
      </c>
      <c r="F8" s="59">
        <f>317.56/1000</f>
        <v>0.31756</v>
      </c>
      <c r="G8" s="9"/>
      <c r="H8" s="9"/>
      <c r="I8" s="58">
        <v>2.0</v>
      </c>
      <c r="J8" s="60">
        <f t="shared" si="2"/>
        <v>0.1001</v>
      </c>
      <c r="K8" s="9">
        <f t="shared" si="3"/>
        <v>26</v>
      </c>
      <c r="L8" s="60">
        <f t="shared" si="4"/>
        <v>0.08425</v>
      </c>
      <c r="M8" s="9">
        <f t="shared" si="5"/>
        <v>-40</v>
      </c>
      <c r="N8" s="61">
        <f t="shared" ref="N8:N9" si="6">(-4186*(J8*K8 + L8*M8))/K8</f>
        <v>123.5514</v>
      </c>
    </row>
    <row r="9">
      <c r="A9" s="58">
        <v>3.0</v>
      </c>
      <c r="B9" s="59">
        <f>246.76/1000</f>
        <v>0.24676</v>
      </c>
      <c r="C9" s="4">
        <v>26.0</v>
      </c>
      <c r="D9" s="4">
        <v>94.0</v>
      </c>
      <c r="E9" s="4">
        <v>52.0</v>
      </c>
      <c r="F9" s="59">
        <f>342.45/1000</f>
        <v>0.34245</v>
      </c>
      <c r="G9" s="9"/>
      <c r="H9" s="9"/>
      <c r="I9" s="58">
        <v>3.0</v>
      </c>
      <c r="J9" s="60">
        <f t="shared" si="2"/>
        <v>0.11355</v>
      </c>
      <c r="K9" s="9">
        <f t="shared" si="3"/>
        <v>26</v>
      </c>
      <c r="L9" s="60">
        <f t="shared" si="4"/>
        <v>0.09569</v>
      </c>
      <c r="M9" s="9">
        <f t="shared" si="5"/>
        <v>-42</v>
      </c>
      <c r="N9" s="61">
        <f t="shared" si="6"/>
        <v>171.73548</v>
      </c>
    </row>
    <row r="10">
      <c r="A10" s="56" t="s">
        <v>67</v>
      </c>
      <c r="B10" s="57"/>
      <c r="C10" s="57"/>
      <c r="D10" s="57"/>
      <c r="E10" s="57"/>
      <c r="F10" s="57"/>
      <c r="G10" s="57"/>
      <c r="H10" s="57"/>
      <c r="I10" s="56" t="s">
        <v>68</v>
      </c>
      <c r="J10" s="57"/>
      <c r="K10" s="57"/>
      <c r="L10" s="57"/>
      <c r="M10" s="57"/>
      <c r="N10" s="57" t="s">
        <v>69</v>
      </c>
    </row>
    <row r="11">
      <c r="A11" s="58">
        <v>1.0</v>
      </c>
      <c r="B11" s="59">
        <f>249.02/1000</f>
        <v>0.24902</v>
      </c>
      <c r="C11" s="4">
        <v>25.0</v>
      </c>
      <c r="D11" s="4">
        <v>94.0</v>
      </c>
      <c r="E11" s="4">
        <v>33.0</v>
      </c>
      <c r="F11" s="9"/>
      <c r="G11" s="9"/>
      <c r="H11" s="9"/>
      <c r="I11" s="58">
        <v>1.0</v>
      </c>
      <c r="J11" s="60">
        <f t="shared" ref="J11:J13" si="7">B11-$B$22</f>
        <v>0.11581</v>
      </c>
      <c r="K11" s="9">
        <f t="shared" ref="K11:K13" si="8">E11-C11</f>
        <v>8</v>
      </c>
      <c r="L11" s="9"/>
      <c r="M11" s="9">
        <f t="shared" ref="M11:M13" si="9">E11-D11</f>
        <v>-61</v>
      </c>
      <c r="N11" s="60">
        <f>(-K11*(F18 + J11*4186))/($B$3*M11)</f>
        <v>416.415536</v>
      </c>
    </row>
    <row r="12">
      <c r="A12" s="58">
        <v>2.0</v>
      </c>
      <c r="B12" s="59">
        <f>217.92/1000</f>
        <v>0.21792</v>
      </c>
      <c r="C12" s="4">
        <v>25.0</v>
      </c>
      <c r="D12" s="4">
        <v>94.0</v>
      </c>
      <c r="E12" s="4">
        <v>35.0</v>
      </c>
      <c r="F12" s="9"/>
      <c r="G12" s="9"/>
      <c r="H12" s="9"/>
      <c r="I12" s="58">
        <v>2.0</v>
      </c>
      <c r="J12" s="60">
        <f t="shared" si="7"/>
        <v>0.08471</v>
      </c>
      <c r="K12" s="9">
        <f t="shared" si="8"/>
        <v>10</v>
      </c>
      <c r="L12" s="9"/>
      <c r="M12" s="9">
        <f t="shared" si="9"/>
        <v>-59</v>
      </c>
      <c r="N12" s="60">
        <f>(-K12*(F18+J12*4186))/($B$3*M12)</f>
        <v>428.0034549</v>
      </c>
    </row>
    <row r="13">
      <c r="A13" s="58">
        <v>3.0</v>
      </c>
      <c r="B13" s="59">
        <f>244/1000</f>
        <v>0.244</v>
      </c>
      <c r="C13" s="4">
        <v>25.0</v>
      </c>
      <c r="D13" s="4">
        <v>94.0</v>
      </c>
      <c r="E13" s="4">
        <v>34.0</v>
      </c>
      <c r="F13" s="9"/>
      <c r="G13" s="9"/>
      <c r="H13" s="9"/>
      <c r="I13" s="58">
        <v>3.0</v>
      </c>
      <c r="J13" s="60">
        <f t="shared" si="7"/>
        <v>0.11079</v>
      </c>
      <c r="K13" s="9">
        <f t="shared" si="8"/>
        <v>9</v>
      </c>
      <c r="L13" s="9"/>
      <c r="M13" s="9">
        <f t="shared" si="9"/>
        <v>-60</v>
      </c>
      <c r="N13" s="60">
        <f>(-K13*(F18 + J13*4186))/($B$3*M13)</f>
        <v>460.5385843</v>
      </c>
    </row>
    <row r="16">
      <c r="A16" s="62"/>
      <c r="B16" s="62"/>
      <c r="L16" s="30"/>
    </row>
    <row r="17">
      <c r="E17" s="4"/>
      <c r="F17" s="4" t="s">
        <v>70</v>
      </c>
      <c r="G17" s="4" t="s">
        <v>31</v>
      </c>
    </row>
    <row r="18">
      <c r="E18" s="4" t="s">
        <v>71</v>
      </c>
      <c r="F18" s="61">
        <f>AVERAGE(N7:N9)</f>
        <v>151.2055829</v>
      </c>
      <c r="G18" s="9">
        <f>STDEV(N7:N9)</f>
        <v>24.86951904</v>
      </c>
      <c r="J18" s="62"/>
    </row>
    <row r="19">
      <c r="E19" s="4" t="s">
        <v>72</v>
      </c>
      <c r="F19" s="59">
        <f>AVERAGE(N11:N13)</f>
        <v>434.9858584</v>
      </c>
      <c r="G19" s="9">
        <f>STDEV(N11:N13)</f>
        <v>22.87523371</v>
      </c>
    </row>
    <row r="22">
      <c r="B22" s="4">
        <f>133.21/1000</f>
        <v>0.13321</v>
      </c>
    </row>
    <row r="24">
      <c r="A24" s="63"/>
      <c r="B24" s="64"/>
      <c r="C24" s="64"/>
      <c r="D24" s="64"/>
      <c r="E24" s="64"/>
      <c r="F24" s="64"/>
      <c r="G24" s="64"/>
      <c r="H24" s="64"/>
      <c r="I24" s="63"/>
      <c r="J24" s="64"/>
      <c r="K24" s="64"/>
      <c r="L24" s="64"/>
      <c r="M24" s="64"/>
      <c r="N24" s="64"/>
    </row>
    <row r="25">
      <c r="A25" s="65"/>
      <c r="B25" s="66"/>
      <c r="F25" s="66"/>
      <c r="I25" s="65"/>
      <c r="J25" s="67"/>
      <c r="L25" s="67"/>
      <c r="N25" s="68"/>
    </row>
    <row r="26">
      <c r="A26" s="65"/>
      <c r="B26" s="66"/>
      <c r="F26" s="66"/>
      <c r="I26" s="65"/>
      <c r="J26" s="67"/>
      <c r="L26" s="67"/>
      <c r="N26" s="68"/>
    </row>
    <row r="27">
      <c r="A27" s="65"/>
      <c r="B27" s="66"/>
      <c r="F27" s="66"/>
      <c r="I27" s="65"/>
      <c r="J27" s="67"/>
      <c r="L27" s="67"/>
      <c r="N27" s="68"/>
    </row>
    <row r="28">
      <c r="A28" s="63"/>
      <c r="B28" s="64"/>
      <c r="C28" s="64"/>
      <c r="D28" s="64"/>
      <c r="E28" s="64"/>
      <c r="F28" s="64"/>
      <c r="G28" s="64"/>
      <c r="H28" s="64"/>
      <c r="I28" s="63"/>
      <c r="J28" s="64"/>
      <c r="K28" s="64"/>
      <c r="L28" s="64"/>
      <c r="M28" s="64"/>
      <c r="N28" s="64"/>
    </row>
    <row r="29">
      <c r="A29" s="65"/>
      <c r="B29" s="66"/>
      <c r="I29" s="65"/>
      <c r="J29" s="67"/>
      <c r="N29" s="67"/>
    </row>
    <row r="30">
      <c r="A30" s="65"/>
      <c r="B30" s="66"/>
      <c r="I30" s="65"/>
      <c r="J30" s="67"/>
      <c r="N30" s="67"/>
    </row>
    <row r="31">
      <c r="A31" s="65"/>
      <c r="B31" s="66"/>
      <c r="I31" s="65"/>
      <c r="J31" s="67"/>
      <c r="N31" s="67"/>
    </row>
    <row r="33">
      <c r="B33" s="4">
        <f>133.21</f>
        <v>133.21</v>
      </c>
    </row>
    <row r="34">
      <c r="B34" s="4">
        <f>200.3/1000</f>
        <v>0.2003</v>
      </c>
    </row>
    <row r="35">
      <c r="A35" s="56" t="s">
        <v>53</v>
      </c>
      <c r="B35" s="57" t="s">
        <v>54</v>
      </c>
      <c r="C35" s="57" t="s">
        <v>55</v>
      </c>
      <c r="D35" s="57" t="s">
        <v>56</v>
      </c>
      <c r="E35" s="57" t="s">
        <v>57</v>
      </c>
      <c r="F35" s="57" t="s">
        <v>58</v>
      </c>
      <c r="G35" s="57" t="s">
        <v>59</v>
      </c>
      <c r="H35" s="57" t="s">
        <v>60</v>
      </c>
      <c r="I35" s="56" t="s">
        <v>61</v>
      </c>
      <c r="J35" s="57" t="s">
        <v>62</v>
      </c>
      <c r="K35" s="57" t="s">
        <v>63</v>
      </c>
      <c r="L35" s="57" t="s">
        <v>64</v>
      </c>
      <c r="M35" s="57" t="s">
        <v>65</v>
      </c>
      <c r="N35" s="57" t="s">
        <v>66</v>
      </c>
    </row>
    <row r="36">
      <c r="A36" s="58">
        <v>1.0</v>
      </c>
      <c r="B36" s="59">
        <f>217.77</f>
        <v>217.77</v>
      </c>
      <c r="C36" s="4">
        <v>25.0</v>
      </c>
      <c r="D36" s="4">
        <v>92.0</v>
      </c>
      <c r="E36" s="4">
        <v>55.0</v>
      </c>
      <c r="F36" s="59">
        <f>317</f>
        <v>317</v>
      </c>
      <c r="G36" s="4">
        <f>0.01</f>
        <v>0.01</v>
      </c>
      <c r="H36" s="4">
        <v>0.5</v>
      </c>
      <c r="I36" s="58">
        <v>1.0</v>
      </c>
      <c r="J36" s="60">
        <f t="shared" ref="J36:J38" si="10">B36-$B$33</f>
        <v>84.56</v>
      </c>
      <c r="K36" s="9">
        <f t="shared" ref="K36:K38" si="11">E36-C36</f>
        <v>30</v>
      </c>
      <c r="L36" s="60">
        <f t="shared" ref="L36:L38" si="12">F36-$B$33-J36</f>
        <v>99.23</v>
      </c>
      <c r="M36" s="9">
        <f t="shared" ref="M36:M38" si="13">E36-D36</f>
        <v>-37</v>
      </c>
      <c r="N36" s="61">
        <f>(-4186*(J36*K36+L36*M36))/K36</f>
        <v>158329.8687</v>
      </c>
    </row>
    <row r="37">
      <c r="A37" s="58">
        <v>2.0</v>
      </c>
      <c r="B37" s="59">
        <f> 233.31</f>
        <v>233.31</v>
      </c>
      <c r="C37" s="4">
        <v>26.0</v>
      </c>
      <c r="D37" s="4">
        <v>92.0</v>
      </c>
      <c r="E37" s="4">
        <v>52.0</v>
      </c>
      <c r="F37" s="59">
        <f>317.56</f>
        <v>317.56</v>
      </c>
      <c r="G37" s="9"/>
      <c r="H37" s="9"/>
      <c r="I37" s="58">
        <v>2.0</v>
      </c>
      <c r="J37" s="60">
        <f t="shared" si="10"/>
        <v>100.1</v>
      </c>
      <c r="K37" s="9">
        <f t="shared" si="11"/>
        <v>26</v>
      </c>
      <c r="L37" s="60">
        <f t="shared" si="12"/>
        <v>84.25</v>
      </c>
      <c r="M37" s="9">
        <f t="shared" si="13"/>
        <v>-40</v>
      </c>
      <c r="N37" s="61">
        <f t="shared" ref="N37:N38" si="14">(-4186*(J37*K37 + L37*M37))/K37</f>
        <v>123551.4</v>
      </c>
    </row>
    <row r="38">
      <c r="A38" s="58">
        <v>3.0</v>
      </c>
      <c r="B38" s="59">
        <f>246.76</f>
        <v>246.76</v>
      </c>
      <c r="C38" s="4">
        <v>26.0</v>
      </c>
      <c r="D38" s="4">
        <v>94.0</v>
      </c>
      <c r="E38" s="4">
        <v>52.0</v>
      </c>
      <c r="F38" s="59">
        <f>342.45</f>
        <v>342.45</v>
      </c>
      <c r="G38" s="9"/>
      <c r="H38" s="9"/>
      <c r="I38" s="58">
        <v>3.0</v>
      </c>
      <c r="J38" s="60">
        <f t="shared" si="10"/>
        <v>113.55</v>
      </c>
      <c r="K38" s="9">
        <f t="shared" si="11"/>
        <v>26</v>
      </c>
      <c r="L38" s="60">
        <f t="shared" si="12"/>
        <v>95.69</v>
      </c>
      <c r="M38" s="9">
        <f t="shared" si="13"/>
        <v>-42</v>
      </c>
      <c r="N38" s="61">
        <f t="shared" si="14"/>
        <v>171735.48</v>
      </c>
    </row>
    <row r="39">
      <c r="A39" s="56" t="s">
        <v>67</v>
      </c>
      <c r="B39" s="57"/>
      <c r="C39" s="57"/>
      <c r="D39" s="57"/>
      <c r="E39" s="57"/>
      <c r="F39" s="57"/>
      <c r="G39" s="57"/>
      <c r="H39" s="57"/>
      <c r="I39" s="56" t="s">
        <v>68</v>
      </c>
      <c r="J39" s="57"/>
      <c r="K39" s="57"/>
      <c r="L39" s="57"/>
      <c r="M39" s="57"/>
      <c r="N39" s="57" t="s">
        <v>69</v>
      </c>
    </row>
    <row r="40">
      <c r="A40" s="58">
        <v>1.0</v>
      </c>
      <c r="B40" s="59">
        <f>249.02</f>
        <v>249.02</v>
      </c>
      <c r="C40" s="4">
        <v>25.0</v>
      </c>
      <c r="D40" s="4">
        <v>94.0</v>
      </c>
      <c r="E40" s="4">
        <v>33.0</v>
      </c>
      <c r="F40" s="9"/>
      <c r="G40" s="9"/>
      <c r="H40" s="9"/>
      <c r="I40" s="58">
        <v>1.0</v>
      </c>
      <c r="J40" s="60">
        <f t="shared" ref="J40:J42" si="15">B40-$B$33</f>
        <v>115.81</v>
      </c>
      <c r="K40" s="9">
        <f t="shared" ref="K40:K42" si="16">E40-C40</f>
        <v>8</v>
      </c>
      <c r="L40" s="9"/>
      <c r="M40" s="9">
        <f t="shared" ref="M40:M42" si="17">E40-D40</f>
        <v>-61</v>
      </c>
      <c r="N40" s="60">
        <f>(-K40*(N36+J40*4186))/($B$3*M40)</f>
        <v>421080.2018</v>
      </c>
    </row>
    <row r="41">
      <c r="A41" s="58">
        <v>2.0</v>
      </c>
      <c r="B41" s="59">
        <f>217.92</f>
        <v>217.92</v>
      </c>
      <c r="C41" s="4">
        <v>25.0</v>
      </c>
      <c r="D41" s="4">
        <v>94.0</v>
      </c>
      <c r="E41" s="4">
        <v>35.0</v>
      </c>
      <c r="F41" s="9"/>
      <c r="G41" s="9"/>
      <c r="H41" s="9"/>
      <c r="I41" s="58">
        <v>2.0</v>
      </c>
      <c r="J41" s="60">
        <f t="shared" si="15"/>
        <v>84.71</v>
      </c>
      <c r="K41" s="9">
        <f t="shared" si="16"/>
        <v>10</v>
      </c>
      <c r="L41" s="9"/>
      <c r="M41" s="9">
        <f t="shared" si="17"/>
        <v>-59</v>
      </c>
      <c r="N41" s="60">
        <f t="shared" ref="N41:N42" si="18">(-(N37*K41)-(J41*K41))/($B$3*M41)</f>
        <v>104619.4353</v>
      </c>
    </row>
    <row r="42">
      <c r="A42" s="58">
        <v>3.0</v>
      </c>
      <c r="B42" s="59">
        <f>244</f>
        <v>244</v>
      </c>
      <c r="C42" s="4">
        <v>25.0</v>
      </c>
      <c r="D42" s="4">
        <v>94.0</v>
      </c>
      <c r="E42" s="4">
        <v>34.0</v>
      </c>
      <c r="F42" s="9"/>
      <c r="G42" s="9"/>
      <c r="H42" s="9"/>
      <c r="I42" s="58">
        <v>3.0</v>
      </c>
      <c r="J42" s="60">
        <f t="shared" si="15"/>
        <v>110.79</v>
      </c>
      <c r="K42" s="9">
        <f t="shared" si="16"/>
        <v>9</v>
      </c>
      <c r="L42" s="9"/>
      <c r="M42" s="9">
        <f t="shared" si="17"/>
        <v>-60</v>
      </c>
      <c r="N42" s="60">
        <f t="shared" si="18"/>
        <v>128691.665</v>
      </c>
    </row>
  </sheetData>
  <mergeCells count="4">
    <mergeCell ref="A32:E32"/>
    <mergeCell ref="G32:K32"/>
    <mergeCell ref="J18:K18"/>
    <mergeCell ref="B23:C23"/>
  </mergeCells>
  <drawing r:id="rId1"/>
</worksheet>
</file>