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mc:AlternateContent xmlns:mc="http://schemas.openxmlformats.org/markup-compatibility/2006">
    <mc:Choice Requires="x15">
      <x15ac:absPath xmlns:x15ac="http://schemas.microsoft.com/office/spreadsheetml/2010/11/ac" url="C:\Users\esme1\Downloads\"/>
    </mc:Choice>
  </mc:AlternateContent>
  <xr:revisionPtr revIDLastSave="0" documentId="13_ncr:1_{6EF5627B-2915-4B88-AFF7-75692EC61132}" xr6:coauthVersionLast="47" xr6:coauthVersionMax="47" xr10:uidLastSave="{00000000-0000-0000-0000-000000000000}"/>
  <bookViews>
    <workbookView xWindow="-120" yWindow="-120" windowWidth="20730" windowHeight="11160" tabRatio="915" firstSheet="4" activeTab="12" xr2:uid="{00000000-000D-0000-FFFF-FFFF00000000}"/>
  </bookViews>
  <sheets>
    <sheet name="Inversiones" sheetId="2" r:id="rId1"/>
    <sheet name="TABLAS DE AMORTIZACIÓN" sheetId="20" r:id="rId2"/>
    <sheet name="MEMORIAS DE CALCULO" sheetId="3" r:id="rId3"/>
    <sheet name="PROYECCION DE COSTOS" sheetId="4" r:id="rId4"/>
    <sheet name="COSTOS TOTALES" sheetId="12" r:id="rId5"/>
    <sheet name="INGRESOS" sheetId="5" r:id="rId6"/>
    <sheet name="ESTADO DE RESULTADOS" sheetId="7" r:id="rId7"/>
    <sheet name="PUNTO DE EQUILIBRIO" sheetId="8" r:id="rId8"/>
    <sheet name="RENTABILIDAD" sheetId="9" r:id="rId9"/>
    <sheet name="DEPREC" sheetId="13" r:id="rId10"/>
    <sheet name="RECUP" sheetId="14" r:id="rId11"/>
    <sheet name="Flujo Mensual" sheetId="17" r:id="rId12"/>
    <sheet name="Flujo Anual" sheetId="18" r:id="rId13"/>
  </sheets>
  <definedNames>
    <definedName name="formulacion">Inversiones!$B$1:$J$27</definedName>
    <definedName name="ROTACION_AL_AÑO" localSheetId="4">'MEMORIAS DE CALCULO'!#REF!</definedName>
    <definedName name="ROTACION_AL_AÑO" localSheetId="3">'MEMORIAS DE CALCULO'!#REF!</definedName>
  </definedNames>
  <calcPr calcId="191029"/>
</workbook>
</file>

<file path=xl/calcChain.xml><?xml version="1.0" encoding="utf-8"?>
<calcChain xmlns="http://schemas.openxmlformats.org/spreadsheetml/2006/main">
  <c r="I5" i="2" l="1"/>
  <c r="I13" i="2"/>
  <c r="I10" i="2"/>
  <c r="D38" i="9" l="1"/>
  <c r="G6" i="3"/>
  <c r="D6" i="20"/>
  <c r="D7" i="20"/>
  <c r="D8" i="20"/>
  <c r="D9" i="20"/>
  <c r="D10" i="20"/>
  <c r="D11" i="20"/>
  <c r="D12" i="20"/>
  <c r="D13" i="20"/>
  <c r="D14" i="20"/>
  <c r="D15" i="20"/>
  <c r="D16" i="20"/>
  <c r="D17" i="20"/>
  <c r="D18" i="20"/>
  <c r="D19" i="20"/>
  <c r="D20" i="20"/>
  <c r="D21" i="20"/>
  <c r="D22" i="20"/>
  <c r="D23" i="20"/>
  <c r="D24" i="20"/>
  <c r="D25" i="20"/>
  <c r="D26" i="20"/>
  <c r="D27" i="20"/>
  <c r="D28" i="20"/>
  <c r="D5" i="20"/>
  <c r="E5" i="20" s="1"/>
  <c r="F5" i="20" s="1"/>
  <c r="C6" i="20" s="1"/>
  <c r="F19" i="3"/>
  <c r="E15" i="2"/>
  <c r="F14" i="2"/>
  <c r="H14" i="2" s="1"/>
  <c r="I14" i="2" s="1"/>
  <c r="E6" i="20" l="1"/>
  <c r="F6" i="20" s="1"/>
  <c r="C7" i="20" s="1"/>
  <c r="E7" i="20" s="1"/>
  <c r="F7" i="20" s="1"/>
  <c r="C8" i="20" s="1"/>
  <c r="E8" i="20" s="1"/>
  <c r="F8" i="20"/>
  <c r="C9" i="20" s="1"/>
  <c r="E9" i="20" l="1"/>
  <c r="F9" i="20" s="1"/>
  <c r="C10" i="20" s="1"/>
  <c r="E21" i="9"/>
  <c r="E24" i="9"/>
  <c r="E14" i="9"/>
  <c r="E13" i="9"/>
  <c r="E11" i="9"/>
  <c r="C7" i="5"/>
  <c r="E30" i="3"/>
  <c r="F29" i="3"/>
  <c r="F30" i="3"/>
  <c r="F31" i="3"/>
  <c r="F28" i="3"/>
  <c r="E31" i="3"/>
  <c r="E29" i="3"/>
  <c r="E28" i="3"/>
  <c r="G14" i="14"/>
  <c r="E32" i="3"/>
  <c r="F6" i="3"/>
  <c r="B10" i="12"/>
  <c r="B11" i="12"/>
  <c r="B11" i="4"/>
  <c r="D32" i="3"/>
  <c r="E10" i="20" l="1"/>
  <c r="F10" i="20" s="1"/>
  <c r="C11" i="20" s="1"/>
  <c r="G31" i="3"/>
  <c r="B7" i="12"/>
  <c r="B8" i="12"/>
  <c r="B9" i="12"/>
  <c r="B6" i="12"/>
  <c r="B8" i="4"/>
  <c r="B9" i="4"/>
  <c r="B10" i="4"/>
  <c r="B7" i="4"/>
  <c r="E10" i="2"/>
  <c r="F8" i="2"/>
  <c r="G8" i="2" s="1"/>
  <c r="I8" i="2" s="1"/>
  <c r="F32" i="3"/>
  <c r="G30" i="3"/>
  <c r="G28" i="3"/>
  <c r="G18" i="3"/>
  <c r="C10" i="4" s="1"/>
  <c r="E11" i="20" l="1"/>
  <c r="F11" i="20" s="1"/>
  <c r="C12" i="20" s="1"/>
  <c r="G29" i="3"/>
  <c r="G32" i="3" s="1"/>
  <c r="E15" i="3"/>
  <c r="E12" i="20" l="1"/>
  <c r="F12" i="20" s="1"/>
  <c r="C13" i="20" s="1"/>
  <c r="E13" i="20" l="1"/>
  <c r="F13" i="20" s="1"/>
  <c r="C14" i="20" s="1"/>
  <c r="E14" i="20" l="1"/>
  <c r="F14" i="20" s="1"/>
  <c r="C15" i="20" s="1"/>
  <c r="E15" i="20" l="1"/>
  <c r="F15" i="20" s="1"/>
  <c r="C16" i="20" s="1"/>
  <c r="E16" i="20" l="1"/>
  <c r="F16" i="20" s="1"/>
  <c r="C17" i="20" s="1"/>
  <c r="E17" i="20" l="1"/>
  <c r="F17" i="20" s="1"/>
  <c r="C18" i="20" s="1"/>
  <c r="E18" i="20" l="1"/>
  <c r="F18" i="20" s="1"/>
  <c r="C19" i="20" s="1"/>
  <c r="E19" i="20" l="1"/>
  <c r="F19" i="20" s="1"/>
  <c r="C20" i="20" s="1"/>
  <c r="E20" i="20" l="1"/>
  <c r="F20" i="20" s="1"/>
  <c r="C21" i="20" s="1"/>
  <c r="E21" i="20" l="1"/>
  <c r="F21" i="20" s="1"/>
  <c r="C22" i="20" s="1"/>
  <c r="E22" i="20" l="1"/>
  <c r="F22" i="20" s="1"/>
  <c r="C23" i="20" s="1"/>
  <c r="E23" i="20" l="1"/>
  <c r="F23" i="20" s="1"/>
  <c r="C24" i="20" s="1"/>
  <c r="E24" i="20" l="1"/>
  <c r="F24" i="20" s="1"/>
  <c r="C25" i="20" s="1"/>
  <c r="E25" i="20" l="1"/>
  <c r="F25" i="20" s="1"/>
  <c r="C26" i="20" s="1"/>
  <c r="E26" i="20" l="1"/>
  <c r="F26" i="20" s="1"/>
  <c r="C27" i="20" s="1"/>
  <c r="E27" i="20" l="1"/>
  <c r="F27" i="20" s="1"/>
  <c r="C28" i="20" s="1"/>
  <c r="E28" i="20" l="1"/>
  <c r="F28" i="20" s="1"/>
  <c r="G17" i="3" l="1"/>
  <c r="C9" i="4" s="1"/>
  <c r="D9" i="4" s="1"/>
  <c r="E9" i="4" s="1"/>
  <c r="F9" i="4" s="1"/>
  <c r="G9" i="4" s="1"/>
  <c r="H9" i="4" s="1"/>
  <c r="E22" i="9"/>
  <c r="B1" i="18"/>
  <c r="B1" i="17"/>
  <c r="B1" i="9"/>
  <c r="B2" i="7"/>
  <c r="H6" i="3"/>
  <c r="I6" i="3" s="1"/>
  <c r="B1" i="13"/>
  <c r="C8" i="12" l="1"/>
  <c r="G7" i="3"/>
  <c r="G16" i="2"/>
  <c r="I16" i="2" s="1"/>
  <c r="G16" i="3"/>
  <c r="C8" i="4" s="1"/>
  <c r="G19" i="3"/>
  <c r="C11" i="4" s="1"/>
  <c r="D11" i="4" s="1"/>
  <c r="G15" i="3"/>
  <c r="G22" i="3" s="1"/>
  <c r="F15" i="2" l="1"/>
  <c r="H15" i="2" s="1"/>
  <c r="I15" i="2" s="1"/>
  <c r="I17" i="2" s="1"/>
  <c r="E11" i="4"/>
  <c r="F11" i="4" s="1"/>
  <c r="G11" i="4" s="1"/>
  <c r="H11" i="4" s="1"/>
  <c r="D8" i="12"/>
  <c r="C10" i="12"/>
  <c r="C11" i="12"/>
  <c r="F22" i="2"/>
  <c r="H22" i="2" s="1"/>
  <c r="I22" i="2" s="1"/>
  <c r="C7" i="4"/>
  <c r="D7" i="4" s="1"/>
  <c r="H23" i="2"/>
  <c r="B7" i="13"/>
  <c r="B8" i="13"/>
  <c r="B9" i="13"/>
  <c r="B6" i="13"/>
  <c r="E26" i="9"/>
  <c r="E25" i="9"/>
  <c r="E23" i="9"/>
  <c r="D21" i="9"/>
  <c r="E20" i="2" l="1"/>
  <c r="F20" i="2"/>
  <c r="G20" i="2" s="1"/>
  <c r="I20" i="2" s="1"/>
  <c r="E7" i="4"/>
  <c r="F7" i="4" s="1"/>
  <c r="G7" i="4" s="1"/>
  <c r="H7" i="4" s="1"/>
  <c r="D10" i="12"/>
  <c r="D11" i="12"/>
  <c r="C6" i="12"/>
  <c r="G21" i="9"/>
  <c r="E10" i="12" l="1"/>
  <c r="E11" i="12"/>
  <c r="D6" i="12"/>
  <c r="H10" i="2"/>
  <c r="F7" i="3"/>
  <c r="H7" i="3"/>
  <c r="D7" i="5"/>
  <c r="B2" i="3"/>
  <c r="B2" i="4" s="1"/>
  <c r="B3" i="12" s="1"/>
  <c r="B1" i="5" s="1"/>
  <c r="B1" i="8" s="1"/>
  <c r="G10" i="12" l="1"/>
  <c r="F10" i="12"/>
  <c r="F11" i="12"/>
  <c r="G11" i="12"/>
  <c r="E6" i="12"/>
  <c r="F6" i="12"/>
  <c r="D8" i="4"/>
  <c r="E8" i="4" l="1"/>
  <c r="F8" i="4" s="1"/>
  <c r="G8" i="4" s="1"/>
  <c r="H8" i="4" s="1"/>
  <c r="C7" i="12"/>
  <c r="G6" i="12"/>
  <c r="D7" i="12" l="1"/>
  <c r="E7" i="5"/>
  <c r="F7" i="5" s="1"/>
  <c r="G7" i="5" s="1"/>
  <c r="F5" i="2"/>
  <c r="G5" i="2" s="1"/>
  <c r="B7" i="5"/>
  <c r="B6" i="5"/>
  <c r="F6" i="2"/>
  <c r="G6" i="2" s="1"/>
  <c r="F7" i="2"/>
  <c r="D9" i="13"/>
  <c r="F9" i="13" s="1"/>
  <c r="G9" i="13" s="1"/>
  <c r="H9" i="13" s="1"/>
  <c r="F13" i="2"/>
  <c r="H13" i="2" s="1"/>
  <c r="H17" i="2" s="1"/>
  <c r="I18" i="2"/>
  <c r="I7" i="3"/>
  <c r="D8" i="13" l="1"/>
  <c r="F8" i="13" s="1"/>
  <c r="G8" i="13" s="1"/>
  <c r="H8" i="13" s="1"/>
  <c r="G7" i="2"/>
  <c r="H7" i="5"/>
  <c r="I7" i="5" s="1"/>
  <c r="J7" i="5" s="1"/>
  <c r="E8" i="12"/>
  <c r="E7" i="12"/>
  <c r="H25" i="2"/>
  <c r="C8" i="18" s="1"/>
  <c r="F17" i="2"/>
  <c r="G17" i="2"/>
  <c r="I9" i="2"/>
  <c r="I7" i="2"/>
  <c r="D7" i="13"/>
  <c r="F7" i="13" s="1"/>
  <c r="G7" i="13" s="1"/>
  <c r="H7" i="13" s="1"/>
  <c r="D6" i="13"/>
  <c r="D13" i="13" s="1"/>
  <c r="F10" i="2"/>
  <c r="E9" i="9" s="1"/>
  <c r="E14" i="5"/>
  <c r="F9" i="3"/>
  <c r="C15" i="4" s="1"/>
  <c r="I6" i="2"/>
  <c r="I9" i="3"/>
  <c r="H9" i="3"/>
  <c r="F7" i="12" l="1"/>
  <c r="G7" i="12"/>
  <c r="G8" i="12"/>
  <c r="F8" i="12"/>
  <c r="C19" i="18"/>
  <c r="F9" i="9"/>
  <c r="F6" i="13"/>
  <c r="C18" i="18"/>
  <c r="G10" i="2"/>
  <c r="D14" i="13"/>
  <c r="F14" i="5"/>
  <c r="G6" i="13" l="1"/>
  <c r="F13" i="13"/>
  <c r="D7" i="17"/>
  <c r="C6" i="8"/>
  <c r="D11" i="18"/>
  <c r="D14" i="18" s="1"/>
  <c r="C7" i="7"/>
  <c r="F14" i="13"/>
  <c r="G14" i="5"/>
  <c r="D10" i="4"/>
  <c r="E10" i="4" l="1"/>
  <c r="F10" i="4" s="1"/>
  <c r="G10" i="4" s="1"/>
  <c r="H10" i="4" s="1"/>
  <c r="E21" i="2"/>
  <c r="F21" i="2"/>
  <c r="H6" i="13"/>
  <c r="H13" i="13" s="1"/>
  <c r="H14" i="13" s="1"/>
  <c r="H14" i="9" s="1"/>
  <c r="G13" i="13"/>
  <c r="G14" i="13" s="1"/>
  <c r="E11" i="18"/>
  <c r="E14" i="18" s="1"/>
  <c r="D7" i="7"/>
  <c r="C9" i="12"/>
  <c r="C12" i="12" s="1"/>
  <c r="C29" i="12" s="1"/>
  <c r="E7" i="17"/>
  <c r="F7" i="17" s="1"/>
  <c r="H12" i="18"/>
  <c r="C10" i="9"/>
  <c r="D6" i="8"/>
  <c r="C26" i="12"/>
  <c r="D15" i="4"/>
  <c r="H14" i="5"/>
  <c r="F11" i="18" s="1"/>
  <c r="F14" i="18" s="1"/>
  <c r="G21" i="2" l="1"/>
  <c r="F23" i="2"/>
  <c r="D9" i="12"/>
  <c r="D12" i="12" s="1"/>
  <c r="D29" i="12" s="1"/>
  <c r="C7" i="8"/>
  <c r="C10" i="17"/>
  <c r="C13" i="7"/>
  <c r="G7" i="17"/>
  <c r="E6" i="8"/>
  <c r="E7" i="7"/>
  <c r="C11" i="9"/>
  <c r="D22" i="9"/>
  <c r="G22" i="9" s="1"/>
  <c r="D26" i="12"/>
  <c r="E15" i="4"/>
  <c r="J14" i="5"/>
  <c r="H11" i="18" s="1"/>
  <c r="H14" i="18" s="1"/>
  <c r="I14" i="5"/>
  <c r="G11" i="18" s="1"/>
  <c r="G14" i="18" s="1"/>
  <c r="C30" i="12"/>
  <c r="C20" i="18" l="1"/>
  <c r="C27" i="18" s="1"/>
  <c r="G9" i="9"/>
  <c r="F25" i="2"/>
  <c r="I21" i="2"/>
  <c r="I23" i="2" s="1"/>
  <c r="I25" i="2" s="1"/>
  <c r="G23" i="2"/>
  <c r="G25" i="2" s="1"/>
  <c r="C7" i="18" s="1"/>
  <c r="C14" i="18" s="1"/>
  <c r="C29" i="18" s="1"/>
  <c r="D10" i="17"/>
  <c r="E10" i="17" s="1"/>
  <c r="F10" i="17" s="1"/>
  <c r="G10" i="17" s="1"/>
  <c r="H10" i="17" s="1"/>
  <c r="I10" i="17" s="1"/>
  <c r="J10" i="17" s="1"/>
  <c r="K10" i="17" s="1"/>
  <c r="L10" i="17" s="1"/>
  <c r="M10" i="17" s="1"/>
  <c r="N10" i="17" s="1"/>
  <c r="O10" i="17"/>
  <c r="E9" i="12"/>
  <c r="E12" i="12" s="1"/>
  <c r="E29" i="12" s="1"/>
  <c r="D7" i="8"/>
  <c r="D13" i="7"/>
  <c r="C9" i="7"/>
  <c r="D22" i="18" s="1"/>
  <c r="C9" i="17"/>
  <c r="H7" i="17"/>
  <c r="F6" i="8"/>
  <c r="F7" i="7"/>
  <c r="D23" i="9"/>
  <c r="G23" i="9" s="1"/>
  <c r="G6" i="8"/>
  <c r="G7" i="7"/>
  <c r="C12" i="9"/>
  <c r="C31" i="12"/>
  <c r="C8" i="8"/>
  <c r="C10" i="8" s="1"/>
  <c r="D30" i="12"/>
  <c r="D9" i="7" s="1"/>
  <c r="E26" i="12"/>
  <c r="F15" i="4"/>
  <c r="I14" i="9" l="1"/>
  <c r="J9" i="9"/>
  <c r="C21" i="9"/>
  <c r="F21" i="9" s="1"/>
  <c r="F9" i="12"/>
  <c r="F12" i="12" s="1"/>
  <c r="F29" i="12" s="1"/>
  <c r="G9" i="12"/>
  <c r="G12" i="12" s="1"/>
  <c r="G29" i="12" s="1"/>
  <c r="E7" i="8"/>
  <c r="E13" i="7"/>
  <c r="C12" i="8"/>
  <c r="C11" i="8"/>
  <c r="D11" i="7"/>
  <c r="D16" i="7" s="1"/>
  <c r="D20" i="7" s="1"/>
  <c r="E22" i="18"/>
  <c r="I7" i="17"/>
  <c r="C11" i="7"/>
  <c r="C12" i="17"/>
  <c r="D9" i="17"/>
  <c r="C9" i="8"/>
  <c r="C14" i="9"/>
  <c r="D24" i="9"/>
  <c r="G24" i="9" s="1"/>
  <c r="C13" i="9"/>
  <c r="H21" i="9"/>
  <c r="D31" i="12"/>
  <c r="D8" i="8"/>
  <c r="D9" i="8" s="1"/>
  <c r="F26" i="12"/>
  <c r="G15" i="4"/>
  <c r="E30" i="12"/>
  <c r="E9" i="7" s="1"/>
  <c r="C6" i="14" l="1"/>
  <c r="D26" i="9"/>
  <c r="D22" i="7"/>
  <c r="D23" i="7"/>
  <c r="C16" i="7"/>
  <c r="C20" i="7" s="1"/>
  <c r="G7" i="8"/>
  <c r="G13" i="7"/>
  <c r="F7" i="8"/>
  <c r="F13" i="7"/>
  <c r="E11" i="7"/>
  <c r="E16" i="7" s="1"/>
  <c r="E20" i="7" s="1"/>
  <c r="F22" i="18"/>
  <c r="D12" i="17"/>
  <c r="D15" i="17" s="1"/>
  <c r="E9" i="17"/>
  <c r="C15" i="17"/>
  <c r="C16" i="17" s="1"/>
  <c r="J7" i="17"/>
  <c r="K7" i="17" s="1"/>
  <c r="L7" i="17" s="1"/>
  <c r="M7" i="17" s="1"/>
  <c r="N7" i="17" s="1"/>
  <c r="O7" i="17" s="1"/>
  <c r="E25" i="18"/>
  <c r="D10" i="8"/>
  <c r="D25" i="9"/>
  <c r="C7" i="14"/>
  <c r="E31" i="12"/>
  <c r="E8" i="8"/>
  <c r="E9" i="8" s="1"/>
  <c r="G26" i="12"/>
  <c r="H15" i="4"/>
  <c r="F30" i="12"/>
  <c r="F9" i="7" s="1"/>
  <c r="D25" i="7" l="1"/>
  <c r="E24" i="18"/>
  <c r="E27" i="18" s="1"/>
  <c r="E29" i="18" s="1"/>
  <c r="E22" i="7"/>
  <c r="E23" i="7"/>
  <c r="C22" i="7"/>
  <c r="C23" i="7"/>
  <c r="D27" i="7"/>
  <c r="D11" i="9" s="1"/>
  <c r="D11" i="8"/>
  <c r="D12" i="8"/>
  <c r="F9" i="17"/>
  <c r="E12" i="17"/>
  <c r="F11" i="7"/>
  <c r="F16" i="7" s="1"/>
  <c r="F20" i="7" s="1"/>
  <c r="G22" i="18"/>
  <c r="C23" i="9"/>
  <c r="J11" i="9"/>
  <c r="D25" i="18"/>
  <c r="D16" i="17"/>
  <c r="F25" i="18"/>
  <c r="G25" i="9"/>
  <c r="D27" i="9"/>
  <c r="G26" i="9"/>
  <c r="E10" i="8"/>
  <c r="F31" i="12"/>
  <c r="F8" i="8"/>
  <c r="F9" i="8" s="1"/>
  <c r="G30" i="12"/>
  <c r="G9" i="7" s="1"/>
  <c r="H22" i="18" s="1"/>
  <c r="C25" i="7" l="1"/>
  <c r="D24" i="18"/>
  <c r="D27" i="18" s="1"/>
  <c r="D29" i="18" s="1"/>
  <c r="E25" i="7"/>
  <c r="F24" i="18"/>
  <c r="F27" i="18" s="1"/>
  <c r="F29" i="18" s="1"/>
  <c r="F22" i="7"/>
  <c r="F23" i="7"/>
  <c r="C27" i="7"/>
  <c r="D10" i="9" s="1"/>
  <c r="C22" i="9" s="1"/>
  <c r="E27" i="7"/>
  <c r="D12" i="9" s="1"/>
  <c r="F23" i="9"/>
  <c r="H23" i="9" s="1"/>
  <c r="E6" i="14" s="1"/>
  <c r="E11" i="8"/>
  <c r="E12" i="8"/>
  <c r="J10" i="9"/>
  <c r="E15" i="17"/>
  <c r="E16" i="17" s="1"/>
  <c r="C24" i="9"/>
  <c r="J12" i="9"/>
  <c r="G25" i="18"/>
  <c r="F12" i="17"/>
  <c r="F15" i="17" s="1"/>
  <c r="G9" i="17"/>
  <c r="G11" i="7"/>
  <c r="G16" i="7" s="1"/>
  <c r="G20" i="7" s="1"/>
  <c r="G27" i="9"/>
  <c r="G31" i="12"/>
  <c r="G8" i="8"/>
  <c r="G9" i="8" s="1"/>
  <c r="F10" i="8"/>
  <c r="F25" i="7" l="1"/>
  <c r="G24" i="18"/>
  <c r="G27" i="18" s="1"/>
  <c r="G29" i="18" s="1"/>
  <c r="G23" i="7"/>
  <c r="H24" i="18" s="1"/>
  <c r="F27" i="7"/>
  <c r="D13" i="9" s="1"/>
  <c r="F24" i="9"/>
  <c r="H24" i="9" s="1"/>
  <c r="F6" i="14" s="1"/>
  <c r="F11" i="8"/>
  <c r="F12" i="8"/>
  <c r="F16" i="17"/>
  <c r="G12" i="17"/>
  <c r="G15" i="17" s="1"/>
  <c r="H9" i="17"/>
  <c r="C25" i="9"/>
  <c r="J13" i="9"/>
  <c r="F22" i="9"/>
  <c r="G22" i="7"/>
  <c r="G10" i="8"/>
  <c r="H22" i="9" l="1"/>
  <c r="G27" i="7"/>
  <c r="G25" i="7"/>
  <c r="F25" i="9"/>
  <c r="H25" i="9" s="1"/>
  <c r="G6" i="14" s="1"/>
  <c r="G16" i="17"/>
  <c r="G11" i="8"/>
  <c r="G12" i="8"/>
  <c r="C27" i="9"/>
  <c r="H12" i="17"/>
  <c r="I9" i="17"/>
  <c r="D14" i="9"/>
  <c r="H25" i="18"/>
  <c r="H27" i="18" s="1"/>
  <c r="H29" i="18" s="1"/>
  <c r="D6" i="14" l="1"/>
  <c r="D7" i="14" s="1"/>
  <c r="E7" i="14" s="1"/>
  <c r="F7" i="14" s="1"/>
  <c r="G7" i="14" s="1"/>
  <c r="C26" i="9"/>
  <c r="E31" i="9" s="1"/>
  <c r="J14" i="9"/>
  <c r="F31" i="9"/>
  <c r="H15" i="17"/>
  <c r="H16" i="17" s="1"/>
  <c r="J9" i="17"/>
  <c r="I12" i="17"/>
  <c r="I15" i="17" s="1"/>
  <c r="I16" i="17" s="1"/>
  <c r="F26" i="9"/>
  <c r="J12" i="17" l="1"/>
  <c r="J15" i="17" s="1"/>
  <c r="J16" i="17" s="1"/>
  <c r="K9" i="17"/>
  <c r="F27" i="9"/>
  <c r="E32" i="9" s="1"/>
  <c r="F32" i="9" s="1"/>
  <c r="H26" i="9"/>
  <c r="G35" i="9" s="1"/>
  <c r="H6" i="14" l="1"/>
  <c r="H7" i="14" s="1"/>
  <c r="L9" i="17"/>
  <c r="K12" i="17"/>
  <c r="K15" i="17" s="1"/>
  <c r="K16" i="17" s="1"/>
  <c r="H27" i="9"/>
  <c r="E30" i="9" s="1"/>
  <c r="F30" i="9" l="1"/>
  <c r="M9" i="17"/>
  <c r="L12" i="17"/>
  <c r="L15" i="17" s="1"/>
  <c r="L16" i="17" s="1"/>
  <c r="N9" i="17" l="1"/>
  <c r="M12" i="17"/>
  <c r="M15" i="17" s="1"/>
  <c r="M16" i="17" s="1"/>
  <c r="N12" i="17" l="1"/>
  <c r="O9" i="17"/>
  <c r="N15" i="17" l="1"/>
  <c r="N16" i="17" s="1"/>
  <c r="O12" i="17"/>
  <c r="O15"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SAUL BAUTISTA</author>
    <author>Esme León Salas</author>
  </authors>
  <commentList>
    <comment ref="B3" authorId="0" shapeId="0" xr:uid="{00000000-0006-0000-0000-000001000000}">
      <text>
        <r>
          <rPr>
            <b/>
            <sz val="9"/>
            <color indexed="81"/>
            <rFont val="Tahoma"/>
            <family val="2"/>
          </rPr>
          <t>ENLISTARAN TODOS LOS ARTICULOS A ADQUIRIR CON EL RECURSO DEL PROGRAMA.</t>
        </r>
      </text>
    </comment>
    <comment ref="C3" authorId="0" shapeId="0" xr:uid="{00000000-0006-0000-0000-000002000000}">
      <text>
        <r>
          <rPr>
            <b/>
            <sz val="9"/>
            <color indexed="81"/>
            <rFont val="Tahoma"/>
            <family val="2"/>
          </rPr>
          <t>MEDIDA DE COMPRA DE LOS ARTICULOS</t>
        </r>
      </text>
    </comment>
    <comment ref="D3" authorId="0" shapeId="0" xr:uid="{00000000-0006-0000-0000-000003000000}">
      <text>
        <r>
          <rPr>
            <b/>
            <sz val="9"/>
            <color indexed="81"/>
            <rFont val="Tahoma"/>
            <family val="2"/>
          </rPr>
          <t>CANTIDAD DE ARTICULOS ADQUIRIR = A SOLICITADOS EN ANEXO A</t>
        </r>
      </text>
    </comment>
    <comment ref="E3" authorId="0" shapeId="0" xr:uid="{00000000-0006-0000-0000-000004000000}">
      <text>
        <r>
          <rPr>
            <b/>
            <sz val="9"/>
            <color indexed="81"/>
            <rFont val="Tahoma"/>
            <family val="2"/>
          </rPr>
          <t>COSTO DE COMPRA DE LOS ARTICULOS A ADQUIRIR</t>
        </r>
      </text>
    </comment>
    <comment ref="B4" authorId="0" shapeId="0" xr:uid="{00000000-0006-0000-0000-000005000000}">
      <text>
        <r>
          <rPr>
            <b/>
            <sz val="9"/>
            <color indexed="81"/>
            <rFont val="Tahoma"/>
            <family val="2"/>
          </rPr>
          <t>BIENES DURADEROS PARA EL FUNCIONAMIENTO DEL PROYECTO</t>
        </r>
      </text>
    </comment>
    <comment ref="B12" authorId="0" shapeId="0" xr:uid="{00000000-0006-0000-0000-000006000000}">
      <text>
        <r>
          <rPr>
            <b/>
            <sz val="9"/>
            <color indexed="81"/>
            <rFont val="Tahoma"/>
            <family val="2"/>
          </rPr>
          <t>SON GASTOS PAGADOS POR ANTICIPADO PERO NECESARIOS PARA LA APERTURA DEL PROYECTO</t>
        </r>
      </text>
    </comment>
    <comment ref="B14" authorId="1" shapeId="0" xr:uid="{51DBEFA1-4AA3-45F6-947E-32F1027B8163}">
      <text>
        <r>
          <rPr>
            <b/>
            <sz val="9"/>
            <color indexed="81"/>
            <rFont val="Tahoma"/>
            <family val="2"/>
          </rPr>
          <t>ABOGADO</t>
        </r>
      </text>
    </comment>
    <comment ref="B19" authorId="0" shapeId="0" xr:uid="{00000000-0006-0000-0000-000007000000}">
      <text>
        <r>
          <rPr>
            <b/>
            <sz val="9"/>
            <color indexed="81"/>
            <rFont val="Tahoma"/>
            <family val="2"/>
          </rPr>
          <t>INSUMOS DE PRONTA UTILIZACION INDISPENSABLES PARA LA OPERACIÓN DEL PROYECTO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usuario01</author>
  </authors>
  <commentList>
    <comment ref="B3" authorId="0" shapeId="0" xr:uid="{00000000-0006-0000-0600-000001000000}">
      <text>
        <r>
          <rPr>
            <b/>
            <sz val="8"/>
            <color indexed="81"/>
            <rFont val="Tahoma"/>
            <family val="2"/>
          </rPr>
          <t>CALCULAR EL PUNTO DE EQUILIBRIO EN PORCENTAJE DE VENTAS CON LA FORMULA ESTUDIADA.</t>
        </r>
      </text>
    </comment>
  </commentList>
</comments>
</file>

<file path=xl/sharedStrings.xml><?xml version="1.0" encoding="utf-8"?>
<sst xmlns="http://schemas.openxmlformats.org/spreadsheetml/2006/main" count="287" uniqueCount="217">
  <si>
    <t>CONCEPTOS</t>
  </si>
  <si>
    <t>UNIDAD</t>
  </si>
  <si>
    <t>CANTIDAD</t>
  </si>
  <si>
    <t>COSTO UNITARIO</t>
  </si>
  <si>
    <t>MONTOS</t>
  </si>
  <si>
    <t>TOTAL</t>
  </si>
  <si>
    <t>ACTIVO FIJO</t>
  </si>
  <si>
    <t>CAPITAL DE TRABAJO</t>
  </si>
  <si>
    <t>VENTAS</t>
  </si>
  <si>
    <t xml:space="preserve">CONCEPTO </t>
  </si>
  <si>
    <t>COSTOS DEL PROYECTO</t>
  </si>
  <si>
    <t>COSTOS</t>
  </si>
  <si>
    <t>AÑO</t>
  </si>
  <si>
    <t>PROYECCION DE INGRESOS</t>
  </si>
  <si>
    <t xml:space="preserve">VOLUMEN </t>
  </si>
  <si>
    <t xml:space="preserve">PRECIO </t>
  </si>
  <si>
    <t>UNITARIO</t>
  </si>
  <si>
    <t>COSTOS FIJOS</t>
  </si>
  <si>
    <t>AÑO 1</t>
  </si>
  <si>
    <t>AÑO 2</t>
  </si>
  <si>
    <t>AÑO 3</t>
  </si>
  <si>
    <t>AÑO 4</t>
  </si>
  <si>
    <t>AÑO 5</t>
  </si>
  <si>
    <t>COSTOS VARIABLES</t>
  </si>
  <si>
    <t xml:space="preserve">COSTOS FIJOS </t>
  </si>
  <si>
    <t>COSTOS TOTALES</t>
  </si>
  <si>
    <t>CONCEPTOS / AÑO</t>
  </si>
  <si>
    <t xml:space="preserve">PUNTO DE EQUILIBRIO $ </t>
  </si>
  <si>
    <t>PUNTO DE EQUILIBRIO %</t>
  </si>
  <si>
    <t xml:space="preserve">INTERPRETACION </t>
  </si>
  <si>
    <t>CONCEPTO</t>
  </si>
  <si>
    <t>PRESENTACION</t>
  </si>
  <si>
    <t>COSTO MENSUAL</t>
  </si>
  <si>
    <t>P.VENTA</t>
  </si>
  <si>
    <t>INGRESO MENSUAL</t>
  </si>
  <si>
    <t>INGRESO ANUAL</t>
  </si>
  <si>
    <t>Venta mensual</t>
  </si>
  <si>
    <t>MENSUAL</t>
  </si>
  <si>
    <t>VENTAS MENSUALES</t>
  </si>
  <si>
    <t>INVERSIONES</t>
  </si>
  <si>
    <t>SUBTOTAL</t>
  </si>
  <si>
    <t>ESTADO DE RESULTADOS PROYECTADO A 5 AÑOS DE VIDA DEL PROYECTO.</t>
  </si>
  <si>
    <t>CONCEPTO/PERIODO</t>
  </si>
  <si>
    <t xml:space="preserve">P r o y e c t a d o s </t>
  </si>
  <si>
    <t>Año 1</t>
  </si>
  <si>
    <t>Año 2</t>
  </si>
  <si>
    <t>Año 3</t>
  </si>
  <si>
    <t>Año 4</t>
  </si>
  <si>
    <t>Año 5</t>
  </si>
  <si>
    <t>INGRESOS POR VENTAS</t>
  </si>
  <si>
    <t>COSTOS DE PRODUCCION</t>
  </si>
  <si>
    <t>UTILIDAD  BRUTA</t>
  </si>
  <si>
    <t>GASTOS DE ADMINISTRACION Y VENTAS</t>
  </si>
  <si>
    <t>UTILIDAD DE OPERACIÓN</t>
  </si>
  <si>
    <t>REINTEGROS</t>
  </si>
  <si>
    <t xml:space="preserve">UTILIDADES ANTES DE IMPUESTOS </t>
  </si>
  <si>
    <t xml:space="preserve">P.T.U. (10%) </t>
  </si>
  <si>
    <t xml:space="preserve">UTILIDAD NETA </t>
  </si>
  <si>
    <t>Egresos Totales</t>
  </si>
  <si>
    <t>INDICADORES FINANCIEROS</t>
  </si>
  <si>
    <t>FLUJO NETO DE EFECTIVO</t>
  </si>
  <si>
    <t>Inversiones para el proyecto</t>
  </si>
  <si>
    <t>Valor de Rescate</t>
  </si>
  <si>
    <t>Flujo Neto de Efectivo</t>
  </si>
  <si>
    <t>Año de</t>
  </si>
  <si>
    <t>Ingresos</t>
  </si>
  <si>
    <t>Egresos</t>
  </si>
  <si>
    <t>Fija</t>
  </si>
  <si>
    <t>Diferida</t>
  </si>
  <si>
    <t>Cap de trab.</t>
  </si>
  <si>
    <t xml:space="preserve">Valor </t>
  </si>
  <si>
    <t>Recup. De</t>
  </si>
  <si>
    <t>operación</t>
  </si>
  <si>
    <t>totales*</t>
  </si>
  <si>
    <t>totales</t>
  </si>
  <si>
    <t>Residual</t>
  </si>
  <si>
    <t>cap. De Trab.</t>
  </si>
  <si>
    <t>CALCULO DEL VAN,  R B/C Y TIR CON UNA TASA DE DESCUENTO DEL 10%</t>
  </si>
  <si>
    <t>Año</t>
  </si>
  <si>
    <t>Costos</t>
  </si>
  <si>
    <t>Beneficios</t>
  </si>
  <si>
    <t>Factor de</t>
  </si>
  <si>
    <t>Flujo neto de</t>
  </si>
  <si>
    <t>de</t>
  </si>
  <si>
    <t>actualización</t>
  </si>
  <si>
    <t>actualizados</t>
  </si>
  <si>
    <t>efectivo act.</t>
  </si>
  <si>
    <t>($)</t>
  </si>
  <si>
    <t>Total</t>
  </si>
  <si>
    <t>Los indicadores financieros que arroja el proyecto son:</t>
  </si>
  <si>
    <t>VAN=</t>
  </si>
  <si>
    <t>TIR =</t>
  </si>
  <si>
    <t>B/C =</t>
  </si>
  <si>
    <t xml:space="preserve"> </t>
  </si>
  <si>
    <t xml:space="preserve">DEPRECIACIONES Y AMORTIZACIONES </t>
  </si>
  <si>
    <t>Concepto</t>
  </si>
  <si>
    <t>Unidad</t>
  </si>
  <si>
    <t>Costo Total</t>
  </si>
  <si>
    <t>Años de Vida Util</t>
  </si>
  <si>
    <t xml:space="preserve"> Depreciacion Anual</t>
  </si>
  <si>
    <t>Drepreciacion en 5 años</t>
  </si>
  <si>
    <t>Valor  Residual</t>
  </si>
  <si>
    <t>INVERSION FIJA (DEPRECIACION)</t>
  </si>
  <si>
    <t>Subtotal Depreciaciones</t>
  </si>
  <si>
    <t xml:space="preserve">TOTAL </t>
  </si>
  <si>
    <t>PERÍODO DE RECUPERACIÓN</t>
  </si>
  <si>
    <t>FLUJO ACT.</t>
  </si>
  <si>
    <t>SALDO</t>
  </si>
  <si>
    <t xml:space="preserve">El ultimo saldo negativo corresponde  </t>
  </si>
  <si>
    <t>al numero de años de recuperacion</t>
  </si>
  <si>
    <t>Periodo de recuperacion</t>
  </si>
  <si>
    <t>años</t>
  </si>
  <si>
    <t>Costos de administracion, ventas y otros</t>
  </si>
  <si>
    <t>U. de Medida</t>
  </si>
  <si>
    <t>Cantidad</t>
  </si>
  <si>
    <t>Costo Unitario</t>
  </si>
  <si>
    <t>Frecuencia</t>
  </si>
  <si>
    <t>Costo Mensual</t>
  </si>
  <si>
    <t xml:space="preserve">MESES PRIMER AÑO </t>
  </si>
  <si>
    <t xml:space="preserve">Ene </t>
  </si>
  <si>
    <t>Feb</t>
  </si>
  <si>
    <t>Mar</t>
  </si>
  <si>
    <t>Abr</t>
  </si>
  <si>
    <t>May</t>
  </si>
  <si>
    <t>Jun</t>
  </si>
  <si>
    <t>Jul</t>
  </si>
  <si>
    <t>Ago</t>
  </si>
  <si>
    <t>Sep</t>
  </si>
  <si>
    <t>Oct</t>
  </si>
  <si>
    <t>Nov</t>
  </si>
  <si>
    <t>Dic</t>
  </si>
  <si>
    <t xml:space="preserve">INGRESOS </t>
  </si>
  <si>
    <t>Por Ventas</t>
  </si>
  <si>
    <t>EGRESOS</t>
  </si>
  <si>
    <t>Costos Variables</t>
  </si>
  <si>
    <t>Costos Fijos</t>
  </si>
  <si>
    <t>Total Egresos</t>
  </si>
  <si>
    <t xml:space="preserve">Flujo de </t>
  </si>
  <si>
    <t>Efectivo</t>
  </si>
  <si>
    <t>Efectivo Acumulado</t>
  </si>
  <si>
    <t>Proyeccion de Flujo de Efectivo Anualizado</t>
  </si>
  <si>
    <t>Año 0</t>
  </si>
  <si>
    <t>Entradas</t>
  </si>
  <si>
    <t>Otros</t>
  </si>
  <si>
    <t>Ventas</t>
  </si>
  <si>
    <t>Otros Ingresos</t>
  </si>
  <si>
    <t>Total de Entradas</t>
  </si>
  <si>
    <t>Salidas</t>
  </si>
  <si>
    <t>Inversiones</t>
  </si>
  <si>
    <t>Capital de trabajo</t>
  </si>
  <si>
    <t>Costos de produccion, administracion y ventas</t>
  </si>
  <si>
    <t>ISR</t>
  </si>
  <si>
    <t>PTU</t>
  </si>
  <si>
    <t>Total de Salidas</t>
  </si>
  <si>
    <t>Flujo N. E.</t>
  </si>
  <si>
    <t>FINANCIAMIENTO</t>
  </si>
  <si>
    <t>1. Captura el nombre del proyecto en A1</t>
  </si>
  <si>
    <t>2. Escribe el detalle del activo fijo, activo diferido y del capital de trabajo  y define los valores de las columnas C a H</t>
  </si>
  <si>
    <t xml:space="preserve">1. Describe cada uno de los costos y gastos en los que la empresa incurre para lograr la venta del producto  o servicio </t>
  </si>
  <si>
    <t xml:space="preserve">2. En la columna C estima el costo mensual </t>
  </si>
  <si>
    <t>3. La columna D calcula el importe anual para el año 1</t>
  </si>
  <si>
    <t>4. En las columnas E, F, G y H se calcula el valor futuro de los costos (define el porcentaje de aumento que consideres se debe aplicar )</t>
  </si>
  <si>
    <t>PROYECCIÓN DE COSTOS</t>
  </si>
  <si>
    <t>PROYECCIÓN DE COSTOS TOTALES</t>
  </si>
  <si>
    <t>MEMORIAS DE CÁLCULO</t>
  </si>
  <si>
    <t>El punto de equilibrio indica el porcentaje de ventas que se debe tener para cubrir los costos totales, sin que se tenga ganancias, es lo minimo que se debe vender en porcentaje y en valor ($) para no tener perdidas</t>
  </si>
  <si>
    <t>CÁLCULO DEL PUNTO DE EQUILIBRIO</t>
  </si>
  <si>
    <t>PUNTO DE EQUILIBRIO UNIDADES</t>
  </si>
  <si>
    <t>EVALUACIÓN FINANCIERA</t>
  </si>
  <si>
    <t xml:space="preserve">CÁLCULO DE CAPITAL DE TRABAJO </t>
  </si>
  <si>
    <t>Financiamiento</t>
  </si>
  <si>
    <t>Inversionistas</t>
  </si>
  <si>
    <t>NEMIZA</t>
  </si>
  <si>
    <t>Escritorio</t>
  </si>
  <si>
    <t>Patentado de Software</t>
  </si>
  <si>
    <t>Computadora</t>
  </si>
  <si>
    <t>PZA</t>
  </si>
  <si>
    <t xml:space="preserve">Silla </t>
  </si>
  <si>
    <t>Servidores</t>
  </si>
  <si>
    <t>Software privado</t>
  </si>
  <si>
    <t>Renta</t>
  </si>
  <si>
    <t xml:space="preserve">Licencias mensual </t>
  </si>
  <si>
    <t>Luz</t>
  </si>
  <si>
    <t>Diseño</t>
  </si>
  <si>
    <t>Servicios</t>
  </si>
  <si>
    <t>Servicio</t>
  </si>
  <si>
    <t>Gastos de organización</t>
  </si>
  <si>
    <t xml:space="preserve">Internet y telefono </t>
  </si>
  <si>
    <t>Mano de obra</t>
  </si>
  <si>
    <t>TICS</t>
  </si>
  <si>
    <t xml:space="preserve">Desarrollo de Negocios </t>
  </si>
  <si>
    <t>Unidad de medidad</t>
  </si>
  <si>
    <t xml:space="preserve">Sueldo mensual </t>
  </si>
  <si>
    <t>Salario</t>
  </si>
  <si>
    <t>Costo total mensual</t>
  </si>
  <si>
    <t>Salarios</t>
  </si>
  <si>
    <t>unidad</t>
  </si>
  <si>
    <t>Aplicación</t>
  </si>
  <si>
    <t>COSTO DE LICENCIA</t>
  </si>
  <si>
    <t xml:space="preserve">ACTIVO NO CIRCULANTE </t>
  </si>
  <si>
    <t>Póliza de mantenimiento a servidores</t>
  </si>
  <si>
    <t>Contabilidad</t>
  </si>
  <si>
    <t>Sueldo Quincenal</t>
  </si>
  <si>
    <t>Nómina</t>
  </si>
  <si>
    <t>ISR 30%</t>
  </si>
  <si>
    <t>TREMA</t>
  </si>
  <si>
    <t>CETES</t>
  </si>
  <si>
    <t>TIE</t>
  </si>
  <si>
    <t>INPC</t>
  </si>
  <si>
    <t>VPN</t>
  </si>
  <si>
    <t>PATRIMONIO</t>
  </si>
  <si>
    <t>Póliza de mantenimiento</t>
  </si>
  <si>
    <t>Tasa de Interés</t>
  </si>
  <si>
    <t>Monto</t>
  </si>
  <si>
    <t>No.</t>
  </si>
  <si>
    <t>Mensualidad</t>
  </si>
  <si>
    <t xml:space="preserve">TABLA DE AMORTIZACIÓN A 24 MESES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</si>
</sst>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0.00;[Red]\-&quot;$&quot;#,##0.00"/>
    <numFmt numFmtId="41" formatCode="_-* #,##0_-;\-* #,##0_-;_-* &quot;-&quot;_-;_-@_-"/>
    <numFmt numFmtId="44" formatCode="_-&quot;$&quot;* #,##0.00_-;\-&quot;$&quot;* #,##0.00_-;_-&quot;$&quot;* &quot;-&quot;??_-;_-@_-"/>
    <numFmt numFmtId="43" formatCode="_-* #,##0.00_-;\-* #,##0.00_-;_-* &quot;-&quot;??_-;_-@_-"/>
    <numFmt numFmtId="164" formatCode="_-* #,##0.00\ &quot;€&quot;_-;\-* #,##0.00\ &quot;€&quot;_-;_-* &quot;-&quot;??\ &quot;€&quot;_-;_-@_-"/>
    <numFmt numFmtId="165" formatCode="#,##0_ ;\-#,##0\ "/>
    <numFmt numFmtId="166" formatCode="_-[$$-80A]* #,##0.00_-;\-[$$-80A]* #,##0.00_-;_-[$$-80A]* &quot;-&quot;??_-;_-@_-"/>
    <numFmt numFmtId="167" formatCode="#,##0.000"/>
    <numFmt numFmtId="168" formatCode="_-* #,##0.00\ _€_-;\-* #,##0.00\ _€_-;_-* &quot;-&quot;??\ _€_-;_-@_-"/>
    <numFmt numFmtId="169" formatCode="General_)"/>
    <numFmt numFmtId="170" formatCode="_-* #,##0.00\ _P_t_s_-;\-* #,##0.00\ _P_t_s_-;_-* &quot;-&quot;??\ _P_t_s_-;_-@_-"/>
    <numFmt numFmtId="171" formatCode="#,##0.00_ ;\-#,##0.00\ "/>
    <numFmt numFmtId="172" formatCode="0.0%"/>
    <numFmt numFmtId="173" formatCode="0.00000"/>
    <numFmt numFmtId="174" formatCode="_-* #,##0.00\ _p_t_a_-;\-* #,##0.00\ _p_t_a_-;_-* &quot;-&quot;\ _p_t_a_-;_-@_-"/>
  </numFmts>
  <fonts count="64" x14ac:knownFonts="1">
    <font>
      <sz val="11"/>
      <color theme="1"/>
      <name val="Calibri"/>
      <family val="2"/>
      <scheme val="minor"/>
    </font>
    <font>
      <b/>
      <sz val="9"/>
      <color indexed="81"/>
      <name val="Tahoma"/>
      <family val="2"/>
    </font>
    <font>
      <sz val="11"/>
      <color indexed="8"/>
      <name val="Calibri"/>
      <family val="2"/>
    </font>
    <font>
      <sz val="12"/>
      <color indexed="8"/>
      <name val="Calibri"/>
      <family val="2"/>
    </font>
    <font>
      <b/>
      <sz val="16"/>
      <color indexed="8"/>
      <name val="Calibri"/>
      <family val="2"/>
    </font>
    <font>
      <b/>
      <i/>
      <sz val="16"/>
      <color indexed="8"/>
      <name val="Calibri"/>
      <family val="2"/>
    </font>
    <font>
      <b/>
      <sz val="11"/>
      <name val="Calibri"/>
      <family val="2"/>
    </font>
    <font>
      <b/>
      <sz val="8"/>
      <color indexed="81"/>
      <name val="Tahoma"/>
      <family val="2"/>
    </font>
    <font>
      <sz val="11"/>
      <name val="Calibri"/>
      <family val="2"/>
    </font>
    <font>
      <sz val="11"/>
      <color theme="1"/>
      <name val="Calibri"/>
      <family val="2"/>
      <scheme val="minor"/>
    </font>
    <font>
      <sz val="11"/>
      <name val="Calibri"/>
      <family val="2"/>
      <scheme val="minor"/>
    </font>
    <font>
      <b/>
      <i/>
      <sz val="20"/>
      <name val="Calibri"/>
      <family val="2"/>
    </font>
    <font>
      <b/>
      <sz val="16"/>
      <name val="Calibri"/>
      <family val="2"/>
    </font>
    <font>
      <sz val="10"/>
      <name val="Courier"/>
      <family val="3"/>
    </font>
    <font>
      <sz val="10"/>
      <name val="Tahoma"/>
      <family val="2"/>
    </font>
    <font>
      <sz val="10"/>
      <name val="Arial"/>
      <family val="2"/>
    </font>
    <font>
      <b/>
      <sz val="10"/>
      <name val="Tahoma"/>
      <family val="2"/>
    </font>
    <font>
      <u/>
      <sz val="11"/>
      <color theme="1"/>
      <name val="Calibri"/>
      <family val="2"/>
      <scheme val="minor"/>
    </font>
    <font>
      <sz val="10"/>
      <color rgb="FF000000"/>
      <name val="Calibri"/>
      <family val="2"/>
      <scheme val="minor"/>
    </font>
    <font>
      <b/>
      <sz val="11"/>
      <name val="Calibri"/>
      <family val="2"/>
      <scheme val="minor"/>
    </font>
    <font>
      <b/>
      <sz val="11"/>
      <color theme="1"/>
      <name val="Calibri"/>
      <family val="2"/>
      <scheme val="minor"/>
    </font>
    <font>
      <b/>
      <sz val="12"/>
      <name val="Calibri"/>
      <family val="2"/>
    </font>
    <font>
      <b/>
      <sz val="10"/>
      <color theme="1"/>
      <name val="Arial Narrow"/>
      <family val="2"/>
    </font>
    <font>
      <sz val="10"/>
      <color theme="1"/>
      <name val="Arial"/>
      <family val="2"/>
    </font>
    <font>
      <b/>
      <sz val="12"/>
      <color theme="1"/>
      <name val="Arial Narrow"/>
      <family val="2"/>
    </font>
    <font>
      <sz val="10"/>
      <color theme="1"/>
      <name val="Arial Narrow"/>
      <family val="2"/>
    </font>
    <font>
      <b/>
      <sz val="10"/>
      <name val="Arial"/>
      <family val="2"/>
    </font>
    <font>
      <b/>
      <sz val="8"/>
      <name val="Arial"/>
      <family val="2"/>
    </font>
    <font>
      <sz val="7"/>
      <name val="Arial"/>
      <family val="2"/>
    </font>
    <font>
      <sz val="8"/>
      <name val="Arial"/>
      <family val="2"/>
    </font>
    <font>
      <b/>
      <i/>
      <sz val="10"/>
      <name val="Tahoma"/>
      <family val="2"/>
    </font>
    <font>
      <b/>
      <i/>
      <sz val="10"/>
      <name val="Arial"/>
      <family val="2"/>
    </font>
    <font>
      <i/>
      <sz val="10"/>
      <name val="Arial"/>
      <family val="2"/>
    </font>
    <font>
      <b/>
      <sz val="10"/>
      <name val="Courier"/>
      <family val="3"/>
    </font>
    <font>
      <b/>
      <sz val="16"/>
      <color theme="1"/>
      <name val="Calibri"/>
      <family val="2"/>
      <scheme val="minor"/>
    </font>
    <font>
      <sz val="10"/>
      <color indexed="9"/>
      <name val="Arial"/>
      <family val="2"/>
    </font>
    <font>
      <b/>
      <sz val="14"/>
      <name val="Times New Roman"/>
      <family val="1"/>
    </font>
    <font>
      <sz val="14"/>
      <name val="Times New Roman"/>
      <family val="1"/>
    </font>
    <font>
      <sz val="10"/>
      <name val="Times New Roman"/>
      <family val="1"/>
    </font>
    <font>
      <sz val="8"/>
      <name val="Times New Roman"/>
      <family val="1"/>
    </font>
    <font>
      <b/>
      <sz val="8"/>
      <name val="Times New Roman"/>
      <family val="1"/>
    </font>
    <font>
      <sz val="18"/>
      <color theme="1"/>
      <name val="Calibri"/>
      <family val="2"/>
      <scheme val="minor"/>
    </font>
    <font>
      <b/>
      <sz val="10"/>
      <color theme="1"/>
      <name val="Arial"/>
      <family val="2"/>
    </font>
    <font>
      <b/>
      <sz val="13"/>
      <name val="Arial"/>
      <family val="2"/>
    </font>
    <font>
      <sz val="20"/>
      <color theme="1"/>
      <name val="Calibri"/>
      <family val="2"/>
      <scheme val="minor"/>
    </font>
    <font>
      <b/>
      <sz val="11"/>
      <color theme="0"/>
      <name val="Calibri"/>
      <family val="2"/>
      <scheme val="minor"/>
    </font>
    <font>
      <sz val="11"/>
      <color theme="0"/>
      <name val="Calibri"/>
      <family val="2"/>
      <scheme val="minor"/>
    </font>
    <font>
      <b/>
      <i/>
      <sz val="20"/>
      <color theme="0"/>
      <name val="Calibri"/>
      <family val="2"/>
    </font>
    <font>
      <b/>
      <sz val="16"/>
      <color theme="0"/>
      <name val="Calibri"/>
      <family val="2"/>
    </font>
    <font>
      <b/>
      <sz val="12"/>
      <color theme="0"/>
      <name val="Calibri"/>
      <family val="2"/>
    </font>
    <font>
      <b/>
      <sz val="11"/>
      <color theme="0"/>
      <name val="Calibri"/>
      <family val="2"/>
    </font>
    <font>
      <b/>
      <sz val="11"/>
      <color theme="0"/>
      <name val="Arial"/>
      <family val="2"/>
    </font>
    <font>
      <b/>
      <i/>
      <sz val="16"/>
      <color theme="0"/>
      <name val="Calibri"/>
      <family val="2"/>
    </font>
    <font>
      <b/>
      <sz val="14"/>
      <color theme="0"/>
      <name val="Calibri"/>
      <family val="2"/>
      <scheme val="minor"/>
    </font>
    <font>
      <b/>
      <sz val="16"/>
      <color theme="0"/>
      <name val="Calibri"/>
      <family val="2"/>
      <scheme val="minor"/>
    </font>
    <font>
      <b/>
      <sz val="10"/>
      <color theme="0"/>
      <name val="Arial Narrow"/>
      <family val="2"/>
    </font>
    <font>
      <b/>
      <sz val="10"/>
      <color theme="0"/>
      <name val="Arial"/>
      <family val="2"/>
    </font>
    <font>
      <b/>
      <sz val="14"/>
      <color theme="0"/>
      <name val="Arial"/>
      <family val="2"/>
    </font>
    <font>
      <b/>
      <sz val="12"/>
      <color theme="0"/>
      <name val="Tahoma"/>
      <family val="2"/>
    </font>
    <font>
      <b/>
      <sz val="10"/>
      <color theme="0"/>
      <name val="Tahoma"/>
      <family val="2"/>
    </font>
    <font>
      <sz val="12"/>
      <color theme="0"/>
      <name val="Calibri"/>
      <family val="2"/>
    </font>
    <font>
      <sz val="24"/>
      <color theme="0"/>
      <name val="Calibri"/>
      <family val="2"/>
      <scheme val="minor"/>
    </font>
    <font>
      <b/>
      <sz val="10"/>
      <color theme="0"/>
      <name val="Times New Roman"/>
      <family val="1"/>
    </font>
    <font>
      <sz val="20"/>
      <color theme="0"/>
      <name val="Calibri"/>
      <family val="2"/>
      <scheme val="minor"/>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2060"/>
        <bgColor indexed="64"/>
      </patternFill>
    </fill>
    <fill>
      <patternFill patternType="solid">
        <fgColor theme="3" tint="0.59999389629810485"/>
        <bgColor indexed="64"/>
      </patternFill>
    </fill>
    <fill>
      <patternFill patternType="solid">
        <fgColor theme="3"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s>
  <cellStyleXfs count="9">
    <xf numFmtId="0" fontId="0" fillId="0" borderId="0"/>
    <xf numFmtId="164" fontId="2"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13" fillId="0" borderId="0"/>
    <xf numFmtId="9" fontId="15" fillId="0" borderId="0" applyFont="0" applyFill="0" applyBorder="0" applyAlignment="0" applyProtection="0"/>
    <xf numFmtId="41" fontId="9"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cellStyleXfs>
  <cellXfs count="243">
    <xf numFmtId="0" fontId="0" fillId="0" borderId="0" xfId="0"/>
    <xf numFmtId="0" fontId="3" fillId="0" borderId="0" xfId="0" applyFont="1"/>
    <xf numFmtId="0" fontId="5" fillId="0" borderId="0" xfId="0" applyFont="1" applyAlignment="1">
      <alignment horizontal="center"/>
    </xf>
    <xf numFmtId="0" fontId="0" fillId="3" borderId="1" xfId="0" applyFill="1" applyBorder="1" applyAlignment="1">
      <alignment horizontal="justify" vertical="top" wrapText="1"/>
    </xf>
    <xf numFmtId="0" fontId="0" fillId="3" borderId="1" xfId="0" applyFill="1" applyBorder="1" applyAlignment="1">
      <alignment horizontal="center" vertical="top" wrapText="1"/>
    </xf>
    <xf numFmtId="44" fontId="2" fillId="3" borderId="1" xfId="1" applyNumberFormat="1" applyFont="1" applyFill="1" applyBorder="1" applyAlignment="1">
      <alignment horizontal="center" vertical="top" wrapText="1"/>
    </xf>
    <xf numFmtId="44" fontId="2" fillId="3" borderId="1" xfId="1" applyNumberFormat="1" applyFont="1" applyFill="1" applyBorder="1"/>
    <xf numFmtId="44" fontId="0" fillId="3" borderId="1" xfId="0" applyNumberFormat="1" applyFill="1" applyBorder="1"/>
    <xf numFmtId="0" fontId="0" fillId="3" borderId="1" xfId="0" applyFill="1" applyBorder="1" applyAlignment="1">
      <alignment vertical="top" wrapText="1"/>
    </xf>
    <xf numFmtId="44" fontId="2" fillId="3" borderId="1" xfId="1" applyNumberFormat="1" applyFont="1" applyFill="1" applyBorder="1" applyAlignment="1">
      <alignment vertical="center" wrapText="1"/>
    </xf>
    <xf numFmtId="0" fontId="0" fillId="0" borderId="0" xfId="0" applyAlignment="1">
      <alignment horizontal="center"/>
    </xf>
    <xf numFmtId="0" fontId="10" fillId="0" borderId="0" xfId="0" applyFont="1"/>
    <xf numFmtId="0" fontId="10" fillId="0" borderId="0" xfId="0" applyFont="1" applyAlignment="1">
      <alignment horizontal="right"/>
    </xf>
    <xf numFmtId="0" fontId="10" fillId="0" borderId="0" xfId="0" applyFont="1" applyAlignment="1">
      <alignment horizontal="left"/>
    </xf>
    <xf numFmtId="43" fontId="10" fillId="0" borderId="0" xfId="2" applyFont="1" applyAlignment="1">
      <alignment horizontal="right"/>
    </xf>
    <xf numFmtId="0" fontId="0" fillId="0" borderId="1" xfId="0" applyBorder="1" applyAlignment="1">
      <alignment horizontal="center" vertical="top" wrapText="1"/>
    </xf>
    <xf numFmtId="44" fontId="2" fillId="0" borderId="1" xfId="1" applyNumberFormat="1" applyFont="1" applyBorder="1" applyAlignment="1">
      <alignment horizontal="center" vertical="top" wrapText="1"/>
    </xf>
    <xf numFmtId="43" fontId="0" fillId="3" borderId="1" xfId="0" applyNumberFormat="1" applyFill="1" applyBorder="1" applyAlignment="1">
      <alignment horizontal="justify" vertical="top" wrapText="1"/>
    </xf>
    <xf numFmtId="0" fontId="0" fillId="0" borderId="1" xfId="0" applyBorder="1"/>
    <xf numFmtId="44" fontId="0" fillId="0" borderId="1" xfId="0" applyNumberFormat="1" applyBorder="1"/>
    <xf numFmtId="167" fontId="14" fillId="0" borderId="1" xfId="4" applyNumberFormat="1" applyFont="1" applyBorder="1" applyAlignment="1">
      <alignment horizontal="center"/>
    </xf>
    <xf numFmtId="0" fontId="10" fillId="0" borderId="1" xfId="0" applyFont="1" applyBorder="1"/>
    <xf numFmtId="0" fontId="5" fillId="0" borderId="0" xfId="0" applyFont="1"/>
    <xf numFmtId="0" fontId="19" fillId="0" borderId="0" xfId="0" applyFont="1"/>
    <xf numFmtId="43" fontId="19" fillId="0" borderId="0" xfId="0" applyNumberFormat="1" applyFont="1"/>
    <xf numFmtId="0" fontId="21" fillId="4" borderId="1" xfId="0" applyFont="1" applyFill="1" applyBorder="1" applyAlignment="1">
      <alignment horizontal="center"/>
    </xf>
    <xf numFmtId="44" fontId="6" fillId="4" borderId="1" xfId="1" applyNumberFormat="1" applyFont="1" applyFill="1" applyBorder="1"/>
    <xf numFmtId="0" fontId="19" fillId="4" borderId="0" xfId="0" applyFont="1" applyFill="1"/>
    <xf numFmtId="44" fontId="21" fillId="4" borderId="1" xfId="0" applyNumberFormat="1" applyFont="1" applyFill="1" applyBorder="1" applyAlignment="1">
      <alignment horizontal="center"/>
    </xf>
    <xf numFmtId="0" fontId="21" fillId="4" borderId="1" xfId="0" applyFont="1" applyFill="1" applyBorder="1" applyAlignment="1">
      <alignment horizontal="left"/>
    </xf>
    <xf numFmtId="0" fontId="20" fillId="0" borderId="0" xfId="0" applyFont="1"/>
    <xf numFmtId="0" fontId="22" fillId="0" borderId="1" xfId="0" applyFont="1" applyBorder="1"/>
    <xf numFmtId="0" fontId="23" fillId="0" borderId="1" xfId="0" applyFont="1" applyBorder="1"/>
    <xf numFmtId="0" fontId="25" fillId="0" borderId="1" xfId="0" applyFont="1" applyBorder="1"/>
    <xf numFmtId="4" fontId="23" fillId="0" borderId="1" xfId="0" applyNumberFormat="1" applyFont="1" applyBorder="1" applyAlignment="1">
      <alignment horizontal="right"/>
    </xf>
    <xf numFmtId="43" fontId="23" fillId="0" borderId="1" xfId="0" applyNumberFormat="1" applyFont="1" applyBorder="1"/>
    <xf numFmtId="4" fontId="23" fillId="0" borderId="1" xfId="0" applyNumberFormat="1" applyFont="1" applyBorder="1"/>
    <xf numFmtId="4" fontId="0" fillId="0" borderId="1" xfId="0" applyNumberFormat="1" applyBorder="1"/>
    <xf numFmtId="0" fontId="0" fillId="2" borderId="0" xfId="0" applyFill="1"/>
    <xf numFmtId="169" fontId="30" fillId="0" borderId="0" xfId="4" applyNumberFormat="1" applyFont="1"/>
    <xf numFmtId="4" fontId="14" fillId="0" borderId="0" xfId="4" applyNumberFormat="1" applyFont="1"/>
    <xf numFmtId="169" fontId="13" fillId="0" borderId="0" xfId="4" applyNumberFormat="1"/>
    <xf numFmtId="0" fontId="0" fillId="0" borderId="0" xfId="0" applyProtection="1">
      <protection locked="0"/>
    </xf>
    <xf numFmtId="4" fontId="15" fillId="2" borderId="0" xfId="0" applyNumberFormat="1" applyFont="1" applyFill="1"/>
    <xf numFmtId="4" fontId="29" fillId="2" borderId="0" xfId="0" applyNumberFormat="1" applyFont="1" applyFill="1"/>
    <xf numFmtId="0" fontId="15" fillId="0" borderId="0" xfId="0" applyFont="1"/>
    <xf numFmtId="4" fontId="14" fillId="0" borderId="1" xfId="4" applyNumberFormat="1" applyFont="1" applyBorder="1"/>
    <xf numFmtId="168" fontId="14" fillId="0" borderId="1" xfId="2" applyNumberFormat="1" applyFont="1" applyFill="1" applyBorder="1"/>
    <xf numFmtId="3" fontId="14" fillId="0" borderId="1" xfId="4" applyNumberFormat="1" applyFont="1" applyBorder="1"/>
    <xf numFmtId="0" fontId="15" fillId="2" borderId="0" xfId="0" applyFont="1" applyFill="1"/>
    <xf numFmtId="169" fontId="14" fillId="0" borderId="0" xfId="4" applyNumberFormat="1" applyFont="1" applyAlignment="1">
      <alignment horizontal="center"/>
    </xf>
    <xf numFmtId="3" fontId="14" fillId="0" borderId="0" xfId="4" applyNumberFormat="1" applyFont="1"/>
    <xf numFmtId="4" fontId="16" fillId="0" borderId="0" xfId="4" applyNumberFormat="1" applyFont="1"/>
    <xf numFmtId="169" fontId="31" fillId="0" borderId="0" xfId="4" applyNumberFormat="1" applyFont="1"/>
    <xf numFmtId="169" fontId="32" fillId="0" borderId="0" xfId="4" applyNumberFormat="1" applyFont="1"/>
    <xf numFmtId="169" fontId="15" fillId="0" borderId="0" xfId="4" applyNumberFormat="1" applyFont="1"/>
    <xf numFmtId="169" fontId="26" fillId="0" borderId="0" xfId="4" applyNumberFormat="1" applyFont="1"/>
    <xf numFmtId="169" fontId="26" fillId="0" borderId="0" xfId="4" applyNumberFormat="1" applyFont="1" applyAlignment="1">
      <alignment horizontal="right"/>
    </xf>
    <xf numFmtId="4" fontId="33" fillId="0" borderId="0" xfId="4" applyNumberFormat="1" applyFont="1"/>
    <xf numFmtId="169" fontId="26" fillId="0" borderId="0" xfId="4" applyNumberFormat="1" applyFont="1" applyAlignment="1">
      <alignment horizontal="center"/>
    </xf>
    <xf numFmtId="3" fontId="15" fillId="0" borderId="0" xfId="4" applyNumberFormat="1" applyFont="1"/>
    <xf numFmtId="169" fontId="15" fillId="0" borderId="0" xfId="4" applyNumberFormat="1" applyFont="1" applyAlignment="1">
      <alignment horizontal="right"/>
    </xf>
    <xf numFmtId="10" fontId="13" fillId="0" borderId="0" xfId="4" applyNumberFormat="1"/>
    <xf numFmtId="169" fontId="14" fillId="0" borderId="0" xfId="4" applyNumberFormat="1" applyFont="1"/>
    <xf numFmtId="4" fontId="16" fillId="0" borderId="8" xfId="8" applyNumberFormat="1" applyFont="1" applyFill="1" applyBorder="1" applyAlignment="1">
      <alignment horizontal="right"/>
    </xf>
    <xf numFmtId="169" fontId="16" fillId="0" borderId="0" xfId="4" applyNumberFormat="1" applyFont="1"/>
    <xf numFmtId="10" fontId="16" fillId="0" borderId="10" xfId="5" applyNumberFormat="1" applyFont="1" applyFill="1" applyBorder="1" applyAlignment="1">
      <alignment horizontal="right"/>
    </xf>
    <xf numFmtId="2" fontId="16" fillId="0" borderId="12" xfId="4" applyNumberFormat="1" applyFont="1" applyBorder="1" applyAlignment="1">
      <alignment horizontal="right"/>
    </xf>
    <xf numFmtId="0" fontId="15" fillId="0" borderId="0" xfId="0" applyFont="1" applyProtection="1">
      <protection locked="0"/>
    </xf>
    <xf numFmtId="0" fontId="20" fillId="0" borderId="1" xfId="0" applyFont="1" applyBorder="1"/>
    <xf numFmtId="43" fontId="0" fillId="0" borderId="1" xfId="2" applyFont="1" applyBorder="1" applyAlignment="1">
      <alignment horizontal="left"/>
    </xf>
    <xf numFmtId="0" fontId="15" fillId="0" borderId="1" xfId="0" applyFont="1" applyBorder="1"/>
    <xf numFmtId="168" fontId="0" fillId="0" borderId="1" xfId="2" applyNumberFormat="1" applyFont="1" applyBorder="1"/>
    <xf numFmtId="0" fontId="15" fillId="0" borderId="0" xfId="0" applyFont="1" applyAlignment="1">
      <alignment horizontal="right"/>
    </xf>
    <xf numFmtId="4" fontId="15" fillId="0" borderId="0" xfId="0" applyNumberFormat="1" applyFont="1"/>
    <xf numFmtId="173" fontId="29" fillId="2" borderId="0" xfId="0" applyNumberFormat="1" applyFont="1" applyFill="1" applyProtection="1">
      <protection hidden="1"/>
    </xf>
    <xf numFmtId="43" fontId="0" fillId="0" borderId="0" xfId="2" applyFont="1"/>
    <xf numFmtId="0" fontId="35" fillId="0" borderId="0" xfId="0" applyFont="1" applyAlignment="1">
      <alignment horizontal="right"/>
    </xf>
    <xf numFmtId="0" fontId="35" fillId="0" borderId="0" xfId="0" applyFont="1"/>
    <xf numFmtId="0" fontId="38" fillId="0" borderId="0" xfId="0" applyFont="1"/>
    <xf numFmtId="174" fontId="39" fillId="0" borderId="1" xfId="6" applyNumberFormat="1" applyFont="1" applyBorder="1"/>
    <xf numFmtId="174" fontId="39" fillId="0" borderId="1" xfId="6" applyNumberFormat="1" applyFont="1" applyFill="1" applyBorder="1"/>
    <xf numFmtId="0" fontId="0" fillId="5" borderId="0" xfId="0" applyFill="1"/>
    <xf numFmtId="0" fontId="40" fillId="0" borderId="5" xfId="0" applyFont="1" applyBorder="1" applyAlignment="1">
      <alignment horizontal="center"/>
    </xf>
    <xf numFmtId="174" fontId="39" fillId="3" borderId="1" xfId="6" applyNumberFormat="1" applyFont="1" applyFill="1" applyBorder="1"/>
    <xf numFmtId="0" fontId="10" fillId="0" borderId="1" xfId="0" applyFont="1" applyBorder="1" applyAlignment="1">
      <alignment horizontal="right"/>
    </xf>
    <xf numFmtId="43" fontId="10" fillId="0" borderId="1" xfId="2" applyFont="1" applyBorder="1"/>
    <xf numFmtId="0" fontId="24" fillId="0" borderId="1" xfId="0" applyFont="1" applyBorder="1"/>
    <xf numFmtId="168" fontId="23" fillId="0" borderId="1" xfId="0" applyNumberFormat="1" applyFont="1" applyBorder="1" applyAlignment="1">
      <alignment horizontal="right"/>
    </xf>
    <xf numFmtId="166" fontId="10" fillId="0" borderId="1" xfId="1" applyNumberFormat="1" applyFont="1" applyFill="1" applyBorder="1"/>
    <xf numFmtId="4" fontId="16" fillId="0" borderId="0" xfId="4" applyNumberFormat="1" applyFont="1" applyAlignment="1">
      <alignment horizontal="center"/>
    </xf>
    <xf numFmtId="172" fontId="16" fillId="4" borderId="1" xfId="5" applyNumberFormat="1" applyFont="1" applyFill="1" applyBorder="1" applyAlignment="1">
      <alignment horizontal="center"/>
    </xf>
    <xf numFmtId="169" fontId="14" fillId="0" borderId="1" xfId="4" applyNumberFormat="1" applyFont="1" applyBorder="1" applyAlignment="1">
      <alignment horizontal="center"/>
    </xf>
    <xf numFmtId="170" fontId="26" fillId="0" borderId="1" xfId="7" applyNumberFormat="1" applyFont="1" applyFill="1" applyBorder="1" applyAlignment="1">
      <alignment vertical="center"/>
    </xf>
    <xf numFmtId="170" fontId="26" fillId="0" borderId="1" xfId="7" applyNumberFormat="1" applyFont="1" applyBorder="1" applyAlignment="1">
      <alignment horizontal="right"/>
    </xf>
    <xf numFmtId="170" fontId="26" fillId="0" borderId="1" xfId="7" applyNumberFormat="1" applyFont="1" applyBorder="1"/>
    <xf numFmtId="169" fontId="15" fillId="0" borderId="1" xfId="4" applyNumberFormat="1" applyFont="1" applyBorder="1"/>
    <xf numFmtId="171" fontId="15" fillId="0" borderId="1" xfId="2" applyNumberFormat="1" applyFont="1" applyBorder="1"/>
    <xf numFmtId="0" fontId="19" fillId="0" borderId="1" xfId="0" applyFont="1" applyBorder="1" applyAlignment="1">
      <alignment horizontal="left"/>
    </xf>
    <xf numFmtId="43" fontId="10" fillId="0" borderId="1" xfId="2" applyFont="1" applyBorder="1" applyAlignment="1">
      <alignment horizontal="right"/>
    </xf>
    <xf numFmtId="0" fontId="10" fillId="0" borderId="1" xfId="0" applyFont="1" applyBorder="1" applyAlignment="1">
      <alignment horizontal="center" vertical="top" wrapText="1"/>
    </xf>
    <xf numFmtId="44" fontId="8" fillId="0" borderId="1" xfId="1" applyNumberFormat="1" applyFont="1" applyBorder="1" applyAlignment="1">
      <alignment horizontal="center" vertical="top" wrapText="1"/>
    </xf>
    <xf numFmtId="0" fontId="18" fillId="0" borderId="1" xfId="0" applyFont="1" applyBorder="1"/>
    <xf numFmtId="0" fontId="42" fillId="0" borderId="18" xfId="0" applyFont="1" applyBorder="1"/>
    <xf numFmtId="0" fontId="23" fillId="0" borderId="19" xfId="0" applyFont="1" applyBorder="1"/>
    <xf numFmtId="0" fontId="0" fillId="0" borderId="19" xfId="0" applyBorder="1"/>
    <xf numFmtId="0" fontId="0" fillId="0" borderId="20" xfId="0" applyBorder="1"/>
    <xf numFmtId="0" fontId="23" fillId="0" borderId="21" xfId="0" applyFont="1" applyBorder="1"/>
    <xf numFmtId="4" fontId="0" fillId="0" borderId="22" xfId="0" applyNumberFormat="1" applyBorder="1"/>
    <xf numFmtId="0" fontId="42" fillId="0" borderId="21" xfId="0" applyFont="1" applyBorder="1"/>
    <xf numFmtId="0" fontId="0" fillId="0" borderId="22" xfId="0" applyBorder="1"/>
    <xf numFmtId="0" fontId="23" fillId="0" borderId="23" xfId="0" applyFont="1" applyBorder="1"/>
    <xf numFmtId="4" fontId="23" fillId="0" borderId="24" xfId="0" applyNumberFormat="1" applyFont="1" applyBorder="1" applyAlignment="1">
      <alignment horizontal="right"/>
    </xf>
    <xf numFmtId="0" fontId="0" fillId="0" borderId="25" xfId="0" applyBorder="1"/>
    <xf numFmtId="43" fontId="0" fillId="0" borderId="1" xfId="2" applyFont="1" applyBorder="1"/>
    <xf numFmtId="43" fontId="15" fillId="0" borderId="1" xfId="2" applyFont="1" applyBorder="1"/>
    <xf numFmtId="0" fontId="26" fillId="0" borderId="1" xfId="0" applyFont="1" applyBorder="1"/>
    <xf numFmtId="43" fontId="26" fillId="0" borderId="1" xfId="2" applyFont="1" applyBorder="1"/>
    <xf numFmtId="9" fontId="2" fillId="3" borderId="26" xfId="3" applyFont="1" applyFill="1" applyBorder="1" applyAlignment="1">
      <alignment horizontal="center"/>
    </xf>
    <xf numFmtId="0" fontId="10" fillId="0" borderId="1" xfId="0" applyFont="1" applyBorder="1" applyAlignment="1">
      <alignment horizontal="center"/>
    </xf>
    <xf numFmtId="43" fontId="10" fillId="0" borderId="1" xfId="2" applyFont="1" applyBorder="1" applyAlignment="1">
      <alignment horizontal="center"/>
    </xf>
    <xf numFmtId="44" fontId="10" fillId="0" borderId="1" xfId="1" applyNumberFormat="1" applyFont="1" applyBorder="1" applyAlignment="1">
      <alignment horizontal="center"/>
    </xf>
    <xf numFmtId="3" fontId="0" fillId="0" borderId="0" xfId="0" applyNumberFormat="1"/>
    <xf numFmtId="0" fontId="10" fillId="0" borderId="1" xfId="2" applyNumberFormat="1" applyFont="1" applyBorder="1" applyAlignment="1">
      <alignment horizontal="center"/>
    </xf>
    <xf numFmtId="0" fontId="49" fillId="6" borderId="1" xfId="0" applyFont="1" applyFill="1" applyBorder="1" applyAlignment="1">
      <alignment horizontal="center"/>
    </xf>
    <xf numFmtId="44" fontId="49" fillId="6" borderId="1" xfId="1" applyNumberFormat="1" applyFont="1" applyFill="1" applyBorder="1" applyAlignment="1">
      <alignment horizontal="center" wrapText="1"/>
    </xf>
    <xf numFmtId="0" fontId="50" fillId="6" borderId="1" xfId="0" applyFont="1" applyFill="1" applyBorder="1"/>
    <xf numFmtId="44" fontId="50" fillId="6" borderId="1" xfId="1" applyNumberFormat="1" applyFont="1" applyFill="1" applyBorder="1"/>
    <xf numFmtId="0" fontId="50" fillId="6" borderId="1" xfId="0" applyFont="1" applyFill="1" applyBorder="1" applyAlignment="1">
      <alignment vertical="top" wrapText="1"/>
    </xf>
    <xf numFmtId="44" fontId="50" fillId="6" borderId="1" xfId="0" applyNumberFormat="1" applyFont="1" applyFill="1" applyBorder="1"/>
    <xf numFmtId="0" fontId="45" fillId="6" borderId="1" xfId="0" applyFont="1" applyFill="1" applyBorder="1" applyAlignment="1">
      <alignment horizontal="justify" vertical="top" wrapText="1"/>
    </xf>
    <xf numFmtId="0" fontId="45" fillId="6" borderId="1" xfId="0" applyFont="1" applyFill="1" applyBorder="1" applyAlignment="1">
      <alignment horizontal="center" vertical="top" wrapText="1"/>
    </xf>
    <xf numFmtId="44" fontId="50" fillId="6" borderId="1" xfId="1" applyNumberFormat="1" applyFont="1" applyFill="1" applyBorder="1" applyAlignment="1">
      <alignment horizontal="center" vertical="top" wrapText="1"/>
    </xf>
    <xf numFmtId="0" fontId="45" fillId="6" borderId="1" xfId="0" applyFont="1" applyFill="1" applyBorder="1" applyAlignment="1">
      <alignment horizontal="center"/>
    </xf>
    <xf numFmtId="0" fontId="45" fillId="6" borderId="1" xfId="0" applyFont="1" applyFill="1" applyBorder="1"/>
    <xf numFmtId="0" fontId="45" fillId="6" borderId="1" xfId="0" applyFont="1" applyFill="1" applyBorder="1" applyAlignment="1">
      <alignment horizontal="right"/>
    </xf>
    <xf numFmtId="165" fontId="50" fillId="6" borderId="1" xfId="1" applyNumberFormat="1" applyFont="1" applyFill="1" applyBorder="1" applyAlignment="1">
      <alignment horizontal="center"/>
    </xf>
    <xf numFmtId="0" fontId="51" fillId="6" borderId="1" xfId="0" applyFont="1" applyFill="1" applyBorder="1" applyAlignment="1">
      <alignment horizontal="center" vertical="center" wrapText="1"/>
    </xf>
    <xf numFmtId="0" fontId="51" fillId="6" borderId="1" xfId="0" applyFont="1" applyFill="1" applyBorder="1" applyAlignment="1">
      <alignment horizontal="center" vertical="center"/>
    </xf>
    <xf numFmtId="0" fontId="4" fillId="0" borderId="0" xfId="0" applyFont="1"/>
    <xf numFmtId="44" fontId="49" fillId="6" borderId="1" xfId="0" applyNumberFormat="1" applyFont="1" applyFill="1" applyBorder="1" applyAlignment="1">
      <alignment horizontal="center"/>
    </xf>
    <xf numFmtId="0" fontId="46" fillId="6" borderId="0" xfId="0" applyFont="1" applyFill="1"/>
    <xf numFmtId="0" fontId="50" fillId="6" borderId="1" xfId="0" applyFont="1" applyFill="1" applyBorder="1" applyAlignment="1">
      <alignment horizontal="center"/>
    </xf>
    <xf numFmtId="44" fontId="50" fillId="6" borderId="1" xfId="1" applyNumberFormat="1" applyFont="1" applyFill="1" applyBorder="1" applyAlignment="1">
      <alignment horizontal="center"/>
    </xf>
    <xf numFmtId="0" fontId="20" fillId="3" borderId="1" xfId="0" applyFont="1" applyFill="1" applyBorder="1" applyAlignment="1">
      <alignment horizontal="justify" vertical="top" wrapText="1"/>
    </xf>
    <xf numFmtId="44" fontId="2" fillId="3" borderId="0" xfId="1" applyNumberFormat="1" applyFont="1" applyFill="1" applyBorder="1"/>
    <xf numFmtId="0" fontId="55" fillId="6" borderId="1" xfId="0" applyFont="1" applyFill="1" applyBorder="1"/>
    <xf numFmtId="0" fontId="55" fillId="6" borderId="1" xfId="0" applyFont="1" applyFill="1" applyBorder="1" applyAlignment="1">
      <alignment horizontal="center"/>
    </xf>
    <xf numFmtId="4" fontId="56" fillId="6" borderId="1" xfId="0" applyNumberFormat="1" applyFont="1" applyFill="1" applyBorder="1" applyAlignment="1">
      <alignment horizontal="right"/>
    </xf>
    <xf numFmtId="0" fontId="46" fillId="6" borderId="1" xfId="0" applyFont="1" applyFill="1" applyBorder="1"/>
    <xf numFmtId="4" fontId="46" fillId="6" borderId="1" xfId="0" applyNumberFormat="1" applyFont="1" applyFill="1" applyBorder="1"/>
    <xf numFmtId="44" fontId="10" fillId="0" borderId="0" xfId="0" applyNumberFormat="1" applyFont="1"/>
    <xf numFmtId="169" fontId="59" fillId="6" borderId="1" xfId="4" applyNumberFormat="1" applyFont="1" applyFill="1" applyBorder="1"/>
    <xf numFmtId="4" fontId="59" fillId="6" borderId="1" xfId="4" applyNumberFormat="1" applyFont="1" applyFill="1" applyBorder="1"/>
    <xf numFmtId="4" fontId="59" fillId="6" borderId="1" xfId="4" applyNumberFormat="1" applyFont="1" applyFill="1" applyBorder="1" applyAlignment="1">
      <alignment horizontal="center"/>
    </xf>
    <xf numFmtId="169" fontId="59" fillId="6" borderId="1" xfId="4" applyNumberFormat="1" applyFont="1" applyFill="1" applyBorder="1" applyAlignment="1">
      <alignment horizontal="center"/>
    </xf>
    <xf numFmtId="169" fontId="56" fillId="6" borderId="1" xfId="4" applyNumberFormat="1" applyFont="1" applyFill="1" applyBorder="1" applyAlignment="1">
      <alignment horizontal="center"/>
    </xf>
    <xf numFmtId="3" fontId="56" fillId="6" borderId="1" xfId="4" applyNumberFormat="1" applyFont="1" applyFill="1" applyBorder="1"/>
    <xf numFmtId="4" fontId="56" fillId="6" borderId="1" xfId="4" applyNumberFormat="1" applyFont="1" applyFill="1" applyBorder="1"/>
    <xf numFmtId="2" fontId="23" fillId="0" borderId="1" xfId="0" applyNumberFormat="1" applyFont="1" applyBorder="1"/>
    <xf numFmtId="4" fontId="45" fillId="6" borderId="1" xfId="0" applyNumberFormat="1" applyFont="1" applyFill="1" applyBorder="1"/>
    <xf numFmtId="0" fontId="60" fillId="6" borderId="1" xfId="0" applyFont="1" applyFill="1" applyBorder="1" applyAlignment="1">
      <alignment horizontal="left"/>
    </xf>
    <xf numFmtId="0" fontId="60" fillId="6" borderId="26" xfId="0" applyFont="1" applyFill="1" applyBorder="1" applyAlignment="1">
      <alignment horizontal="left"/>
    </xf>
    <xf numFmtId="0" fontId="0" fillId="0" borderId="8" xfId="0" applyBorder="1"/>
    <xf numFmtId="0" fontId="0" fillId="0" borderId="10" xfId="0" applyBorder="1"/>
    <xf numFmtId="0" fontId="20" fillId="0" borderId="11" xfId="0" applyFont="1" applyBorder="1"/>
    <xf numFmtId="0" fontId="20" fillId="0" borderId="7" xfId="0" applyFont="1" applyBorder="1"/>
    <xf numFmtId="0" fontId="20" fillId="0" borderId="9" xfId="0" applyFont="1" applyBorder="1"/>
    <xf numFmtId="0" fontId="45" fillId="6" borderId="0" xfId="0" applyFont="1" applyFill="1" applyAlignment="1" applyProtection="1">
      <alignment horizontal="right"/>
      <protection locked="0"/>
    </xf>
    <xf numFmtId="8" fontId="0" fillId="0" borderId="0" xfId="0" applyNumberFormat="1" applyProtection="1">
      <protection locked="0"/>
    </xf>
    <xf numFmtId="44" fontId="0" fillId="0" borderId="0" xfId="0" applyNumberFormat="1"/>
    <xf numFmtId="43" fontId="0" fillId="0" borderId="0" xfId="2" applyFont="1" applyAlignment="1">
      <alignment horizontal="center"/>
    </xf>
    <xf numFmtId="0" fontId="0" fillId="0" borderId="1" xfId="0" applyBorder="1" applyAlignment="1">
      <alignment horizontal="center"/>
    </xf>
    <xf numFmtId="43" fontId="0" fillId="0" borderId="1" xfId="2" applyFont="1" applyBorder="1" applyAlignment="1">
      <alignment horizontal="center"/>
    </xf>
    <xf numFmtId="43" fontId="0" fillId="0" borderId="1" xfId="0" applyNumberFormat="1" applyBorder="1" applyAlignment="1">
      <alignment horizontal="center"/>
    </xf>
    <xf numFmtId="164" fontId="0" fillId="0" borderId="0" xfId="1" applyFont="1" applyProtection="1">
      <protection locked="0"/>
    </xf>
    <xf numFmtId="0" fontId="56" fillId="6" borderId="1" xfId="0" applyFont="1" applyFill="1" applyBorder="1"/>
    <xf numFmtId="43" fontId="56" fillId="6" borderId="1" xfId="2" applyFont="1" applyFill="1" applyBorder="1"/>
    <xf numFmtId="0" fontId="26" fillId="7" borderId="1" xfId="0" applyFont="1" applyFill="1" applyBorder="1"/>
    <xf numFmtId="0" fontId="56" fillId="6" borderId="1" xfId="0" applyFont="1" applyFill="1" applyBorder="1" applyAlignment="1">
      <alignment horizontal="center"/>
    </xf>
    <xf numFmtId="0" fontId="56" fillId="6" borderId="5" xfId="0" applyFont="1" applyFill="1" applyBorder="1" applyAlignment="1">
      <alignment horizontal="center"/>
    </xf>
    <xf numFmtId="0" fontId="56" fillId="6" borderId="16" xfId="0" applyFont="1" applyFill="1" applyBorder="1" applyAlignment="1">
      <alignment horizontal="center"/>
    </xf>
    <xf numFmtId="0" fontId="56" fillId="6" borderId="17" xfId="0" applyFont="1" applyFill="1" applyBorder="1" applyAlignment="1">
      <alignment horizontal="center"/>
    </xf>
    <xf numFmtId="0" fontId="42" fillId="8" borderId="21" xfId="0" applyFont="1" applyFill="1" applyBorder="1"/>
    <xf numFmtId="4" fontId="23" fillId="8" borderId="1" xfId="0" applyNumberFormat="1" applyFont="1" applyFill="1" applyBorder="1" applyAlignment="1">
      <alignment horizontal="right"/>
    </xf>
    <xf numFmtId="4" fontId="0" fillId="8" borderId="22" xfId="0" applyNumberFormat="1" applyFill="1" applyBorder="1"/>
    <xf numFmtId="4" fontId="23" fillId="8" borderId="24" xfId="0" applyNumberFormat="1" applyFont="1" applyFill="1" applyBorder="1" applyAlignment="1">
      <alignment horizontal="right"/>
    </xf>
    <xf numFmtId="0" fontId="20" fillId="4" borderId="12" xfId="0" applyFont="1" applyFill="1" applyBorder="1"/>
    <xf numFmtId="169" fontId="59" fillId="6" borderId="7" xfId="4" applyNumberFormat="1" applyFont="1" applyFill="1" applyBorder="1"/>
    <xf numFmtId="169" fontId="59" fillId="6" borderId="9" xfId="4" applyNumberFormat="1" applyFont="1" applyFill="1" applyBorder="1"/>
    <xf numFmtId="169" fontId="59" fillId="6" borderId="11" xfId="4" applyNumberFormat="1" applyFont="1" applyFill="1" applyBorder="1"/>
    <xf numFmtId="0" fontId="27" fillId="0" borderId="0" xfId="0" applyFont="1" applyAlignment="1">
      <alignment horizontal="center" vertical="center"/>
    </xf>
    <xf numFmtId="0" fontId="28" fillId="0" borderId="0" xfId="0" applyFont="1"/>
    <xf numFmtId="0" fontId="29" fillId="0" borderId="0" xfId="0" applyFont="1"/>
    <xf numFmtId="0" fontId="11" fillId="0" borderId="0" xfId="0" applyFont="1" applyAlignment="1">
      <alignment horizontal="center"/>
    </xf>
    <xf numFmtId="0" fontId="12"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52" fillId="6" borderId="0" xfId="0" applyFont="1" applyFill="1" applyAlignment="1">
      <alignment horizontal="center"/>
    </xf>
    <xf numFmtId="0" fontId="48" fillId="6" borderId="0" xfId="0" applyFont="1" applyFill="1" applyAlignment="1">
      <alignment horizontal="center"/>
    </xf>
    <xf numFmtId="0" fontId="55" fillId="6" borderId="1" xfId="0" applyFont="1" applyFill="1" applyBorder="1" applyAlignment="1">
      <alignment horizontal="center" vertical="center" wrapText="1"/>
    </xf>
    <xf numFmtId="0" fontId="54" fillId="6" borderId="1" xfId="0" applyFont="1" applyFill="1" applyBorder="1" applyAlignment="1">
      <alignment horizontal="center"/>
    </xf>
    <xf numFmtId="0" fontId="53" fillId="6" borderId="27" xfId="0" applyFont="1" applyFill="1" applyBorder="1" applyAlignment="1">
      <alignment horizontal="center"/>
    </xf>
    <xf numFmtId="0" fontId="53" fillId="6" borderId="28" xfId="0" applyFont="1" applyFill="1" applyBorder="1" applyAlignment="1">
      <alignment horizontal="center"/>
    </xf>
    <xf numFmtId="0" fontId="53" fillId="6" borderId="29" xfId="0" applyFont="1" applyFill="1" applyBorder="1" applyAlignment="1">
      <alignment horizontal="center"/>
    </xf>
    <xf numFmtId="0" fontId="55" fillId="6" borderId="27" xfId="0" applyFont="1" applyFill="1" applyBorder="1" applyAlignment="1">
      <alignment horizontal="center"/>
    </xf>
    <xf numFmtId="0" fontId="55" fillId="6" borderId="28" xfId="0" applyFont="1" applyFill="1" applyBorder="1" applyAlignment="1">
      <alignment horizontal="center"/>
    </xf>
    <xf numFmtId="0" fontId="55" fillId="6" borderId="29" xfId="0" applyFont="1" applyFill="1" applyBorder="1" applyAlignment="1">
      <alignment horizontal="center"/>
    </xf>
    <xf numFmtId="0" fontId="17" fillId="0" borderId="0" xfId="0" applyFont="1" applyAlignment="1">
      <alignment horizontal="left" vertical="center" wrapText="1"/>
    </xf>
    <xf numFmtId="3" fontId="58" fillId="6" borderId="6" xfId="4" applyNumberFormat="1" applyFont="1" applyFill="1" applyBorder="1" applyAlignment="1">
      <alignment horizontal="center"/>
    </xf>
    <xf numFmtId="3" fontId="58" fillId="6" borderId="2" xfId="4" applyNumberFormat="1" applyFont="1" applyFill="1" applyBorder="1" applyAlignment="1">
      <alignment horizontal="center"/>
    </xf>
    <xf numFmtId="4" fontId="59" fillId="6" borderId="1" xfId="4" applyNumberFormat="1" applyFont="1" applyFill="1" applyBorder="1" applyAlignment="1">
      <alignment horizontal="center"/>
    </xf>
    <xf numFmtId="169" fontId="59" fillId="6" borderId="1" xfId="4" applyNumberFormat="1" applyFont="1" applyFill="1" applyBorder="1" applyAlignment="1">
      <alignment horizontal="center" wrapText="1"/>
    </xf>
    <xf numFmtId="0" fontId="61" fillId="6" borderId="0" xfId="0" applyFont="1" applyFill="1" applyAlignment="1">
      <alignment horizontal="center"/>
    </xf>
    <xf numFmtId="0" fontId="57" fillId="6" borderId="30" xfId="0" applyFont="1" applyFill="1" applyBorder="1" applyAlignment="1">
      <alignment horizontal="center"/>
    </xf>
    <xf numFmtId="0" fontId="57" fillId="6" borderId="0" xfId="0" applyFont="1" applyFill="1" applyAlignment="1">
      <alignment horizontal="center"/>
    </xf>
    <xf numFmtId="0" fontId="44" fillId="0" borderId="0" xfId="0" applyFont="1" applyAlignment="1">
      <alignment horizontal="center"/>
    </xf>
    <xf numFmtId="0" fontId="34" fillId="0" borderId="0" xfId="0" applyFont="1" applyAlignment="1">
      <alignment horizontal="center"/>
    </xf>
    <xf numFmtId="0" fontId="36" fillId="0" borderId="0" xfId="0" applyFont="1" applyAlignment="1">
      <alignment horizontal="center" vertical="center"/>
    </xf>
    <xf numFmtId="0" fontId="37" fillId="0" borderId="0" xfId="0" applyFont="1" applyAlignment="1">
      <alignment horizontal="center" vertical="center"/>
    </xf>
    <xf numFmtId="0" fontId="56" fillId="6" borderId="14" xfId="0" applyFont="1" applyFill="1" applyBorder="1" applyAlignment="1">
      <alignment horizontal="center"/>
    </xf>
    <xf numFmtId="0" fontId="56" fillId="6" borderId="15" xfId="0" applyFont="1" applyFill="1" applyBorder="1" applyAlignment="1">
      <alignment horizontal="center"/>
    </xf>
    <xf numFmtId="0" fontId="56" fillId="6" borderId="3" xfId="0" applyFont="1" applyFill="1" applyBorder="1" applyAlignment="1">
      <alignment horizontal="center"/>
    </xf>
    <xf numFmtId="0" fontId="56" fillId="6" borderId="4" xfId="0" applyFont="1" applyFill="1" applyBorder="1" applyAlignment="1">
      <alignment horizontal="center"/>
    </xf>
    <xf numFmtId="0" fontId="56" fillId="6" borderId="5" xfId="0" applyFont="1" applyFill="1" applyBorder="1" applyAlignment="1">
      <alignment horizontal="center"/>
    </xf>
    <xf numFmtId="0" fontId="47" fillId="6" borderId="0" xfId="0" applyFont="1" applyFill="1" applyAlignment="1">
      <alignment horizontal="center" vertical="center"/>
    </xf>
    <xf numFmtId="0" fontId="0" fillId="0" borderId="0" xfId="0" applyAlignment="1">
      <alignment vertical="center"/>
    </xf>
    <xf numFmtId="0" fontId="48" fillId="6" borderId="2" xfId="0" applyFont="1" applyFill="1" applyBorder="1" applyAlignment="1">
      <alignment horizontal="center" vertical="center"/>
    </xf>
    <xf numFmtId="0" fontId="45" fillId="6" borderId="1" xfId="0" applyFont="1" applyFill="1" applyBorder="1" applyAlignment="1">
      <alignment horizontal="center" vertical="center"/>
    </xf>
    <xf numFmtId="0" fontId="0" fillId="0" borderId="0" xfId="0" applyAlignment="1">
      <alignment horizontal="center" vertical="center"/>
    </xf>
    <xf numFmtId="0" fontId="45" fillId="6" borderId="1" xfId="0" applyFont="1" applyFill="1" applyBorder="1" applyAlignment="1">
      <alignment horizontal="center" vertical="center"/>
    </xf>
    <xf numFmtId="43" fontId="45" fillId="6" borderId="1" xfId="2" applyFont="1" applyFill="1" applyBorder="1" applyAlignment="1">
      <alignment horizontal="center" vertical="center"/>
    </xf>
    <xf numFmtId="0" fontId="62" fillId="6" borderId="1" xfId="0" applyFont="1" applyFill="1" applyBorder="1"/>
    <xf numFmtId="0" fontId="62" fillId="6" borderId="1" xfId="0" applyFont="1" applyFill="1" applyBorder="1" applyAlignment="1">
      <alignment horizontal="center"/>
    </xf>
    <xf numFmtId="168" fontId="56" fillId="6" borderId="3" xfId="0" applyNumberFormat="1" applyFont="1" applyFill="1" applyBorder="1" applyAlignment="1">
      <alignment horizontal="center"/>
    </xf>
    <xf numFmtId="43" fontId="56" fillId="6" borderId="3" xfId="2" applyFont="1" applyFill="1" applyBorder="1" applyAlignment="1">
      <alignment horizontal="left"/>
    </xf>
    <xf numFmtId="0" fontId="56" fillId="6" borderId="3" xfId="0" applyFont="1" applyFill="1" applyBorder="1" applyAlignment="1">
      <alignment horizontal="left"/>
    </xf>
    <xf numFmtId="0" fontId="56" fillId="6" borderId="5" xfId="0" applyFont="1" applyFill="1" applyBorder="1"/>
    <xf numFmtId="0" fontId="63" fillId="6" borderId="0" xfId="0" applyFont="1" applyFill="1" applyAlignment="1">
      <alignment horizontal="center"/>
    </xf>
    <xf numFmtId="0" fontId="51" fillId="6" borderId="13" xfId="0" applyFont="1" applyFill="1" applyBorder="1" applyAlignment="1">
      <alignment horizontal="center" wrapText="1"/>
    </xf>
    <xf numFmtId="0" fontId="41" fillId="0" borderId="0" xfId="0" applyFont="1" applyAlignment="1">
      <alignment horizontal="center"/>
    </xf>
    <xf numFmtId="0" fontId="43" fillId="0" borderId="0" xfId="0" applyFont="1" applyAlignment="1">
      <alignment horizontal="center"/>
    </xf>
  </cellXfs>
  <cellStyles count="9">
    <cellStyle name="Millares" xfId="2" builtinId="3"/>
    <cellStyle name="Millares [0]" xfId="6" builtinId="6"/>
    <cellStyle name="Millares_EVALUACION_APICOLA_FINAL_formato  Max_corregida 2" xfId="7" xr:uid="{00000000-0005-0000-0000-000002000000}"/>
    <cellStyle name="Moneda" xfId="1" builtinId="4"/>
    <cellStyle name="Moneda_EVALUACION_APICOLA_FINAL_formato  Max_corregida 2" xfId="8" xr:uid="{00000000-0005-0000-0000-000004000000}"/>
    <cellStyle name="Normal" xfId="0" builtinId="0"/>
    <cellStyle name="Normal 2" xfId="4" xr:uid="{00000000-0005-0000-0000-000006000000}"/>
    <cellStyle name="Porcentaje" xfId="3" builtinId="5"/>
    <cellStyle name="Porcentual 2" xfId="5" xr:uid="{00000000-0005-0000-0000-000008000000}"/>
  </cellStyles>
  <dxfs count="2">
    <dxf>
      <font>
        <condense val="0"/>
        <extend val="0"/>
        <color rgb="FF9C0006"/>
      </font>
      <fill>
        <patternFill>
          <bgColor rgb="FFFFC7CE"/>
        </patternFill>
      </fill>
    </dxf>
    <dxf>
      <font>
        <b/>
        <i val="0"/>
        <strike val="0"/>
        <condense val="0"/>
        <extend val="0"/>
        <color auto="1"/>
      </font>
      <fill>
        <patternFill>
          <bgColor indexed="26"/>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Spin" dx="15" fmlaLink="#REF!" max="100" page="10" val="0"/>
</file>

<file path=xl/ctrlProps/ctrlProp2.xml><?xml version="1.0" encoding="utf-8"?>
<formControlPr xmlns="http://schemas.microsoft.com/office/spreadsheetml/2009/9/main" objectType="Spin" dx="15" fmlaLink="#REF!" max="100" page="1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399344</xdr:colOff>
      <xdr:row>0</xdr:row>
      <xdr:rowOff>176389</xdr:rowOff>
    </xdr:from>
    <xdr:to>
      <xdr:col>1</xdr:col>
      <xdr:colOff>1740370</xdr:colOff>
      <xdr:row>1</xdr:row>
      <xdr:rowOff>513138</xdr:rowOff>
    </xdr:to>
    <xdr:pic>
      <xdr:nvPicPr>
        <xdr:cNvPr id="4" name="Imagen 3">
          <a:extLst>
            <a:ext uri="{FF2B5EF4-FFF2-40B4-BE49-F238E27FC236}">
              <a16:creationId xmlns:a16="http://schemas.microsoft.com/office/drawing/2014/main" id="{5336736E-7D7B-4C4E-9180-DBA1DC00C4A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763881" y="176389"/>
          <a:ext cx="1341026" cy="9364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76199</xdr:colOff>
      <xdr:row>0</xdr:row>
      <xdr:rowOff>0</xdr:rowOff>
    </xdr:from>
    <xdr:to>
      <xdr:col>1</xdr:col>
      <xdr:colOff>1171574</xdr:colOff>
      <xdr:row>2</xdr:row>
      <xdr:rowOff>164852</xdr:rowOff>
    </xdr:to>
    <xdr:pic>
      <xdr:nvPicPr>
        <xdr:cNvPr id="2" name="Imagen 1">
          <a:extLst>
            <a:ext uri="{FF2B5EF4-FFF2-40B4-BE49-F238E27FC236}">
              <a16:creationId xmlns:a16="http://schemas.microsoft.com/office/drawing/2014/main" id="{384745DA-A610-446C-8E32-82DD500DBF7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838199" y="0"/>
          <a:ext cx="1095375" cy="76492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190500</xdr:colOff>
      <xdr:row>3</xdr:row>
      <xdr:rowOff>145802</xdr:rowOff>
    </xdr:to>
    <xdr:pic>
      <xdr:nvPicPr>
        <xdr:cNvPr id="2" name="Imagen 1">
          <a:extLst>
            <a:ext uri="{FF2B5EF4-FFF2-40B4-BE49-F238E27FC236}">
              <a16:creationId xmlns:a16="http://schemas.microsoft.com/office/drawing/2014/main" id="{E9EDC6C2-026D-460C-BBAF-4926DBB9413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904875" y="0"/>
          <a:ext cx="1095375" cy="76492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2</xdr:col>
      <xdr:colOff>76200</xdr:colOff>
      <xdr:row>2</xdr:row>
      <xdr:rowOff>181188</xdr:rowOff>
    </xdr:to>
    <xdr:pic>
      <xdr:nvPicPr>
        <xdr:cNvPr id="2" name="Imagen 1">
          <a:extLst>
            <a:ext uri="{FF2B5EF4-FFF2-40B4-BE49-F238E27FC236}">
              <a16:creationId xmlns:a16="http://schemas.microsoft.com/office/drawing/2014/main" id="{15B1F4AB-D025-4684-A0E6-A9EEC35461A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990600" y="0"/>
          <a:ext cx="1009650" cy="70506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19049</xdr:colOff>
      <xdr:row>0</xdr:row>
      <xdr:rowOff>76200</xdr:rowOff>
    </xdr:from>
    <xdr:to>
      <xdr:col>1</xdr:col>
      <xdr:colOff>1133474</xdr:colOff>
      <xdr:row>3</xdr:row>
      <xdr:rowOff>159105</xdr:rowOff>
    </xdr:to>
    <xdr:pic>
      <xdr:nvPicPr>
        <xdr:cNvPr id="2" name="Imagen 1">
          <a:extLst>
            <a:ext uri="{FF2B5EF4-FFF2-40B4-BE49-F238E27FC236}">
              <a16:creationId xmlns:a16="http://schemas.microsoft.com/office/drawing/2014/main" id="{6AEB0802-E6E1-43FB-9B5E-AC0C98B8DE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781049" y="76200"/>
          <a:ext cx="1114425" cy="778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2</xdr:row>
      <xdr:rowOff>171450</xdr:rowOff>
    </xdr:from>
    <xdr:to>
      <xdr:col>1</xdr:col>
      <xdr:colOff>998067</xdr:colOff>
      <xdr:row>2</xdr:row>
      <xdr:rowOff>762000</xdr:rowOff>
    </xdr:to>
    <xdr:pic>
      <xdr:nvPicPr>
        <xdr:cNvPr id="2" name="Imagen 1">
          <a:extLst>
            <a:ext uri="{FF2B5EF4-FFF2-40B4-BE49-F238E27FC236}">
              <a16:creationId xmlns:a16="http://schemas.microsoft.com/office/drawing/2014/main" id="{325C8F1E-9E5A-40A7-A762-257FA1EF82B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914400" y="1152525"/>
          <a:ext cx="845667" cy="590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7</xdr:row>
          <xdr:rowOff>0</xdr:rowOff>
        </xdr:from>
        <xdr:to>
          <xdr:col>2</xdr:col>
          <xdr:colOff>0</xdr:colOff>
          <xdr:row>7</xdr:row>
          <xdr:rowOff>0</xdr:rowOff>
        </xdr:to>
        <xdr:sp macro="" textlink="">
          <xdr:nvSpPr>
            <xdr:cNvPr id="3073" name="Spinner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7</xdr:row>
          <xdr:rowOff>0</xdr:rowOff>
        </xdr:from>
        <xdr:to>
          <xdr:col>2</xdr:col>
          <xdr:colOff>0</xdr:colOff>
          <xdr:row>7</xdr:row>
          <xdr:rowOff>0</xdr:rowOff>
        </xdr:to>
        <xdr:sp macro="" textlink="">
          <xdr:nvSpPr>
            <xdr:cNvPr id="3074" name="Spinner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38100</xdr:colOff>
      <xdr:row>0</xdr:row>
      <xdr:rowOff>9525</xdr:rowOff>
    </xdr:from>
    <xdr:to>
      <xdr:col>1</xdr:col>
      <xdr:colOff>883767</xdr:colOff>
      <xdr:row>2</xdr:row>
      <xdr:rowOff>0</xdr:rowOff>
    </xdr:to>
    <xdr:pic>
      <xdr:nvPicPr>
        <xdr:cNvPr id="2" name="Imagen 1">
          <a:extLst>
            <a:ext uri="{FF2B5EF4-FFF2-40B4-BE49-F238E27FC236}">
              <a16:creationId xmlns:a16="http://schemas.microsoft.com/office/drawing/2014/main" id="{842CCAE0-C4F7-49E9-8DAC-B17B6DEDB75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438150" y="9525"/>
          <a:ext cx="845667" cy="590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219075</xdr:colOff>
      <xdr:row>1</xdr:row>
      <xdr:rowOff>47625</xdr:rowOff>
    </xdr:from>
    <xdr:to>
      <xdr:col>1</xdr:col>
      <xdr:colOff>1064742</xdr:colOff>
      <xdr:row>3</xdr:row>
      <xdr:rowOff>104775</xdr:rowOff>
    </xdr:to>
    <xdr:pic>
      <xdr:nvPicPr>
        <xdr:cNvPr id="2" name="Imagen 1">
          <a:extLst>
            <a:ext uri="{FF2B5EF4-FFF2-40B4-BE49-F238E27FC236}">
              <a16:creationId xmlns:a16="http://schemas.microsoft.com/office/drawing/2014/main" id="{23A20D5D-756B-441C-A5E1-FC2B2547C5A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485775" y="47625"/>
          <a:ext cx="845667" cy="5905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47625</xdr:colOff>
      <xdr:row>1</xdr:row>
      <xdr:rowOff>57150</xdr:rowOff>
    </xdr:from>
    <xdr:to>
      <xdr:col>1</xdr:col>
      <xdr:colOff>893292</xdr:colOff>
      <xdr:row>3</xdr:row>
      <xdr:rowOff>190500</xdr:rowOff>
    </xdr:to>
    <xdr:pic>
      <xdr:nvPicPr>
        <xdr:cNvPr id="2" name="Imagen 1">
          <a:extLst>
            <a:ext uri="{FF2B5EF4-FFF2-40B4-BE49-F238E27FC236}">
              <a16:creationId xmlns:a16="http://schemas.microsoft.com/office/drawing/2014/main" id="{ADD3D65F-5126-49E0-B2F1-CAF98179CCE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809625" y="247650"/>
          <a:ext cx="845667" cy="5905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161925</xdr:colOff>
      <xdr:row>0</xdr:row>
      <xdr:rowOff>47625</xdr:rowOff>
    </xdr:from>
    <xdr:to>
      <xdr:col>1</xdr:col>
      <xdr:colOff>1007592</xdr:colOff>
      <xdr:row>2</xdr:row>
      <xdr:rowOff>104775</xdr:rowOff>
    </xdr:to>
    <xdr:pic>
      <xdr:nvPicPr>
        <xdr:cNvPr id="2" name="Imagen 1">
          <a:extLst>
            <a:ext uri="{FF2B5EF4-FFF2-40B4-BE49-F238E27FC236}">
              <a16:creationId xmlns:a16="http://schemas.microsoft.com/office/drawing/2014/main" id="{221DBBF6-3172-4404-90CD-7120F08D9C3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295275" y="47625"/>
          <a:ext cx="845667" cy="5905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1</xdr:row>
      <xdr:rowOff>0</xdr:rowOff>
    </xdr:from>
    <xdr:to>
      <xdr:col>1</xdr:col>
      <xdr:colOff>781050</xdr:colOff>
      <xdr:row>3</xdr:row>
      <xdr:rowOff>33950</xdr:rowOff>
    </xdr:to>
    <xdr:pic>
      <xdr:nvPicPr>
        <xdr:cNvPr id="2" name="Imagen 1">
          <a:extLst>
            <a:ext uri="{FF2B5EF4-FFF2-40B4-BE49-F238E27FC236}">
              <a16:creationId xmlns:a16="http://schemas.microsoft.com/office/drawing/2014/main" id="{64C5D931-68E3-4474-8E3C-7E805B7F143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171450" y="190500"/>
          <a:ext cx="771525" cy="5387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95250</xdr:colOff>
      <xdr:row>0</xdr:row>
      <xdr:rowOff>104775</xdr:rowOff>
    </xdr:from>
    <xdr:to>
      <xdr:col>1</xdr:col>
      <xdr:colOff>1247775</xdr:colOff>
      <xdr:row>3</xdr:row>
      <xdr:rowOff>109512</xdr:rowOff>
    </xdr:to>
    <xdr:pic>
      <xdr:nvPicPr>
        <xdr:cNvPr id="2" name="Imagen 1">
          <a:extLst>
            <a:ext uri="{FF2B5EF4-FFF2-40B4-BE49-F238E27FC236}">
              <a16:creationId xmlns:a16="http://schemas.microsoft.com/office/drawing/2014/main" id="{E2A3FD16-895C-4784-8520-5E1BCDE051D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457200" y="104775"/>
          <a:ext cx="1152525" cy="80483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123826</xdr:colOff>
      <xdr:row>0</xdr:row>
      <xdr:rowOff>123825</xdr:rowOff>
    </xdr:from>
    <xdr:to>
      <xdr:col>2</xdr:col>
      <xdr:colOff>2896</xdr:colOff>
      <xdr:row>1</xdr:row>
      <xdr:rowOff>171450</xdr:rowOff>
    </xdr:to>
    <xdr:pic>
      <xdr:nvPicPr>
        <xdr:cNvPr id="2" name="Imagen 1">
          <a:extLst>
            <a:ext uri="{FF2B5EF4-FFF2-40B4-BE49-F238E27FC236}">
              <a16:creationId xmlns:a16="http://schemas.microsoft.com/office/drawing/2014/main" id="{CBE46124-3ABC-4CBD-90F0-2E55F44A81A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885826" y="123825"/>
          <a:ext cx="641070" cy="4476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rtlCol="0" anchor="ctr" upright="1"/>
      <a:lstStyle>
        <a:defPPr algn="ctr">
          <a:defRPr sz="1100"/>
        </a:defPPr>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8"/>
  <sheetViews>
    <sheetView showGridLines="0" zoomScale="81" zoomScaleNormal="81" workbookViewId="0">
      <selection activeCell="B1" sqref="B1:I1"/>
    </sheetView>
  </sheetViews>
  <sheetFormatPr baseColWidth="10" defaultRowHeight="15" x14ac:dyDescent="0.25"/>
  <cols>
    <col min="1" max="1" width="5.42578125" customWidth="1"/>
    <col min="2" max="2" width="30.7109375" customWidth="1"/>
    <col min="3" max="3" width="13.42578125" bestFit="1" customWidth="1"/>
    <col min="4" max="4" width="11" bestFit="1" customWidth="1"/>
    <col min="5" max="5" width="18.42578125" bestFit="1" customWidth="1"/>
    <col min="6" max="6" width="19.7109375" customWidth="1"/>
    <col min="7" max="8" width="19.42578125" customWidth="1"/>
    <col min="9" max="9" width="19.7109375" customWidth="1"/>
    <col min="10" max="10" width="14.7109375" bestFit="1" customWidth="1"/>
  </cols>
  <sheetData>
    <row r="1" spans="2:13" s="227" customFormat="1" ht="47.25" customHeight="1" x14ac:dyDescent="0.25">
      <c r="B1" s="226" t="s">
        <v>172</v>
      </c>
      <c r="C1" s="226"/>
      <c r="D1" s="226"/>
      <c r="E1" s="226"/>
      <c r="F1" s="226"/>
      <c r="G1" s="226"/>
      <c r="H1" s="226"/>
      <c r="I1" s="226"/>
    </row>
    <row r="2" spans="2:13" s="227" customFormat="1" ht="47.25" customHeight="1" x14ac:dyDescent="0.25">
      <c r="B2" s="228" t="s">
        <v>39</v>
      </c>
      <c r="C2" s="228"/>
      <c r="D2" s="228"/>
      <c r="E2" s="228"/>
      <c r="F2" s="228"/>
      <c r="G2" s="228"/>
      <c r="H2" s="228"/>
      <c r="I2" s="228"/>
    </row>
    <row r="3" spans="2:13" s="1" customFormat="1" ht="31.5" x14ac:dyDescent="0.25">
      <c r="B3" s="124" t="s">
        <v>0</v>
      </c>
      <c r="C3" s="124" t="s">
        <v>1</v>
      </c>
      <c r="D3" s="124" t="s">
        <v>2</v>
      </c>
      <c r="E3" s="125" t="s">
        <v>3</v>
      </c>
      <c r="F3" s="124" t="s">
        <v>4</v>
      </c>
      <c r="G3" s="124" t="s">
        <v>155</v>
      </c>
      <c r="H3" s="124" t="s">
        <v>210</v>
      </c>
      <c r="I3" s="124" t="s">
        <v>5</v>
      </c>
    </row>
    <row r="4" spans="2:13" x14ac:dyDescent="0.25">
      <c r="B4" s="126" t="s">
        <v>6</v>
      </c>
      <c r="C4" s="126"/>
      <c r="D4" s="126"/>
      <c r="E4" s="127"/>
      <c r="F4" s="127"/>
      <c r="G4" s="127"/>
      <c r="H4" s="127"/>
      <c r="I4" s="127"/>
    </row>
    <row r="5" spans="2:13" ht="20.25" customHeight="1" x14ac:dyDescent="0.25">
      <c r="B5" s="102" t="s">
        <v>173</v>
      </c>
      <c r="C5" s="15" t="s">
        <v>176</v>
      </c>
      <c r="D5" s="15">
        <v>3</v>
      </c>
      <c r="E5" s="16">
        <v>1690</v>
      </c>
      <c r="F5" s="6">
        <f>E5*D5</f>
        <v>5070</v>
      </c>
      <c r="G5" s="6">
        <f>+F5</f>
        <v>5070</v>
      </c>
      <c r="H5" s="6"/>
      <c r="I5" s="6">
        <f>SUM(G5:H5)</f>
        <v>5070</v>
      </c>
    </row>
    <row r="6" spans="2:13" ht="20.25" customHeight="1" x14ac:dyDescent="0.25">
      <c r="B6" s="21" t="s">
        <v>175</v>
      </c>
      <c r="C6" s="100" t="s">
        <v>176</v>
      </c>
      <c r="D6" s="100">
        <v>5</v>
      </c>
      <c r="E6" s="101">
        <v>20629</v>
      </c>
      <c r="F6" s="6">
        <f t="shared" ref="F6:F7" si="0">E6*D6</f>
        <v>103145</v>
      </c>
      <c r="G6" s="6">
        <f>+F6</f>
        <v>103145</v>
      </c>
      <c r="H6" s="6"/>
      <c r="I6" s="6">
        <f t="shared" ref="I6:I9" si="1">SUM(G6:H6)</f>
        <v>103145</v>
      </c>
      <c r="M6" s="122"/>
    </row>
    <row r="7" spans="2:13" ht="20.25" customHeight="1" x14ac:dyDescent="0.25">
      <c r="B7" s="21" t="s">
        <v>177</v>
      </c>
      <c r="C7" s="100" t="s">
        <v>176</v>
      </c>
      <c r="D7" s="100">
        <v>6</v>
      </c>
      <c r="E7" s="101">
        <v>1559</v>
      </c>
      <c r="F7" s="6">
        <f t="shared" si="0"/>
        <v>9354</v>
      </c>
      <c r="G7" s="6">
        <f>+F7</f>
        <v>9354</v>
      </c>
      <c r="H7" s="6"/>
      <c r="I7" s="6">
        <f t="shared" si="1"/>
        <v>9354</v>
      </c>
    </row>
    <row r="8" spans="2:13" ht="20.25" customHeight="1" x14ac:dyDescent="0.25">
      <c r="B8" s="21" t="s">
        <v>178</v>
      </c>
      <c r="C8" s="100" t="s">
        <v>196</v>
      </c>
      <c r="D8" s="100">
        <v>3</v>
      </c>
      <c r="E8" s="101">
        <v>30620</v>
      </c>
      <c r="F8" s="6">
        <f>+E8*D8</f>
        <v>91860</v>
      </c>
      <c r="G8" s="6">
        <f>+F8</f>
        <v>91860</v>
      </c>
      <c r="H8" s="6"/>
      <c r="I8" s="6">
        <f>+G8</f>
        <v>91860</v>
      </c>
    </row>
    <row r="9" spans="2:13" ht="20.25" customHeight="1" x14ac:dyDescent="0.25">
      <c r="B9" s="21"/>
      <c r="C9" s="100"/>
      <c r="D9" s="100"/>
      <c r="E9" s="101"/>
      <c r="F9" s="6"/>
      <c r="G9" s="6"/>
      <c r="H9" s="6"/>
      <c r="I9" s="6">
        <f t="shared" si="1"/>
        <v>0</v>
      </c>
    </row>
    <row r="10" spans="2:13" s="30" customFormat="1" ht="20.25" customHeight="1" x14ac:dyDescent="0.25">
      <c r="B10" s="130" t="s">
        <v>40</v>
      </c>
      <c r="C10" s="131"/>
      <c r="D10" s="131"/>
      <c r="E10" s="132">
        <f>SUM(E5:E9)</f>
        <v>54498</v>
      </c>
      <c r="F10" s="127">
        <f>SUM(F5:F9)</f>
        <v>209429</v>
      </c>
      <c r="G10" s="127">
        <f>SUM(G5:G9)</f>
        <v>209429</v>
      </c>
      <c r="H10" s="127">
        <f>SUM(H5:H9)</f>
        <v>0</v>
      </c>
      <c r="I10" s="127">
        <f>SUM(I5:I9)</f>
        <v>209429</v>
      </c>
    </row>
    <row r="11" spans="2:13" ht="20.25" customHeight="1" x14ac:dyDescent="0.25">
      <c r="B11" s="3"/>
      <c r="C11" s="4"/>
      <c r="D11" s="4"/>
      <c r="E11" s="5"/>
      <c r="F11" s="6"/>
      <c r="G11" s="6"/>
      <c r="H11" s="6"/>
      <c r="I11" s="6"/>
    </row>
    <row r="12" spans="2:13" s="30" customFormat="1" x14ac:dyDescent="0.25">
      <c r="B12" s="128" t="s">
        <v>199</v>
      </c>
      <c r="C12" s="126"/>
      <c r="D12" s="126"/>
      <c r="E12" s="127"/>
      <c r="F12" s="127"/>
      <c r="G12" s="129"/>
      <c r="H12" s="129"/>
      <c r="I12" s="127"/>
    </row>
    <row r="13" spans="2:13" ht="20.25" customHeight="1" x14ac:dyDescent="0.25">
      <c r="B13" s="3" t="s">
        <v>174</v>
      </c>
      <c r="C13" s="4"/>
      <c r="D13" s="4">
        <v>1</v>
      </c>
      <c r="E13" s="5">
        <v>5000</v>
      </c>
      <c r="F13" s="6">
        <f>E13*D13</f>
        <v>5000</v>
      </c>
      <c r="G13" s="6"/>
      <c r="H13" s="6">
        <f>+F13</f>
        <v>5000</v>
      </c>
      <c r="I13" s="6">
        <f>SUM(G13:H13)</f>
        <v>5000</v>
      </c>
    </row>
    <row r="14" spans="2:13" ht="20.25" customHeight="1" x14ac:dyDescent="0.25">
      <c r="B14" s="3" t="s">
        <v>186</v>
      </c>
      <c r="C14" s="4"/>
      <c r="D14" s="4">
        <v>1</v>
      </c>
      <c r="E14" s="5">
        <v>10000</v>
      </c>
      <c r="F14" s="6">
        <f>+E14</f>
        <v>10000</v>
      </c>
      <c r="G14" s="6"/>
      <c r="H14" s="6">
        <f>+F14</f>
        <v>10000</v>
      </c>
      <c r="I14" s="6">
        <f t="shared" ref="I14:I22" si="2">SUM(G14:H14)</f>
        <v>10000</v>
      </c>
    </row>
    <row r="15" spans="2:13" ht="20.25" customHeight="1" x14ac:dyDescent="0.25">
      <c r="B15" s="3" t="s">
        <v>211</v>
      </c>
      <c r="C15" s="4"/>
      <c r="D15" s="4">
        <v>1</v>
      </c>
      <c r="E15" s="5">
        <f>+'MEMORIAS DE CALCULO'!E19</f>
        <v>12000</v>
      </c>
      <c r="F15" s="6">
        <f>+'PROYECCION DE COSTOS'!D11</f>
        <v>12000</v>
      </c>
      <c r="G15" s="6"/>
      <c r="H15" s="6">
        <f>+F15</f>
        <v>12000</v>
      </c>
      <c r="I15" s="6">
        <f t="shared" si="2"/>
        <v>12000</v>
      </c>
    </row>
    <row r="16" spans="2:13" ht="20.25" customHeight="1" x14ac:dyDescent="0.25">
      <c r="B16" s="3"/>
      <c r="C16" s="4"/>
      <c r="D16" s="4"/>
      <c r="E16" s="5"/>
      <c r="F16" s="6"/>
      <c r="G16" s="6">
        <f>F16</f>
        <v>0</v>
      </c>
      <c r="H16" s="6"/>
      <c r="I16" s="6">
        <f t="shared" si="2"/>
        <v>0</v>
      </c>
    </row>
    <row r="17" spans="2:10" ht="20.25" customHeight="1" x14ac:dyDescent="0.25">
      <c r="B17" s="130" t="s">
        <v>40</v>
      </c>
      <c r="C17" s="131"/>
      <c r="D17" s="131"/>
      <c r="E17" s="132"/>
      <c r="F17" s="127">
        <f>SUM(F13:F16)</f>
        <v>27000</v>
      </c>
      <c r="G17" s="127">
        <f>SUM(G13:G16)</f>
        <v>0</v>
      </c>
      <c r="H17" s="127">
        <f>SUM(H13:H16)</f>
        <v>27000</v>
      </c>
      <c r="I17" s="127">
        <f>SUM(I13:I16)</f>
        <v>27000</v>
      </c>
    </row>
    <row r="18" spans="2:10" ht="20.25" customHeight="1" x14ac:dyDescent="0.25">
      <c r="B18" s="3"/>
      <c r="C18" s="4"/>
      <c r="D18" s="4"/>
      <c r="E18" s="5"/>
      <c r="F18" s="6"/>
      <c r="G18" s="6"/>
      <c r="H18" s="6"/>
      <c r="I18" s="6">
        <f t="shared" si="2"/>
        <v>0</v>
      </c>
    </row>
    <row r="19" spans="2:10" x14ac:dyDescent="0.25">
      <c r="B19" s="128" t="s">
        <v>7</v>
      </c>
      <c r="C19" s="126"/>
      <c r="D19" s="126"/>
      <c r="E19" s="127"/>
      <c r="F19" s="127"/>
      <c r="G19" s="129"/>
      <c r="H19" s="129"/>
      <c r="I19" s="127"/>
    </row>
    <row r="20" spans="2:10" ht="20.25" customHeight="1" x14ac:dyDescent="0.25">
      <c r="B20" s="3" t="s">
        <v>188</v>
      </c>
      <c r="C20" s="4"/>
      <c r="D20" s="4"/>
      <c r="E20" s="5">
        <f>+'PROYECCION DE COSTOS'!D7</f>
        <v>853200</v>
      </c>
      <c r="F20" s="6">
        <f>+'PROYECCION DE COSTOS'!D7</f>
        <v>853200</v>
      </c>
      <c r="G20" s="6">
        <f>+F20</f>
        <v>853200</v>
      </c>
      <c r="H20" s="6"/>
      <c r="I20" s="6">
        <f>SUM(G20:H20)</f>
        <v>853200</v>
      </c>
    </row>
    <row r="21" spans="2:10" ht="20.25" customHeight="1" x14ac:dyDescent="0.25">
      <c r="B21" s="3" t="s">
        <v>184</v>
      </c>
      <c r="C21" s="4"/>
      <c r="D21" s="4"/>
      <c r="E21" s="5">
        <f>+'PROYECCION DE COSTOS'!D8+'PROYECCION DE COSTOS'!D9+'PROYECCION DE COSTOS'!D10</f>
        <v>85680</v>
      </c>
      <c r="F21" s="6">
        <f>+'PROYECCION DE COSTOS'!D8+'PROYECCION DE COSTOS'!D9+'PROYECCION DE COSTOS'!D10</f>
        <v>85680</v>
      </c>
      <c r="G21" s="6">
        <f>+F21</f>
        <v>85680</v>
      </c>
      <c r="H21" s="6"/>
      <c r="I21" s="6">
        <f t="shared" si="2"/>
        <v>85680</v>
      </c>
    </row>
    <row r="22" spans="2:10" ht="20.25" customHeight="1" x14ac:dyDescent="0.25">
      <c r="B22" s="3"/>
      <c r="C22" s="4"/>
      <c r="D22" s="4"/>
      <c r="E22" s="5"/>
      <c r="F22" s="6">
        <f t="shared" ref="F22" si="3">E22*D22</f>
        <v>0</v>
      </c>
      <c r="G22" s="6"/>
      <c r="H22" s="6">
        <f>F22</f>
        <v>0</v>
      </c>
      <c r="I22" s="6">
        <f t="shared" si="2"/>
        <v>0</v>
      </c>
    </row>
    <row r="23" spans="2:10" ht="20.25" customHeight="1" x14ac:dyDescent="0.25">
      <c r="B23" s="130" t="s">
        <v>40</v>
      </c>
      <c r="C23" s="131"/>
      <c r="D23" s="131"/>
      <c r="E23" s="132"/>
      <c r="F23" s="127">
        <f>SUM(F20:F22)</f>
        <v>938880</v>
      </c>
      <c r="G23" s="127">
        <f>SUM(G20:G22)</f>
        <v>938880</v>
      </c>
      <c r="H23" s="127">
        <f>SUM(H20:H22)</f>
        <v>0</v>
      </c>
      <c r="I23" s="127">
        <f>SUM(I20:I22)</f>
        <v>938880</v>
      </c>
    </row>
    <row r="24" spans="2:10" ht="20.25" customHeight="1" x14ac:dyDescent="0.25">
      <c r="B24" s="3"/>
      <c r="C24" s="4"/>
      <c r="D24" s="4"/>
      <c r="E24" s="5"/>
      <c r="F24" s="6"/>
      <c r="G24" s="6"/>
      <c r="H24" s="6"/>
      <c r="I24" s="6"/>
    </row>
    <row r="25" spans="2:10" ht="24.75" customHeight="1" x14ac:dyDescent="0.25">
      <c r="B25" s="126" t="s">
        <v>5</v>
      </c>
      <c r="C25" s="126"/>
      <c r="D25" s="126"/>
      <c r="E25" s="127"/>
      <c r="F25" s="127">
        <f>SUM(F23+F17+F10)</f>
        <v>1175309</v>
      </c>
      <c r="G25" s="127">
        <f>SUM(G23+G17+G10)</f>
        <v>1148309</v>
      </c>
      <c r="H25" s="127">
        <f>SUM(H23+H17+H10)</f>
        <v>27000</v>
      </c>
      <c r="I25" s="127">
        <f>SUM(I23+I17+I10)</f>
        <v>1175309</v>
      </c>
      <c r="J25" s="170"/>
    </row>
    <row r="27" spans="2:10" x14ac:dyDescent="0.25">
      <c r="B27" t="s">
        <v>156</v>
      </c>
    </row>
    <row r="28" spans="2:10" x14ac:dyDescent="0.25">
      <c r="B28" t="s">
        <v>157</v>
      </c>
    </row>
  </sheetData>
  <sheetProtection selectLockedCells="1" selectUnlockedCells="1"/>
  <mergeCells count="2">
    <mergeCell ref="B1:I1"/>
    <mergeCell ref="B2:I2"/>
  </mergeCells>
  <phoneticPr fontId="0" type="noConversion"/>
  <pageMargins left="0.7" right="0.7" top="0.75" bottom="0.75" header="0.3" footer="0.3"/>
  <pageSetup paperSize="9" scale="80" orientation="landscape" verticalDpi="300" r:id="rId1"/>
  <ignoredErrors>
    <ignoredError sqref="F8 I8" formula="1"/>
  </ignoredError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H16"/>
  <sheetViews>
    <sheetView showGridLines="0" workbookViewId="0">
      <selection activeCell="B2" sqref="B2:H2"/>
    </sheetView>
  </sheetViews>
  <sheetFormatPr baseColWidth="10" defaultRowHeight="15" x14ac:dyDescent="0.25"/>
  <cols>
    <col min="2" max="2" width="53.140625" customWidth="1"/>
    <col min="4" max="4" width="12.5703125" bestFit="1" customWidth="1"/>
    <col min="6" max="6" width="15" customWidth="1"/>
    <col min="7" max="7" width="18.5703125" customWidth="1"/>
  </cols>
  <sheetData>
    <row r="1" spans="2:8" ht="26.25" x14ac:dyDescent="0.4">
      <c r="B1" s="217" t="str">
        <f>Inversiones!B1</f>
        <v>NEMIZA</v>
      </c>
      <c r="C1" s="217"/>
      <c r="D1" s="217"/>
      <c r="E1" s="217"/>
      <c r="F1" s="217"/>
      <c r="G1" s="217"/>
      <c r="H1" s="217"/>
    </row>
    <row r="2" spans="2:8" ht="21" x14ac:dyDescent="0.35">
      <c r="B2" s="218" t="s">
        <v>94</v>
      </c>
      <c r="C2" s="218"/>
      <c r="D2" s="218"/>
      <c r="E2" s="218"/>
      <c r="F2" s="218"/>
      <c r="G2" s="218"/>
      <c r="H2" s="218"/>
    </row>
    <row r="4" spans="2:8" ht="30" x14ac:dyDescent="0.25">
      <c r="B4" s="137" t="s">
        <v>95</v>
      </c>
      <c r="C4" s="138" t="s">
        <v>96</v>
      </c>
      <c r="D4" s="137" t="s">
        <v>97</v>
      </c>
      <c r="E4" s="137" t="s">
        <v>98</v>
      </c>
      <c r="F4" s="137" t="s">
        <v>99</v>
      </c>
      <c r="G4" s="137" t="s">
        <v>100</v>
      </c>
      <c r="H4" s="137" t="s">
        <v>101</v>
      </c>
    </row>
    <row r="5" spans="2:8" x14ac:dyDescent="0.25">
      <c r="B5" s="69" t="s">
        <v>102</v>
      </c>
      <c r="C5" s="18"/>
      <c r="D5" s="18"/>
      <c r="E5" s="18"/>
      <c r="F5" s="18"/>
      <c r="G5" s="18"/>
      <c r="H5" s="18"/>
    </row>
    <row r="6" spans="2:8" x14ac:dyDescent="0.25">
      <c r="B6" s="18" t="str">
        <f>Inversiones!B5</f>
        <v>Escritorio</v>
      </c>
      <c r="C6" s="18"/>
      <c r="D6" s="19">
        <f>Inversiones!F5</f>
        <v>5070</v>
      </c>
      <c r="E6" s="70">
        <v>10</v>
      </c>
      <c r="F6" s="37">
        <f>D6/E6</f>
        <v>507</v>
      </c>
      <c r="G6" s="37">
        <f>F6*5</f>
        <v>2535</v>
      </c>
      <c r="H6" s="37">
        <f>D6-G6</f>
        <v>2535</v>
      </c>
    </row>
    <row r="7" spans="2:8" x14ac:dyDescent="0.25">
      <c r="B7" s="18" t="str">
        <f>Inversiones!B6</f>
        <v>Computadora</v>
      </c>
      <c r="C7" s="18"/>
      <c r="D7" s="19">
        <f>Inversiones!F6</f>
        <v>103145</v>
      </c>
      <c r="E7" s="70">
        <v>5</v>
      </c>
      <c r="F7" s="37">
        <f t="shared" ref="F7:F9" si="0">D7/E7</f>
        <v>20629</v>
      </c>
      <c r="G7" s="37">
        <f t="shared" ref="G7:G9" si="1">F7*5</f>
        <v>103145</v>
      </c>
      <c r="H7" s="37">
        <f t="shared" ref="H7:H9" si="2">D7-G7</f>
        <v>0</v>
      </c>
    </row>
    <row r="8" spans="2:8" x14ac:dyDescent="0.25">
      <c r="B8" s="18" t="str">
        <f>Inversiones!B7</f>
        <v xml:space="preserve">Silla </v>
      </c>
      <c r="C8" s="18"/>
      <c r="D8" s="19">
        <f>Inversiones!F7</f>
        <v>9354</v>
      </c>
      <c r="E8" s="70">
        <v>8</v>
      </c>
      <c r="F8" s="37">
        <f t="shared" si="0"/>
        <v>1169.25</v>
      </c>
      <c r="G8" s="37">
        <f t="shared" si="1"/>
        <v>5846.25</v>
      </c>
      <c r="H8" s="37">
        <f t="shared" si="2"/>
        <v>3507.75</v>
      </c>
    </row>
    <row r="9" spans="2:8" x14ac:dyDescent="0.25">
      <c r="B9" s="18" t="str">
        <f>Inversiones!B8</f>
        <v>Servidores</v>
      </c>
      <c r="C9" s="18"/>
      <c r="D9" s="19">
        <f>Inversiones!F8</f>
        <v>91860</v>
      </c>
      <c r="E9" s="70">
        <v>7</v>
      </c>
      <c r="F9" s="37">
        <f t="shared" si="0"/>
        <v>13122.857142857143</v>
      </c>
      <c r="G9" s="37">
        <f t="shared" si="1"/>
        <v>65614.28571428571</v>
      </c>
      <c r="H9" s="37">
        <f t="shared" si="2"/>
        <v>26245.71428571429</v>
      </c>
    </row>
    <row r="10" spans="2:8" x14ac:dyDescent="0.25">
      <c r="B10" s="18"/>
      <c r="C10" s="18"/>
      <c r="D10" s="19"/>
      <c r="E10" s="70"/>
      <c r="F10" s="37"/>
      <c r="G10" s="37"/>
      <c r="H10" s="37"/>
    </row>
    <row r="11" spans="2:8" x14ac:dyDescent="0.25">
      <c r="B11" s="18"/>
      <c r="C11" s="18"/>
      <c r="D11" s="19"/>
      <c r="E11" s="70"/>
      <c r="F11" s="37"/>
      <c r="G11" s="37"/>
      <c r="H11" s="37"/>
    </row>
    <row r="12" spans="2:8" x14ac:dyDescent="0.25">
      <c r="B12" s="18"/>
      <c r="C12" s="71"/>
      <c r="D12" s="37"/>
      <c r="E12" s="72"/>
      <c r="F12" s="37"/>
      <c r="G12" s="37"/>
      <c r="H12" s="37"/>
    </row>
    <row r="13" spans="2:8" x14ac:dyDescent="0.25">
      <c r="B13" s="134" t="s">
        <v>103</v>
      </c>
      <c r="C13" s="149"/>
      <c r="D13" s="160">
        <f>SUM(D6:D12)</f>
        <v>209429</v>
      </c>
      <c r="E13" s="160"/>
      <c r="F13" s="160">
        <f>SUM(F6:F12)</f>
        <v>35428.107142857145</v>
      </c>
      <c r="G13" s="160">
        <f>SUM(G6:G12)</f>
        <v>177140.53571428571</v>
      </c>
      <c r="H13" s="160">
        <f>SUM(H6:H12)</f>
        <v>32288.46428571429</v>
      </c>
    </row>
    <row r="14" spans="2:8" x14ac:dyDescent="0.25">
      <c r="B14" s="134" t="s">
        <v>104</v>
      </c>
      <c r="C14" s="149"/>
      <c r="D14" s="160">
        <f>D13</f>
        <v>209429</v>
      </c>
      <c r="E14" s="150"/>
      <c r="F14" s="160">
        <f>F13</f>
        <v>35428.107142857145</v>
      </c>
      <c r="G14" s="160">
        <f>G13</f>
        <v>177140.53571428571</v>
      </c>
      <c r="H14" s="160">
        <f>H13</f>
        <v>32288.46428571429</v>
      </c>
    </row>
    <row r="16" spans="2:8" x14ac:dyDescent="0.25">
      <c r="B16" s="30"/>
    </row>
  </sheetData>
  <mergeCells count="2">
    <mergeCell ref="B1:H1"/>
    <mergeCell ref="B2:H2"/>
  </mergeCell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H15"/>
  <sheetViews>
    <sheetView showGridLines="0" workbookViewId="0">
      <selection activeCell="H16" sqref="H16"/>
    </sheetView>
  </sheetViews>
  <sheetFormatPr baseColWidth="10" defaultColWidth="13.5703125" defaultRowHeight="15" x14ac:dyDescent="0.25"/>
  <sheetData>
    <row r="1" spans="2:8" x14ac:dyDescent="0.25">
      <c r="B1" s="73"/>
      <c r="C1" s="74"/>
      <c r="D1" s="75"/>
      <c r="E1" s="76"/>
    </row>
    <row r="2" spans="2:8" x14ac:dyDescent="0.25">
      <c r="B2" s="77"/>
      <c r="C2" s="78"/>
    </row>
    <row r="3" spans="2:8" ht="18.75" x14ac:dyDescent="0.25">
      <c r="B3" s="219" t="s">
        <v>105</v>
      </c>
      <c r="C3" s="220"/>
      <c r="D3" s="220"/>
      <c r="E3" s="220"/>
      <c r="F3" s="220"/>
      <c r="G3" s="220"/>
      <c r="H3" s="220"/>
    </row>
    <row r="4" spans="2:8" x14ac:dyDescent="0.25">
      <c r="B4" s="79"/>
      <c r="C4" s="79"/>
      <c r="D4" s="79"/>
      <c r="E4" s="79"/>
      <c r="F4" s="79"/>
      <c r="G4" s="79"/>
      <c r="H4" s="79"/>
    </row>
    <row r="5" spans="2:8" x14ac:dyDescent="0.25">
      <c r="B5" s="233"/>
      <c r="C5" s="234">
        <v>0</v>
      </c>
      <c r="D5" s="234">
        <v>1</v>
      </c>
      <c r="E5" s="234">
        <v>2</v>
      </c>
      <c r="F5" s="234">
        <v>3</v>
      </c>
      <c r="G5" s="234">
        <v>4</v>
      </c>
      <c r="H5" s="234">
        <v>5</v>
      </c>
    </row>
    <row r="6" spans="2:8" x14ac:dyDescent="0.25">
      <c r="B6" s="233" t="s">
        <v>106</v>
      </c>
      <c r="C6" s="84">
        <f>RENTABILIDAD!H21</f>
        <v>-1175309</v>
      </c>
      <c r="D6" s="84">
        <f>RENTABILIDAD!H22</f>
        <v>315446.72727272729</v>
      </c>
      <c r="E6" s="84">
        <f>RENTABILIDAD!H23</f>
        <v>367595.04132231418</v>
      </c>
      <c r="F6" s="84">
        <f>RENTABILIDAD!H24</f>
        <v>595891.07486100681</v>
      </c>
      <c r="G6" s="84">
        <f>RENTABILIDAD!H25</f>
        <v>803279.47848480335</v>
      </c>
      <c r="H6" s="84">
        <f>RENTABILIDAD!H26</f>
        <v>1588600.8846747978</v>
      </c>
    </row>
    <row r="7" spans="2:8" x14ac:dyDescent="0.25">
      <c r="B7" s="233" t="s">
        <v>107</v>
      </c>
      <c r="C7" s="80">
        <f>+C6</f>
        <v>-1175309</v>
      </c>
      <c r="D7" s="80">
        <f>+D6+C7</f>
        <v>-859862.27272727271</v>
      </c>
      <c r="E7" s="80">
        <f>+E6+D7</f>
        <v>-492267.23140495853</v>
      </c>
      <c r="F7" s="81">
        <f>+F6+E7</f>
        <v>103623.84345604829</v>
      </c>
      <c r="G7" s="81">
        <f>+G6+F7</f>
        <v>906903.32194085163</v>
      </c>
      <c r="H7" s="81">
        <f>+H6+G7</f>
        <v>2495504.2066156492</v>
      </c>
    </row>
    <row r="10" spans="2:8" x14ac:dyDescent="0.25">
      <c r="E10" t="s">
        <v>108</v>
      </c>
    </row>
    <row r="11" spans="2:8" x14ac:dyDescent="0.25">
      <c r="E11" t="s">
        <v>109</v>
      </c>
    </row>
    <row r="12" spans="2:8" ht="15.75" thickBot="1" x14ac:dyDescent="0.3">
      <c r="E12" s="82"/>
      <c r="F12" s="82"/>
    </row>
    <row r="13" spans="2:8" ht="15.75" thickBot="1" x14ac:dyDescent="0.3">
      <c r="E13" s="237" t="s">
        <v>110</v>
      </c>
      <c r="F13" s="238"/>
    </row>
    <row r="14" spans="2:8" ht="15.75" thickBot="1" x14ac:dyDescent="0.3">
      <c r="E14" s="235">
        <v>3</v>
      </c>
      <c r="F14" s="238" t="s">
        <v>111</v>
      </c>
      <c r="G14" s="83" t="str">
        <f>IF(E14&lt;H5,"SE ACEPTA","SE RECHAZA")</f>
        <v>SE ACEPTA</v>
      </c>
    </row>
    <row r="15" spans="2:8" ht="15.75" thickBot="1" x14ac:dyDescent="0.3">
      <c r="E15" s="236"/>
      <c r="F15" s="238"/>
    </row>
  </sheetData>
  <mergeCells count="1">
    <mergeCell ref="B3:H3"/>
  </mergeCells>
  <conditionalFormatting sqref="C7:H7">
    <cfRule type="cellIs" dxfId="1" priority="1" stopIfTrue="1" operator="greaterThan">
      <formula>0</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O20"/>
  <sheetViews>
    <sheetView showGridLines="0" workbookViewId="0">
      <selection activeCell="B3" sqref="B3:O3"/>
    </sheetView>
  </sheetViews>
  <sheetFormatPr baseColWidth="10" defaultRowHeight="15" x14ac:dyDescent="0.25"/>
  <cols>
    <col min="2" max="2" width="17.42578125" bestFit="1" customWidth="1"/>
    <col min="3" max="3" width="12.28515625" bestFit="1" customWidth="1"/>
    <col min="4" max="4" width="12.42578125" bestFit="1" customWidth="1"/>
    <col min="5" max="6" width="13" bestFit="1" customWidth="1"/>
    <col min="7" max="7" width="14" bestFit="1" customWidth="1"/>
    <col min="8" max="8" width="13.7109375" bestFit="1" customWidth="1"/>
    <col min="9" max="9" width="12.7109375" bestFit="1" customWidth="1"/>
    <col min="10" max="10" width="12.42578125" bestFit="1" customWidth="1"/>
    <col min="11" max="11" width="13.28515625" bestFit="1" customWidth="1"/>
    <col min="12" max="12" width="13" bestFit="1" customWidth="1"/>
    <col min="15" max="15" width="12.7109375" bestFit="1" customWidth="1"/>
    <col min="258" max="258" width="17.42578125" bestFit="1" customWidth="1"/>
    <col min="259" max="259" width="12.28515625" bestFit="1" customWidth="1"/>
    <col min="260" max="260" width="12.42578125" bestFit="1" customWidth="1"/>
    <col min="261" max="262" width="13" bestFit="1" customWidth="1"/>
    <col min="263" max="263" width="14" bestFit="1" customWidth="1"/>
    <col min="264" max="264" width="13.7109375" bestFit="1" customWidth="1"/>
    <col min="265" max="265" width="12.7109375" bestFit="1" customWidth="1"/>
    <col min="266" max="266" width="12.42578125" bestFit="1" customWidth="1"/>
    <col min="267" max="267" width="13.28515625" bestFit="1" customWidth="1"/>
    <col min="268" max="268" width="13" bestFit="1" customWidth="1"/>
    <col min="271" max="271" width="12.7109375" bestFit="1" customWidth="1"/>
    <col min="514" max="514" width="17.42578125" bestFit="1" customWidth="1"/>
    <col min="515" max="515" width="12.28515625" bestFit="1" customWidth="1"/>
    <col min="516" max="516" width="12.42578125" bestFit="1" customWidth="1"/>
    <col min="517" max="518" width="13" bestFit="1" customWidth="1"/>
    <col min="519" max="519" width="14" bestFit="1" customWidth="1"/>
    <col min="520" max="520" width="13.7109375" bestFit="1" customWidth="1"/>
    <col min="521" max="521" width="12.7109375" bestFit="1" customWidth="1"/>
    <col min="522" max="522" width="12.42578125" bestFit="1" customWidth="1"/>
    <col min="523" max="523" width="13.28515625" bestFit="1" customWidth="1"/>
    <col min="524" max="524" width="13" bestFit="1" customWidth="1"/>
    <col min="527" max="527" width="12.7109375" bestFit="1" customWidth="1"/>
    <col min="770" max="770" width="17.42578125" bestFit="1" customWidth="1"/>
    <col min="771" max="771" width="12.28515625" bestFit="1" customWidth="1"/>
    <col min="772" max="772" width="12.42578125" bestFit="1" customWidth="1"/>
    <col min="773" max="774" width="13" bestFit="1" customWidth="1"/>
    <col min="775" max="775" width="14" bestFit="1" customWidth="1"/>
    <col min="776" max="776" width="13.7109375" bestFit="1" customWidth="1"/>
    <col min="777" max="777" width="12.7109375" bestFit="1" customWidth="1"/>
    <col min="778" max="778" width="12.42578125" bestFit="1" customWidth="1"/>
    <col min="779" max="779" width="13.28515625" bestFit="1" customWidth="1"/>
    <col min="780" max="780" width="13" bestFit="1" customWidth="1"/>
    <col min="783" max="783" width="12.7109375" bestFit="1" customWidth="1"/>
    <col min="1026" max="1026" width="17.42578125" bestFit="1" customWidth="1"/>
    <col min="1027" max="1027" width="12.28515625" bestFit="1" customWidth="1"/>
    <col min="1028" max="1028" width="12.42578125" bestFit="1" customWidth="1"/>
    <col min="1029" max="1030" width="13" bestFit="1" customWidth="1"/>
    <col min="1031" max="1031" width="14" bestFit="1" customWidth="1"/>
    <col min="1032" max="1032" width="13.7109375" bestFit="1" customWidth="1"/>
    <col min="1033" max="1033" width="12.7109375" bestFit="1" customWidth="1"/>
    <col min="1034" max="1034" width="12.42578125" bestFit="1" customWidth="1"/>
    <col min="1035" max="1035" width="13.28515625" bestFit="1" customWidth="1"/>
    <col min="1036" max="1036" width="13" bestFit="1" customWidth="1"/>
    <col min="1039" max="1039" width="12.7109375" bestFit="1" customWidth="1"/>
    <col min="1282" max="1282" width="17.42578125" bestFit="1" customWidth="1"/>
    <col min="1283" max="1283" width="12.28515625" bestFit="1" customWidth="1"/>
    <col min="1284" max="1284" width="12.42578125" bestFit="1" customWidth="1"/>
    <col min="1285" max="1286" width="13" bestFit="1" customWidth="1"/>
    <col min="1287" max="1287" width="14" bestFit="1" customWidth="1"/>
    <col min="1288" max="1288" width="13.7109375" bestFit="1" customWidth="1"/>
    <col min="1289" max="1289" width="12.7109375" bestFit="1" customWidth="1"/>
    <col min="1290" max="1290" width="12.42578125" bestFit="1" customWidth="1"/>
    <col min="1291" max="1291" width="13.28515625" bestFit="1" customWidth="1"/>
    <col min="1292" max="1292" width="13" bestFit="1" customWidth="1"/>
    <col min="1295" max="1295" width="12.7109375" bestFit="1" customWidth="1"/>
    <col min="1538" max="1538" width="17.42578125" bestFit="1" customWidth="1"/>
    <col min="1539" max="1539" width="12.28515625" bestFit="1" customWidth="1"/>
    <col min="1540" max="1540" width="12.42578125" bestFit="1" customWidth="1"/>
    <col min="1541" max="1542" width="13" bestFit="1" customWidth="1"/>
    <col min="1543" max="1543" width="14" bestFit="1" customWidth="1"/>
    <col min="1544" max="1544" width="13.7109375" bestFit="1" customWidth="1"/>
    <col min="1545" max="1545" width="12.7109375" bestFit="1" customWidth="1"/>
    <col min="1546" max="1546" width="12.42578125" bestFit="1" customWidth="1"/>
    <col min="1547" max="1547" width="13.28515625" bestFit="1" customWidth="1"/>
    <col min="1548" max="1548" width="13" bestFit="1" customWidth="1"/>
    <col min="1551" max="1551" width="12.7109375" bestFit="1" customWidth="1"/>
    <col min="1794" max="1794" width="17.42578125" bestFit="1" customWidth="1"/>
    <col min="1795" max="1795" width="12.28515625" bestFit="1" customWidth="1"/>
    <col min="1796" max="1796" width="12.42578125" bestFit="1" customWidth="1"/>
    <col min="1797" max="1798" width="13" bestFit="1" customWidth="1"/>
    <col min="1799" max="1799" width="14" bestFit="1" customWidth="1"/>
    <col min="1800" max="1800" width="13.7109375" bestFit="1" customWidth="1"/>
    <col min="1801" max="1801" width="12.7109375" bestFit="1" customWidth="1"/>
    <col min="1802" max="1802" width="12.42578125" bestFit="1" customWidth="1"/>
    <col min="1803" max="1803" width="13.28515625" bestFit="1" customWidth="1"/>
    <col min="1804" max="1804" width="13" bestFit="1" customWidth="1"/>
    <col min="1807" max="1807" width="12.7109375" bestFit="1" customWidth="1"/>
    <col min="2050" max="2050" width="17.42578125" bestFit="1" customWidth="1"/>
    <col min="2051" max="2051" width="12.28515625" bestFit="1" customWidth="1"/>
    <col min="2052" max="2052" width="12.42578125" bestFit="1" customWidth="1"/>
    <col min="2053" max="2054" width="13" bestFit="1" customWidth="1"/>
    <col min="2055" max="2055" width="14" bestFit="1" customWidth="1"/>
    <col min="2056" max="2056" width="13.7109375" bestFit="1" customWidth="1"/>
    <col min="2057" max="2057" width="12.7109375" bestFit="1" customWidth="1"/>
    <col min="2058" max="2058" width="12.42578125" bestFit="1" customWidth="1"/>
    <col min="2059" max="2059" width="13.28515625" bestFit="1" customWidth="1"/>
    <col min="2060" max="2060" width="13" bestFit="1" customWidth="1"/>
    <col min="2063" max="2063" width="12.7109375" bestFit="1" customWidth="1"/>
    <col min="2306" max="2306" width="17.42578125" bestFit="1" customWidth="1"/>
    <col min="2307" max="2307" width="12.28515625" bestFit="1" customWidth="1"/>
    <col min="2308" max="2308" width="12.42578125" bestFit="1" customWidth="1"/>
    <col min="2309" max="2310" width="13" bestFit="1" customWidth="1"/>
    <col min="2311" max="2311" width="14" bestFit="1" customWidth="1"/>
    <col min="2312" max="2312" width="13.7109375" bestFit="1" customWidth="1"/>
    <col min="2313" max="2313" width="12.7109375" bestFit="1" customWidth="1"/>
    <col min="2314" max="2314" width="12.42578125" bestFit="1" customWidth="1"/>
    <col min="2315" max="2315" width="13.28515625" bestFit="1" customWidth="1"/>
    <col min="2316" max="2316" width="13" bestFit="1" customWidth="1"/>
    <col min="2319" max="2319" width="12.7109375" bestFit="1" customWidth="1"/>
    <col min="2562" max="2562" width="17.42578125" bestFit="1" customWidth="1"/>
    <col min="2563" max="2563" width="12.28515625" bestFit="1" customWidth="1"/>
    <col min="2564" max="2564" width="12.42578125" bestFit="1" customWidth="1"/>
    <col min="2565" max="2566" width="13" bestFit="1" customWidth="1"/>
    <col min="2567" max="2567" width="14" bestFit="1" customWidth="1"/>
    <col min="2568" max="2568" width="13.7109375" bestFit="1" customWidth="1"/>
    <col min="2569" max="2569" width="12.7109375" bestFit="1" customWidth="1"/>
    <col min="2570" max="2570" width="12.42578125" bestFit="1" customWidth="1"/>
    <col min="2571" max="2571" width="13.28515625" bestFit="1" customWidth="1"/>
    <col min="2572" max="2572" width="13" bestFit="1" customWidth="1"/>
    <col min="2575" max="2575" width="12.7109375" bestFit="1" customWidth="1"/>
    <col min="2818" max="2818" width="17.42578125" bestFit="1" customWidth="1"/>
    <col min="2819" max="2819" width="12.28515625" bestFit="1" customWidth="1"/>
    <col min="2820" max="2820" width="12.42578125" bestFit="1" customWidth="1"/>
    <col min="2821" max="2822" width="13" bestFit="1" customWidth="1"/>
    <col min="2823" max="2823" width="14" bestFit="1" customWidth="1"/>
    <col min="2824" max="2824" width="13.7109375" bestFit="1" customWidth="1"/>
    <col min="2825" max="2825" width="12.7109375" bestFit="1" customWidth="1"/>
    <col min="2826" max="2826" width="12.42578125" bestFit="1" customWidth="1"/>
    <col min="2827" max="2827" width="13.28515625" bestFit="1" customWidth="1"/>
    <col min="2828" max="2828" width="13" bestFit="1" customWidth="1"/>
    <col min="2831" max="2831" width="12.7109375" bestFit="1" customWidth="1"/>
    <col min="3074" max="3074" width="17.42578125" bestFit="1" customWidth="1"/>
    <col min="3075" max="3075" width="12.28515625" bestFit="1" customWidth="1"/>
    <col min="3076" max="3076" width="12.42578125" bestFit="1" customWidth="1"/>
    <col min="3077" max="3078" width="13" bestFit="1" customWidth="1"/>
    <col min="3079" max="3079" width="14" bestFit="1" customWidth="1"/>
    <col min="3080" max="3080" width="13.7109375" bestFit="1" customWidth="1"/>
    <col min="3081" max="3081" width="12.7109375" bestFit="1" customWidth="1"/>
    <col min="3082" max="3082" width="12.42578125" bestFit="1" customWidth="1"/>
    <col min="3083" max="3083" width="13.28515625" bestFit="1" customWidth="1"/>
    <col min="3084" max="3084" width="13" bestFit="1" customWidth="1"/>
    <col min="3087" max="3087" width="12.7109375" bestFit="1" customWidth="1"/>
    <col min="3330" max="3330" width="17.42578125" bestFit="1" customWidth="1"/>
    <col min="3331" max="3331" width="12.28515625" bestFit="1" customWidth="1"/>
    <col min="3332" max="3332" width="12.42578125" bestFit="1" customWidth="1"/>
    <col min="3333" max="3334" width="13" bestFit="1" customWidth="1"/>
    <col min="3335" max="3335" width="14" bestFit="1" customWidth="1"/>
    <col min="3336" max="3336" width="13.7109375" bestFit="1" customWidth="1"/>
    <col min="3337" max="3337" width="12.7109375" bestFit="1" customWidth="1"/>
    <col min="3338" max="3338" width="12.42578125" bestFit="1" customWidth="1"/>
    <col min="3339" max="3339" width="13.28515625" bestFit="1" customWidth="1"/>
    <col min="3340" max="3340" width="13" bestFit="1" customWidth="1"/>
    <col min="3343" max="3343" width="12.7109375" bestFit="1" customWidth="1"/>
    <col min="3586" max="3586" width="17.42578125" bestFit="1" customWidth="1"/>
    <col min="3587" max="3587" width="12.28515625" bestFit="1" customWidth="1"/>
    <col min="3588" max="3588" width="12.42578125" bestFit="1" customWidth="1"/>
    <col min="3589" max="3590" width="13" bestFit="1" customWidth="1"/>
    <col min="3591" max="3591" width="14" bestFit="1" customWidth="1"/>
    <col min="3592" max="3592" width="13.7109375" bestFit="1" customWidth="1"/>
    <col min="3593" max="3593" width="12.7109375" bestFit="1" customWidth="1"/>
    <col min="3594" max="3594" width="12.42578125" bestFit="1" customWidth="1"/>
    <col min="3595" max="3595" width="13.28515625" bestFit="1" customWidth="1"/>
    <col min="3596" max="3596" width="13" bestFit="1" customWidth="1"/>
    <col min="3599" max="3599" width="12.7109375" bestFit="1" customWidth="1"/>
    <col min="3842" max="3842" width="17.42578125" bestFit="1" customWidth="1"/>
    <col min="3843" max="3843" width="12.28515625" bestFit="1" customWidth="1"/>
    <col min="3844" max="3844" width="12.42578125" bestFit="1" customWidth="1"/>
    <col min="3845" max="3846" width="13" bestFit="1" customWidth="1"/>
    <col min="3847" max="3847" width="14" bestFit="1" customWidth="1"/>
    <col min="3848" max="3848" width="13.7109375" bestFit="1" customWidth="1"/>
    <col min="3849" max="3849" width="12.7109375" bestFit="1" customWidth="1"/>
    <col min="3850" max="3850" width="12.42578125" bestFit="1" customWidth="1"/>
    <col min="3851" max="3851" width="13.28515625" bestFit="1" customWidth="1"/>
    <col min="3852" max="3852" width="13" bestFit="1" customWidth="1"/>
    <col min="3855" max="3855" width="12.7109375" bestFit="1" customWidth="1"/>
    <col min="4098" max="4098" width="17.42578125" bestFit="1" customWidth="1"/>
    <col min="4099" max="4099" width="12.28515625" bestFit="1" customWidth="1"/>
    <col min="4100" max="4100" width="12.42578125" bestFit="1" customWidth="1"/>
    <col min="4101" max="4102" width="13" bestFit="1" customWidth="1"/>
    <col min="4103" max="4103" width="14" bestFit="1" customWidth="1"/>
    <col min="4104" max="4104" width="13.7109375" bestFit="1" customWidth="1"/>
    <col min="4105" max="4105" width="12.7109375" bestFit="1" customWidth="1"/>
    <col min="4106" max="4106" width="12.42578125" bestFit="1" customWidth="1"/>
    <col min="4107" max="4107" width="13.28515625" bestFit="1" customWidth="1"/>
    <col min="4108" max="4108" width="13" bestFit="1" customWidth="1"/>
    <col min="4111" max="4111" width="12.7109375" bestFit="1" customWidth="1"/>
    <col min="4354" max="4354" width="17.42578125" bestFit="1" customWidth="1"/>
    <col min="4355" max="4355" width="12.28515625" bestFit="1" customWidth="1"/>
    <col min="4356" max="4356" width="12.42578125" bestFit="1" customWidth="1"/>
    <col min="4357" max="4358" width="13" bestFit="1" customWidth="1"/>
    <col min="4359" max="4359" width="14" bestFit="1" customWidth="1"/>
    <col min="4360" max="4360" width="13.7109375" bestFit="1" customWidth="1"/>
    <col min="4361" max="4361" width="12.7109375" bestFit="1" customWidth="1"/>
    <col min="4362" max="4362" width="12.42578125" bestFit="1" customWidth="1"/>
    <col min="4363" max="4363" width="13.28515625" bestFit="1" customWidth="1"/>
    <col min="4364" max="4364" width="13" bestFit="1" customWidth="1"/>
    <col min="4367" max="4367" width="12.7109375" bestFit="1" customWidth="1"/>
    <col min="4610" max="4610" width="17.42578125" bestFit="1" customWidth="1"/>
    <col min="4611" max="4611" width="12.28515625" bestFit="1" customWidth="1"/>
    <col min="4612" max="4612" width="12.42578125" bestFit="1" customWidth="1"/>
    <col min="4613" max="4614" width="13" bestFit="1" customWidth="1"/>
    <col min="4615" max="4615" width="14" bestFit="1" customWidth="1"/>
    <col min="4616" max="4616" width="13.7109375" bestFit="1" customWidth="1"/>
    <col min="4617" max="4617" width="12.7109375" bestFit="1" customWidth="1"/>
    <col min="4618" max="4618" width="12.42578125" bestFit="1" customWidth="1"/>
    <col min="4619" max="4619" width="13.28515625" bestFit="1" customWidth="1"/>
    <col min="4620" max="4620" width="13" bestFit="1" customWidth="1"/>
    <col min="4623" max="4623" width="12.7109375" bestFit="1" customWidth="1"/>
    <col min="4866" max="4866" width="17.42578125" bestFit="1" customWidth="1"/>
    <col min="4867" max="4867" width="12.28515625" bestFit="1" customWidth="1"/>
    <col min="4868" max="4868" width="12.42578125" bestFit="1" customWidth="1"/>
    <col min="4869" max="4870" width="13" bestFit="1" customWidth="1"/>
    <col min="4871" max="4871" width="14" bestFit="1" customWidth="1"/>
    <col min="4872" max="4872" width="13.7109375" bestFit="1" customWidth="1"/>
    <col min="4873" max="4873" width="12.7109375" bestFit="1" customWidth="1"/>
    <col min="4874" max="4874" width="12.42578125" bestFit="1" customWidth="1"/>
    <col min="4875" max="4875" width="13.28515625" bestFit="1" customWidth="1"/>
    <col min="4876" max="4876" width="13" bestFit="1" customWidth="1"/>
    <col min="4879" max="4879" width="12.7109375" bestFit="1" customWidth="1"/>
    <col min="5122" max="5122" width="17.42578125" bestFit="1" customWidth="1"/>
    <col min="5123" max="5123" width="12.28515625" bestFit="1" customWidth="1"/>
    <col min="5124" max="5124" width="12.42578125" bestFit="1" customWidth="1"/>
    <col min="5125" max="5126" width="13" bestFit="1" customWidth="1"/>
    <col min="5127" max="5127" width="14" bestFit="1" customWidth="1"/>
    <col min="5128" max="5128" width="13.7109375" bestFit="1" customWidth="1"/>
    <col min="5129" max="5129" width="12.7109375" bestFit="1" customWidth="1"/>
    <col min="5130" max="5130" width="12.42578125" bestFit="1" customWidth="1"/>
    <col min="5131" max="5131" width="13.28515625" bestFit="1" customWidth="1"/>
    <col min="5132" max="5132" width="13" bestFit="1" customWidth="1"/>
    <col min="5135" max="5135" width="12.7109375" bestFit="1" customWidth="1"/>
    <col min="5378" max="5378" width="17.42578125" bestFit="1" customWidth="1"/>
    <col min="5379" max="5379" width="12.28515625" bestFit="1" customWidth="1"/>
    <col min="5380" max="5380" width="12.42578125" bestFit="1" customWidth="1"/>
    <col min="5381" max="5382" width="13" bestFit="1" customWidth="1"/>
    <col min="5383" max="5383" width="14" bestFit="1" customWidth="1"/>
    <col min="5384" max="5384" width="13.7109375" bestFit="1" customWidth="1"/>
    <col min="5385" max="5385" width="12.7109375" bestFit="1" customWidth="1"/>
    <col min="5386" max="5386" width="12.42578125" bestFit="1" customWidth="1"/>
    <col min="5387" max="5387" width="13.28515625" bestFit="1" customWidth="1"/>
    <col min="5388" max="5388" width="13" bestFit="1" customWidth="1"/>
    <col min="5391" max="5391" width="12.7109375" bestFit="1" customWidth="1"/>
    <col min="5634" max="5634" width="17.42578125" bestFit="1" customWidth="1"/>
    <col min="5635" max="5635" width="12.28515625" bestFit="1" customWidth="1"/>
    <col min="5636" max="5636" width="12.42578125" bestFit="1" customWidth="1"/>
    <col min="5637" max="5638" width="13" bestFit="1" customWidth="1"/>
    <col min="5639" max="5639" width="14" bestFit="1" customWidth="1"/>
    <col min="5640" max="5640" width="13.7109375" bestFit="1" customWidth="1"/>
    <col min="5641" max="5641" width="12.7109375" bestFit="1" customWidth="1"/>
    <col min="5642" max="5642" width="12.42578125" bestFit="1" customWidth="1"/>
    <col min="5643" max="5643" width="13.28515625" bestFit="1" customWidth="1"/>
    <col min="5644" max="5644" width="13" bestFit="1" customWidth="1"/>
    <col min="5647" max="5647" width="12.7109375" bestFit="1" customWidth="1"/>
    <col min="5890" max="5890" width="17.42578125" bestFit="1" customWidth="1"/>
    <col min="5891" max="5891" width="12.28515625" bestFit="1" customWidth="1"/>
    <col min="5892" max="5892" width="12.42578125" bestFit="1" customWidth="1"/>
    <col min="5893" max="5894" width="13" bestFit="1" customWidth="1"/>
    <col min="5895" max="5895" width="14" bestFit="1" customWidth="1"/>
    <col min="5896" max="5896" width="13.7109375" bestFit="1" customWidth="1"/>
    <col min="5897" max="5897" width="12.7109375" bestFit="1" customWidth="1"/>
    <col min="5898" max="5898" width="12.42578125" bestFit="1" customWidth="1"/>
    <col min="5899" max="5899" width="13.28515625" bestFit="1" customWidth="1"/>
    <col min="5900" max="5900" width="13" bestFit="1" customWidth="1"/>
    <col min="5903" max="5903" width="12.7109375" bestFit="1" customWidth="1"/>
    <col min="6146" max="6146" width="17.42578125" bestFit="1" customWidth="1"/>
    <col min="6147" max="6147" width="12.28515625" bestFit="1" customWidth="1"/>
    <col min="6148" max="6148" width="12.42578125" bestFit="1" customWidth="1"/>
    <col min="6149" max="6150" width="13" bestFit="1" customWidth="1"/>
    <col min="6151" max="6151" width="14" bestFit="1" customWidth="1"/>
    <col min="6152" max="6152" width="13.7109375" bestFit="1" customWidth="1"/>
    <col min="6153" max="6153" width="12.7109375" bestFit="1" customWidth="1"/>
    <col min="6154" max="6154" width="12.42578125" bestFit="1" customWidth="1"/>
    <col min="6155" max="6155" width="13.28515625" bestFit="1" customWidth="1"/>
    <col min="6156" max="6156" width="13" bestFit="1" customWidth="1"/>
    <col min="6159" max="6159" width="12.7109375" bestFit="1" customWidth="1"/>
    <col min="6402" max="6402" width="17.42578125" bestFit="1" customWidth="1"/>
    <col min="6403" max="6403" width="12.28515625" bestFit="1" customWidth="1"/>
    <col min="6404" max="6404" width="12.42578125" bestFit="1" customWidth="1"/>
    <col min="6405" max="6406" width="13" bestFit="1" customWidth="1"/>
    <col min="6407" max="6407" width="14" bestFit="1" customWidth="1"/>
    <col min="6408" max="6408" width="13.7109375" bestFit="1" customWidth="1"/>
    <col min="6409" max="6409" width="12.7109375" bestFit="1" customWidth="1"/>
    <col min="6410" max="6410" width="12.42578125" bestFit="1" customWidth="1"/>
    <col min="6411" max="6411" width="13.28515625" bestFit="1" customWidth="1"/>
    <col min="6412" max="6412" width="13" bestFit="1" customWidth="1"/>
    <col min="6415" max="6415" width="12.7109375" bestFit="1" customWidth="1"/>
    <col min="6658" max="6658" width="17.42578125" bestFit="1" customWidth="1"/>
    <col min="6659" max="6659" width="12.28515625" bestFit="1" customWidth="1"/>
    <col min="6660" max="6660" width="12.42578125" bestFit="1" customWidth="1"/>
    <col min="6661" max="6662" width="13" bestFit="1" customWidth="1"/>
    <col min="6663" max="6663" width="14" bestFit="1" customWidth="1"/>
    <col min="6664" max="6664" width="13.7109375" bestFit="1" customWidth="1"/>
    <col min="6665" max="6665" width="12.7109375" bestFit="1" customWidth="1"/>
    <col min="6666" max="6666" width="12.42578125" bestFit="1" customWidth="1"/>
    <col min="6667" max="6667" width="13.28515625" bestFit="1" customWidth="1"/>
    <col min="6668" max="6668" width="13" bestFit="1" customWidth="1"/>
    <col min="6671" max="6671" width="12.7109375" bestFit="1" customWidth="1"/>
    <col min="6914" max="6914" width="17.42578125" bestFit="1" customWidth="1"/>
    <col min="6915" max="6915" width="12.28515625" bestFit="1" customWidth="1"/>
    <col min="6916" max="6916" width="12.42578125" bestFit="1" customWidth="1"/>
    <col min="6917" max="6918" width="13" bestFit="1" customWidth="1"/>
    <col min="6919" max="6919" width="14" bestFit="1" customWidth="1"/>
    <col min="6920" max="6920" width="13.7109375" bestFit="1" customWidth="1"/>
    <col min="6921" max="6921" width="12.7109375" bestFit="1" customWidth="1"/>
    <col min="6922" max="6922" width="12.42578125" bestFit="1" customWidth="1"/>
    <col min="6923" max="6923" width="13.28515625" bestFit="1" customWidth="1"/>
    <col min="6924" max="6924" width="13" bestFit="1" customWidth="1"/>
    <col min="6927" max="6927" width="12.7109375" bestFit="1" customWidth="1"/>
    <col min="7170" max="7170" width="17.42578125" bestFit="1" customWidth="1"/>
    <col min="7171" max="7171" width="12.28515625" bestFit="1" customWidth="1"/>
    <col min="7172" max="7172" width="12.42578125" bestFit="1" customWidth="1"/>
    <col min="7173" max="7174" width="13" bestFit="1" customWidth="1"/>
    <col min="7175" max="7175" width="14" bestFit="1" customWidth="1"/>
    <col min="7176" max="7176" width="13.7109375" bestFit="1" customWidth="1"/>
    <col min="7177" max="7177" width="12.7109375" bestFit="1" customWidth="1"/>
    <col min="7178" max="7178" width="12.42578125" bestFit="1" customWidth="1"/>
    <col min="7179" max="7179" width="13.28515625" bestFit="1" customWidth="1"/>
    <col min="7180" max="7180" width="13" bestFit="1" customWidth="1"/>
    <col min="7183" max="7183" width="12.7109375" bestFit="1" customWidth="1"/>
    <col min="7426" max="7426" width="17.42578125" bestFit="1" customWidth="1"/>
    <col min="7427" max="7427" width="12.28515625" bestFit="1" customWidth="1"/>
    <col min="7428" max="7428" width="12.42578125" bestFit="1" customWidth="1"/>
    <col min="7429" max="7430" width="13" bestFit="1" customWidth="1"/>
    <col min="7431" max="7431" width="14" bestFit="1" customWidth="1"/>
    <col min="7432" max="7432" width="13.7109375" bestFit="1" customWidth="1"/>
    <col min="7433" max="7433" width="12.7109375" bestFit="1" customWidth="1"/>
    <col min="7434" max="7434" width="12.42578125" bestFit="1" customWidth="1"/>
    <col min="7435" max="7435" width="13.28515625" bestFit="1" customWidth="1"/>
    <col min="7436" max="7436" width="13" bestFit="1" customWidth="1"/>
    <col min="7439" max="7439" width="12.7109375" bestFit="1" customWidth="1"/>
    <col min="7682" max="7682" width="17.42578125" bestFit="1" customWidth="1"/>
    <col min="7683" max="7683" width="12.28515625" bestFit="1" customWidth="1"/>
    <col min="7684" max="7684" width="12.42578125" bestFit="1" customWidth="1"/>
    <col min="7685" max="7686" width="13" bestFit="1" customWidth="1"/>
    <col min="7687" max="7687" width="14" bestFit="1" customWidth="1"/>
    <col min="7688" max="7688" width="13.7109375" bestFit="1" customWidth="1"/>
    <col min="7689" max="7689" width="12.7109375" bestFit="1" customWidth="1"/>
    <col min="7690" max="7690" width="12.42578125" bestFit="1" customWidth="1"/>
    <col min="7691" max="7691" width="13.28515625" bestFit="1" customWidth="1"/>
    <col min="7692" max="7692" width="13" bestFit="1" customWidth="1"/>
    <col min="7695" max="7695" width="12.7109375" bestFit="1" customWidth="1"/>
    <col min="7938" max="7938" width="17.42578125" bestFit="1" customWidth="1"/>
    <col min="7939" max="7939" width="12.28515625" bestFit="1" customWidth="1"/>
    <col min="7940" max="7940" width="12.42578125" bestFit="1" customWidth="1"/>
    <col min="7941" max="7942" width="13" bestFit="1" customWidth="1"/>
    <col min="7943" max="7943" width="14" bestFit="1" customWidth="1"/>
    <col min="7944" max="7944" width="13.7109375" bestFit="1" customWidth="1"/>
    <col min="7945" max="7945" width="12.7109375" bestFit="1" customWidth="1"/>
    <col min="7946" max="7946" width="12.42578125" bestFit="1" customWidth="1"/>
    <col min="7947" max="7947" width="13.28515625" bestFit="1" customWidth="1"/>
    <col min="7948" max="7948" width="13" bestFit="1" customWidth="1"/>
    <col min="7951" max="7951" width="12.7109375" bestFit="1" customWidth="1"/>
    <col min="8194" max="8194" width="17.42578125" bestFit="1" customWidth="1"/>
    <col min="8195" max="8195" width="12.28515625" bestFit="1" customWidth="1"/>
    <col min="8196" max="8196" width="12.42578125" bestFit="1" customWidth="1"/>
    <col min="8197" max="8198" width="13" bestFit="1" customWidth="1"/>
    <col min="8199" max="8199" width="14" bestFit="1" customWidth="1"/>
    <col min="8200" max="8200" width="13.7109375" bestFit="1" customWidth="1"/>
    <col min="8201" max="8201" width="12.7109375" bestFit="1" customWidth="1"/>
    <col min="8202" max="8202" width="12.42578125" bestFit="1" customWidth="1"/>
    <col min="8203" max="8203" width="13.28515625" bestFit="1" customWidth="1"/>
    <col min="8204" max="8204" width="13" bestFit="1" customWidth="1"/>
    <col min="8207" max="8207" width="12.7109375" bestFit="1" customWidth="1"/>
    <col min="8450" max="8450" width="17.42578125" bestFit="1" customWidth="1"/>
    <col min="8451" max="8451" width="12.28515625" bestFit="1" customWidth="1"/>
    <col min="8452" max="8452" width="12.42578125" bestFit="1" customWidth="1"/>
    <col min="8453" max="8454" width="13" bestFit="1" customWidth="1"/>
    <col min="8455" max="8455" width="14" bestFit="1" customWidth="1"/>
    <col min="8456" max="8456" width="13.7109375" bestFit="1" customWidth="1"/>
    <col min="8457" max="8457" width="12.7109375" bestFit="1" customWidth="1"/>
    <col min="8458" max="8458" width="12.42578125" bestFit="1" customWidth="1"/>
    <col min="8459" max="8459" width="13.28515625" bestFit="1" customWidth="1"/>
    <col min="8460" max="8460" width="13" bestFit="1" customWidth="1"/>
    <col min="8463" max="8463" width="12.7109375" bestFit="1" customWidth="1"/>
    <col min="8706" max="8706" width="17.42578125" bestFit="1" customWidth="1"/>
    <col min="8707" max="8707" width="12.28515625" bestFit="1" customWidth="1"/>
    <col min="8708" max="8708" width="12.42578125" bestFit="1" customWidth="1"/>
    <col min="8709" max="8710" width="13" bestFit="1" customWidth="1"/>
    <col min="8711" max="8711" width="14" bestFit="1" customWidth="1"/>
    <col min="8712" max="8712" width="13.7109375" bestFit="1" customWidth="1"/>
    <col min="8713" max="8713" width="12.7109375" bestFit="1" customWidth="1"/>
    <col min="8714" max="8714" width="12.42578125" bestFit="1" customWidth="1"/>
    <col min="8715" max="8715" width="13.28515625" bestFit="1" customWidth="1"/>
    <col min="8716" max="8716" width="13" bestFit="1" customWidth="1"/>
    <col min="8719" max="8719" width="12.7109375" bestFit="1" customWidth="1"/>
    <col min="8962" max="8962" width="17.42578125" bestFit="1" customWidth="1"/>
    <col min="8963" max="8963" width="12.28515625" bestFit="1" customWidth="1"/>
    <col min="8964" max="8964" width="12.42578125" bestFit="1" customWidth="1"/>
    <col min="8965" max="8966" width="13" bestFit="1" customWidth="1"/>
    <col min="8967" max="8967" width="14" bestFit="1" customWidth="1"/>
    <col min="8968" max="8968" width="13.7109375" bestFit="1" customWidth="1"/>
    <col min="8969" max="8969" width="12.7109375" bestFit="1" customWidth="1"/>
    <col min="8970" max="8970" width="12.42578125" bestFit="1" customWidth="1"/>
    <col min="8971" max="8971" width="13.28515625" bestFit="1" customWidth="1"/>
    <col min="8972" max="8972" width="13" bestFit="1" customWidth="1"/>
    <col min="8975" max="8975" width="12.7109375" bestFit="1" customWidth="1"/>
    <col min="9218" max="9218" width="17.42578125" bestFit="1" customWidth="1"/>
    <col min="9219" max="9219" width="12.28515625" bestFit="1" customWidth="1"/>
    <col min="9220" max="9220" width="12.42578125" bestFit="1" customWidth="1"/>
    <col min="9221" max="9222" width="13" bestFit="1" customWidth="1"/>
    <col min="9223" max="9223" width="14" bestFit="1" customWidth="1"/>
    <col min="9224" max="9224" width="13.7109375" bestFit="1" customWidth="1"/>
    <col min="9225" max="9225" width="12.7109375" bestFit="1" customWidth="1"/>
    <col min="9226" max="9226" width="12.42578125" bestFit="1" customWidth="1"/>
    <col min="9227" max="9227" width="13.28515625" bestFit="1" customWidth="1"/>
    <col min="9228" max="9228" width="13" bestFit="1" customWidth="1"/>
    <col min="9231" max="9231" width="12.7109375" bestFit="1" customWidth="1"/>
    <col min="9474" max="9474" width="17.42578125" bestFit="1" customWidth="1"/>
    <col min="9475" max="9475" width="12.28515625" bestFit="1" customWidth="1"/>
    <col min="9476" max="9476" width="12.42578125" bestFit="1" customWidth="1"/>
    <col min="9477" max="9478" width="13" bestFit="1" customWidth="1"/>
    <col min="9479" max="9479" width="14" bestFit="1" customWidth="1"/>
    <col min="9480" max="9480" width="13.7109375" bestFit="1" customWidth="1"/>
    <col min="9481" max="9481" width="12.7109375" bestFit="1" customWidth="1"/>
    <col min="9482" max="9482" width="12.42578125" bestFit="1" customWidth="1"/>
    <col min="9483" max="9483" width="13.28515625" bestFit="1" customWidth="1"/>
    <col min="9484" max="9484" width="13" bestFit="1" customWidth="1"/>
    <col min="9487" max="9487" width="12.7109375" bestFit="1" customWidth="1"/>
    <col min="9730" max="9730" width="17.42578125" bestFit="1" customWidth="1"/>
    <col min="9731" max="9731" width="12.28515625" bestFit="1" customWidth="1"/>
    <col min="9732" max="9732" width="12.42578125" bestFit="1" customWidth="1"/>
    <col min="9733" max="9734" width="13" bestFit="1" customWidth="1"/>
    <col min="9735" max="9735" width="14" bestFit="1" customWidth="1"/>
    <col min="9736" max="9736" width="13.7109375" bestFit="1" customWidth="1"/>
    <col min="9737" max="9737" width="12.7109375" bestFit="1" customWidth="1"/>
    <col min="9738" max="9738" width="12.42578125" bestFit="1" customWidth="1"/>
    <col min="9739" max="9739" width="13.28515625" bestFit="1" customWidth="1"/>
    <col min="9740" max="9740" width="13" bestFit="1" customWidth="1"/>
    <col min="9743" max="9743" width="12.7109375" bestFit="1" customWidth="1"/>
    <col min="9986" max="9986" width="17.42578125" bestFit="1" customWidth="1"/>
    <col min="9987" max="9987" width="12.28515625" bestFit="1" customWidth="1"/>
    <col min="9988" max="9988" width="12.42578125" bestFit="1" customWidth="1"/>
    <col min="9989" max="9990" width="13" bestFit="1" customWidth="1"/>
    <col min="9991" max="9991" width="14" bestFit="1" customWidth="1"/>
    <col min="9992" max="9992" width="13.7109375" bestFit="1" customWidth="1"/>
    <col min="9993" max="9993" width="12.7109375" bestFit="1" customWidth="1"/>
    <col min="9994" max="9994" width="12.42578125" bestFit="1" customWidth="1"/>
    <col min="9995" max="9995" width="13.28515625" bestFit="1" customWidth="1"/>
    <col min="9996" max="9996" width="13" bestFit="1" customWidth="1"/>
    <col min="9999" max="9999" width="12.7109375" bestFit="1" customWidth="1"/>
    <col min="10242" max="10242" width="17.42578125" bestFit="1" customWidth="1"/>
    <col min="10243" max="10243" width="12.28515625" bestFit="1" customWidth="1"/>
    <col min="10244" max="10244" width="12.42578125" bestFit="1" customWidth="1"/>
    <col min="10245" max="10246" width="13" bestFit="1" customWidth="1"/>
    <col min="10247" max="10247" width="14" bestFit="1" customWidth="1"/>
    <col min="10248" max="10248" width="13.7109375" bestFit="1" customWidth="1"/>
    <col min="10249" max="10249" width="12.7109375" bestFit="1" customWidth="1"/>
    <col min="10250" max="10250" width="12.42578125" bestFit="1" customWidth="1"/>
    <col min="10251" max="10251" width="13.28515625" bestFit="1" customWidth="1"/>
    <col min="10252" max="10252" width="13" bestFit="1" customWidth="1"/>
    <col min="10255" max="10255" width="12.7109375" bestFit="1" customWidth="1"/>
    <col min="10498" max="10498" width="17.42578125" bestFit="1" customWidth="1"/>
    <col min="10499" max="10499" width="12.28515625" bestFit="1" customWidth="1"/>
    <col min="10500" max="10500" width="12.42578125" bestFit="1" customWidth="1"/>
    <col min="10501" max="10502" width="13" bestFit="1" customWidth="1"/>
    <col min="10503" max="10503" width="14" bestFit="1" customWidth="1"/>
    <col min="10504" max="10504" width="13.7109375" bestFit="1" customWidth="1"/>
    <col min="10505" max="10505" width="12.7109375" bestFit="1" customWidth="1"/>
    <col min="10506" max="10506" width="12.42578125" bestFit="1" customWidth="1"/>
    <col min="10507" max="10507" width="13.28515625" bestFit="1" customWidth="1"/>
    <col min="10508" max="10508" width="13" bestFit="1" customWidth="1"/>
    <col min="10511" max="10511" width="12.7109375" bestFit="1" customWidth="1"/>
    <col min="10754" max="10754" width="17.42578125" bestFit="1" customWidth="1"/>
    <col min="10755" max="10755" width="12.28515625" bestFit="1" customWidth="1"/>
    <col min="10756" max="10756" width="12.42578125" bestFit="1" customWidth="1"/>
    <col min="10757" max="10758" width="13" bestFit="1" customWidth="1"/>
    <col min="10759" max="10759" width="14" bestFit="1" customWidth="1"/>
    <col min="10760" max="10760" width="13.7109375" bestFit="1" customWidth="1"/>
    <col min="10761" max="10761" width="12.7109375" bestFit="1" customWidth="1"/>
    <col min="10762" max="10762" width="12.42578125" bestFit="1" customWidth="1"/>
    <col min="10763" max="10763" width="13.28515625" bestFit="1" customWidth="1"/>
    <col min="10764" max="10764" width="13" bestFit="1" customWidth="1"/>
    <col min="10767" max="10767" width="12.7109375" bestFit="1" customWidth="1"/>
    <col min="11010" max="11010" width="17.42578125" bestFit="1" customWidth="1"/>
    <col min="11011" max="11011" width="12.28515625" bestFit="1" customWidth="1"/>
    <col min="11012" max="11012" width="12.42578125" bestFit="1" customWidth="1"/>
    <col min="11013" max="11014" width="13" bestFit="1" customWidth="1"/>
    <col min="11015" max="11015" width="14" bestFit="1" customWidth="1"/>
    <col min="11016" max="11016" width="13.7109375" bestFit="1" customWidth="1"/>
    <col min="11017" max="11017" width="12.7109375" bestFit="1" customWidth="1"/>
    <col min="11018" max="11018" width="12.42578125" bestFit="1" customWidth="1"/>
    <col min="11019" max="11019" width="13.28515625" bestFit="1" customWidth="1"/>
    <col min="11020" max="11020" width="13" bestFit="1" customWidth="1"/>
    <col min="11023" max="11023" width="12.7109375" bestFit="1" customWidth="1"/>
    <col min="11266" max="11266" width="17.42578125" bestFit="1" customWidth="1"/>
    <col min="11267" max="11267" width="12.28515625" bestFit="1" customWidth="1"/>
    <col min="11268" max="11268" width="12.42578125" bestFit="1" customWidth="1"/>
    <col min="11269" max="11270" width="13" bestFit="1" customWidth="1"/>
    <col min="11271" max="11271" width="14" bestFit="1" customWidth="1"/>
    <col min="11272" max="11272" width="13.7109375" bestFit="1" customWidth="1"/>
    <col min="11273" max="11273" width="12.7109375" bestFit="1" customWidth="1"/>
    <col min="11274" max="11274" width="12.42578125" bestFit="1" customWidth="1"/>
    <col min="11275" max="11275" width="13.28515625" bestFit="1" customWidth="1"/>
    <col min="11276" max="11276" width="13" bestFit="1" customWidth="1"/>
    <col min="11279" max="11279" width="12.7109375" bestFit="1" customWidth="1"/>
    <col min="11522" max="11522" width="17.42578125" bestFit="1" customWidth="1"/>
    <col min="11523" max="11523" width="12.28515625" bestFit="1" customWidth="1"/>
    <col min="11524" max="11524" width="12.42578125" bestFit="1" customWidth="1"/>
    <col min="11525" max="11526" width="13" bestFit="1" customWidth="1"/>
    <col min="11527" max="11527" width="14" bestFit="1" customWidth="1"/>
    <col min="11528" max="11528" width="13.7109375" bestFit="1" customWidth="1"/>
    <col min="11529" max="11529" width="12.7109375" bestFit="1" customWidth="1"/>
    <col min="11530" max="11530" width="12.42578125" bestFit="1" customWidth="1"/>
    <col min="11531" max="11531" width="13.28515625" bestFit="1" customWidth="1"/>
    <col min="11532" max="11532" width="13" bestFit="1" customWidth="1"/>
    <col min="11535" max="11535" width="12.7109375" bestFit="1" customWidth="1"/>
    <col min="11778" max="11778" width="17.42578125" bestFit="1" customWidth="1"/>
    <col min="11779" max="11779" width="12.28515625" bestFit="1" customWidth="1"/>
    <col min="11780" max="11780" width="12.42578125" bestFit="1" customWidth="1"/>
    <col min="11781" max="11782" width="13" bestFit="1" customWidth="1"/>
    <col min="11783" max="11783" width="14" bestFit="1" customWidth="1"/>
    <col min="11784" max="11784" width="13.7109375" bestFit="1" customWidth="1"/>
    <col min="11785" max="11785" width="12.7109375" bestFit="1" customWidth="1"/>
    <col min="11786" max="11786" width="12.42578125" bestFit="1" customWidth="1"/>
    <col min="11787" max="11787" width="13.28515625" bestFit="1" customWidth="1"/>
    <col min="11788" max="11788" width="13" bestFit="1" customWidth="1"/>
    <col min="11791" max="11791" width="12.7109375" bestFit="1" customWidth="1"/>
    <col min="12034" max="12034" width="17.42578125" bestFit="1" customWidth="1"/>
    <col min="12035" max="12035" width="12.28515625" bestFit="1" customWidth="1"/>
    <col min="12036" max="12036" width="12.42578125" bestFit="1" customWidth="1"/>
    <col min="12037" max="12038" width="13" bestFit="1" customWidth="1"/>
    <col min="12039" max="12039" width="14" bestFit="1" customWidth="1"/>
    <col min="12040" max="12040" width="13.7109375" bestFit="1" customWidth="1"/>
    <col min="12041" max="12041" width="12.7109375" bestFit="1" customWidth="1"/>
    <col min="12042" max="12042" width="12.42578125" bestFit="1" customWidth="1"/>
    <col min="12043" max="12043" width="13.28515625" bestFit="1" customWidth="1"/>
    <col min="12044" max="12044" width="13" bestFit="1" customWidth="1"/>
    <col min="12047" max="12047" width="12.7109375" bestFit="1" customWidth="1"/>
    <col min="12290" max="12290" width="17.42578125" bestFit="1" customWidth="1"/>
    <col min="12291" max="12291" width="12.28515625" bestFit="1" customWidth="1"/>
    <col min="12292" max="12292" width="12.42578125" bestFit="1" customWidth="1"/>
    <col min="12293" max="12294" width="13" bestFit="1" customWidth="1"/>
    <col min="12295" max="12295" width="14" bestFit="1" customWidth="1"/>
    <col min="12296" max="12296" width="13.7109375" bestFit="1" customWidth="1"/>
    <col min="12297" max="12297" width="12.7109375" bestFit="1" customWidth="1"/>
    <col min="12298" max="12298" width="12.42578125" bestFit="1" customWidth="1"/>
    <col min="12299" max="12299" width="13.28515625" bestFit="1" customWidth="1"/>
    <col min="12300" max="12300" width="13" bestFit="1" customWidth="1"/>
    <col min="12303" max="12303" width="12.7109375" bestFit="1" customWidth="1"/>
    <col min="12546" max="12546" width="17.42578125" bestFit="1" customWidth="1"/>
    <col min="12547" max="12547" width="12.28515625" bestFit="1" customWidth="1"/>
    <col min="12548" max="12548" width="12.42578125" bestFit="1" customWidth="1"/>
    <col min="12549" max="12550" width="13" bestFit="1" customWidth="1"/>
    <col min="12551" max="12551" width="14" bestFit="1" customWidth="1"/>
    <col min="12552" max="12552" width="13.7109375" bestFit="1" customWidth="1"/>
    <col min="12553" max="12553" width="12.7109375" bestFit="1" customWidth="1"/>
    <col min="12554" max="12554" width="12.42578125" bestFit="1" customWidth="1"/>
    <col min="12555" max="12555" width="13.28515625" bestFit="1" customWidth="1"/>
    <col min="12556" max="12556" width="13" bestFit="1" customWidth="1"/>
    <col min="12559" max="12559" width="12.7109375" bestFit="1" customWidth="1"/>
    <col min="12802" max="12802" width="17.42578125" bestFit="1" customWidth="1"/>
    <col min="12803" max="12803" width="12.28515625" bestFit="1" customWidth="1"/>
    <col min="12804" max="12804" width="12.42578125" bestFit="1" customWidth="1"/>
    <col min="12805" max="12806" width="13" bestFit="1" customWidth="1"/>
    <col min="12807" max="12807" width="14" bestFit="1" customWidth="1"/>
    <col min="12808" max="12808" width="13.7109375" bestFit="1" customWidth="1"/>
    <col min="12809" max="12809" width="12.7109375" bestFit="1" customWidth="1"/>
    <col min="12810" max="12810" width="12.42578125" bestFit="1" customWidth="1"/>
    <col min="12811" max="12811" width="13.28515625" bestFit="1" customWidth="1"/>
    <col min="12812" max="12812" width="13" bestFit="1" customWidth="1"/>
    <col min="12815" max="12815" width="12.7109375" bestFit="1" customWidth="1"/>
    <col min="13058" max="13058" width="17.42578125" bestFit="1" customWidth="1"/>
    <col min="13059" max="13059" width="12.28515625" bestFit="1" customWidth="1"/>
    <col min="13060" max="13060" width="12.42578125" bestFit="1" customWidth="1"/>
    <col min="13061" max="13062" width="13" bestFit="1" customWidth="1"/>
    <col min="13063" max="13063" width="14" bestFit="1" customWidth="1"/>
    <col min="13064" max="13064" width="13.7109375" bestFit="1" customWidth="1"/>
    <col min="13065" max="13065" width="12.7109375" bestFit="1" customWidth="1"/>
    <col min="13066" max="13066" width="12.42578125" bestFit="1" customWidth="1"/>
    <col min="13067" max="13067" width="13.28515625" bestFit="1" customWidth="1"/>
    <col min="13068" max="13068" width="13" bestFit="1" customWidth="1"/>
    <col min="13071" max="13071" width="12.7109375" bestFit="1" customWidth="1"/>
    <col min="13314" max="13314" width="17.42578125" bestFit="1" customWidth="1"/>
    <col min="13315" max="13315" width="12.28515625" bestFit="1" customWidth="1"/>
    <col min="13316" max="13316" width="12.42578125" bestFit="1" customWidth="1"/>
    <col min="13317" max="13318" width="13" bestFit="1" customWidth="1"/>
    <col min="13319" max="13319" width="14" bestFit="1" customWidth="1"/>
    <col min="13320" max="13320" width="13.7109375" bestFit="1" customWidth="1"/>
    <col min="13321" max="13321" width="12.7109375" bestFit="1" customWidth="1"/>
    <col min="13322" max="13322" width="12.42578125" bestFit="1" customWidth="1"/>
    <col min="13323" max="13323" width="13.28515625" bestFit="1" customWidth="1"/>
    <col min="13324" max="13324" width="13" bestFit="1" customWidth="1"/>
    <col min="13327" max="13327" width="12.7109375" bestFit="1" customWidth="1"/>
    <col min="13570" max="13570" width="17.42578125" bestFit="1" customWidth="1"/>
    <col min="13571" max="13571" width="12.28515625" bestFit="1" customWidth="1"/>
    <col min="13572" max="13572" width="12.42578125" bestFit="1" customWidth="1"/>
    <col min="13573" max="13574" width="13" bestFit="1" customWidth="1"/>
    <col min="13575" max="13575" width="14" bestFit="1" customWidth="1"/>
    <col min="13576" max="13576" width="13.7109375" bestFit="1" customWidth="1"/>
    <col min="13577" max="13577" width="12.7109375" bestFit="1" customWidth="1"/>
    <col min="13578" max="13578" width="12.42578125" bestFit="1" customWidth="1"/>
    <col min="13579" max="13579" width="13.28515625" bestFit="1" customWidth="1"/>
    <col min="13580" max="13580" width="13" bestFit="1" customWidth="1"/>
    <col min="13583" max="13583" width="12.7109375" bestFit="1" customWidth="1"/>
    <col min="13826" max="13826" width="17.42578125" bestFit="1" customWidth="1"/>
    <col min="13827" max="13827" width="12.28515625" bestFit="1" customWidth="1"/>
    <col min="13828" max="13828" width="12.42578125" bestFit="1" customWidth="1"/>
    <col min="13829" max="13830" width="13" bestFit="1" customWidth="1"/>
    <col min="13831" max="13831" width="14" bestFit="1" customWidth="1"/>
    <col min="13832" max="13832" width="13.7109375" bestFit="1" customWidth="1"/>
    <col min="13833" max="13833" width="12.7109375" bestFit="1" customWidth="1"/>
    <col min="13834" max="13834" width="12.42578125" bestFit="1" customWidth="1"/>
    <col min="13835" max="13835" width="13.28515625" bestFit="1" customWidth="1"/>
    <col min="13836" max="13836" width="13" bestFit="1" customWidth="1"/>
    <col min="13839" max="13839" width="12.7109375" bestFit="1" customWidth="1"/>
    <col min="14082" max="14082" width="17.42578125" bestFit="1" customWidth="1"/>
    <col min="14083" max="14083" width="12.28515625" bestFit="1" customWidth="1"/>
    <col min="14084" max="14084" width="12.42578125" bestFit="1" customWidth="1"/>
    <col min="14085" max="14086" width="13" bestFit="1" customWidth="1"/>
    <col min="14087" max="14087" width="14" bestFit="1" customWidth="1"/>
    <col min="14088" max="14088" width="13.7109375" bestFit="1" customWidth="1"/>
    <col min="14089" max="14089" width="12.7109375" bestFit="1" customWidth="1"/>
    <col min="14090" max="14090" width="12.42578125" bestFit="1" customWidth="1"/>
    <col min="14091" max="14091" width="13.28515625" bestFit="1" customWidth="1"/>
    <col min="14092" max="14092" width="13" bestFit="1" customWidth="1"/>
    <col min="14095" max="14095" width="12.7109375" bestFit="1" customWidth="1"/>
    <col min="14338" max="14338" width="17.42578125" bestFit="1" customWidth="1"/>
    <col min="14339" max="14339" width="12.28515625" bestFit="1" customWidth="1"/>
    <col min="14340" max="14340" width="12.42578125" bestFit="1" customWidth="1"/>
    <col min="14341" max="14342" width="13" bestFit="1" customWidth="1"/>
    <col min="14343" max="14343" width="14" bestFit="1" customWidth="1"/>
    <col min="14344" max="14344" width="13.7109375" bestFit="1" customWidth="1"/>
    <col min="14345" max="14345" width="12.7109375" bestFit="1" customWidth="1"/>
    <col min="14346" max="14346" width="12.42578125" bestFit="1" customWidth="1"/>
    <col min="14347" max="14347" width="13.28515625" bestFit="1" customWidth="1"/>
    <col min="14348" max="14348" width="13" bestFit="1" customWidth="1"/>
    <col min="14351" max="14351" width="12.7109375" bestFit="1" customWidth="1"/>
    <col min="14594" max="14594" width="17.42578125" bestFit="1" customWidth="1"/>
    <col min="14595" max="14595" width="12.28515625" bestFit="1" customWidth="1"/>
    <col min="14596" max="14596" width="12.42578125" bestFit="1" customWidth="1"/>
    <col min="14597" max="14598" width="13" bestFit="1" customWidth="1"/>
    <col min="14599" max="14599" width="14" bestFit="1" customWidth="1"/>
    <col min="14600" max="14600" width="13.7109375" bestFit="1" customWidth="1"/>
    <col min="14601" max="14601" width="12.7109375" bestFit="1" customWidth="1"/>
    <col min="14602" max="14602" width="12.42578125" bestFit="1" customWidth="1"/>
    <col min="14603" max="14603" width="13.28515625" bestFit="1" customWidth="1"/>
    <col min="14604" max="14604" width="13" bestFit="1" customWidth="1"/>
    <col min="14607" max="14607" width="12.7109375" bestFit="1" customWidth="1"/>
    <col min="14850" max="14850" width="17.42578125" bestFit="1" customWidth="1"/>
    <col min="14851" max="14851" width="12.28515625" bestFit="1" customWidth="1"/>
    <col min="14852" max="14852" width="12.42578125" bestFit="1" customWidth="1"/>
    <col min="14853" max="14854" width="13" bestFit="1" customWidth="1"/>
    <col min="14855" max="14855" width="14" bestFit="1" customWidth="1"/>
    <col min="14856" max="14856" width="13.7109375" bestFit="1" customWidth="1"/>
    <col min="14857" max="14857" width="12.7109375" bestFit="1" customWidth="1"/>
    <col min="14858" max="14858" width="12.42578125" bestFit="1" customWidth="1"/>
    <col min="14859" max="14859" width="13.28515625" bestFit="1" customWidth="1"/>
    <col min="14860" max="14860" width="13" bestFit="1" customWidth="1"/>
    <col min="14863" max="14863" width="12.7109375" bestFit="1" customWidth="1"/>
    <col min="15106" max="15106" width="17.42578125" bestFit="1" customWidth="1"/>
    <col min="15107" max="15107" width="12.28515625" bestFit="1" customWidth="1"/>
    <col min="15108" max="15108" width="12.42578125" bestFit="1" customWidth="1"/>
    <col min="15109" max="15110" width="13" bestFit="1" customWidth="1"/>
    <col min="15111" max="15111" width="14" bestFit="1" customWidth="1"/>
    <col min="15112" max="15112" width="13.7109375" bestFit="1" customWidth="1"/>
    <col min="15113" max="15113" width="12.7109375" bestFit="1" customWidth="1"/>
    <col min="15114" max="15114" width="12.42578125" bestFit="1" customWidth="1"/>
    <col min="15115" max="15115" width="13.28515625" bestFit="1" customWidth="1"/>
    <col min="15116" max="15116" width="13" bestFit="1" customWidth="1"/>
    <col min="15119" max="15119" width="12.7109375" bestFit="1" customWidth="1"/>
    <col min="15362" max="15362" width="17.42578125" bestFit="1" customWidth="1"/>
    <col min="15363" max="15363" width="12.28515625" bestFit="1" customWidth="1"/>
    <col min="15364" max="15364" width="12.42578125" bestFit="1" customWidth="1"/>
    <col min="15365" max="15366" width="13" bestFit="1" customWidth="1"/>
    <col min="15367" max="15367" width="14" bestFit="1" customWidth="1"/>
    <col min="15368" max="15368" width="13.7109375" bestFit="1" customWidth="1"/>
    <col min="15369" max="15369" width="12.7109375" bestFit="1" customWidth="1"/>
    <col min="15370" max="15370" width="12.42578125" bestFit="1" customWidth="1"/>
    <col min="15371" max="15371" width="13.28515625" bestFit="1" customWidth="1"/>
    <col min="15372" max="15372" width="13" bestFit="1" customWidth="1"/>
    <col min="15375" max="15375" width="12.7109375" bestFit="1" customWidth="1"/>
    <col min="15618" max="15618" width="17.42578125" bestFit="1" customWidth="1"/>
    <col min="15619" max="15619" width="12.28515625" bestFit="1" customWidth="1"/>
    <col min="15620" max="15620" width="12.42578125" bestFit="1" customWidth="1"/>
    <col min="15621" max="15622" width="13" bestFit="1" customWidth="1"/>
    <col min="15623" max="15623" width="14" bestFit="1" customWidth="1"/>
    <col min="15624" max="15624" width="13.7109375" bestFit="1" customWidth="1"/>
    <col min="15625" max="15625" width="12.7109375" bestFit="1" customWidth="1"/>
    <col min="15626" max="15626" width="12.42578125" bestFit="1" customWidth="1"/>
    <col min="15627" max="15627" width="13.28515625" bestFit="1" customWidth="1"/>
    <col min="15628" max="15628" width="13" bestFit="1" customWidth="1"/>
    <col min="15631" max="15631" width="12.7109375" bestFit="1" customWidth="1"/>
    <col min="15874" max="15874" width="17.42578125" bestFit="1" customWidth="1"/>
    <col min="15875" max="15875" width="12.28515625" bestFit="1" customWidth="1"/>
    <col min="15876" max="15876" width="12.42578125" bestFit="1" customWidth="1"/>
    <col min="15877" max="15878" width="13" bestFit="1" customWidth="1"/>
    <col min="15879" max="15879" width="14" bestFit="1" customWidth="1"/>
    <col min="15880" max="15880" width="13.7109375" bestFit="1" customWidth="1"/>
    <col min="15881" max="15881" width="12.7109375" bestFit="1" customWidth="1"/>
    <col min="15882" max="15882" width="12.42578125" bestFit="1" customWidth="1"/>
    <col min="15883" max="15883" width="13.28515625" bestFit="1" customWidth="1"/>
    <col min="15884" max="15884" width="13" bestFit="1" customWidth="1"/>
    <col min="15887" max="15887" width="12.7109375" bestFit="1" customWidth="1"/>
    <col min="16130" max="16130" width="17.42578125" bestFit="1" customWidth="1"/>
    <col min="16131" max="16131" width="12.28515625" bestFit="1" customWidth="1"/>
    <col min="16132" max="16132" width="12.42578125" bestFit="1" customWidth="1"/>
    <col min="16133" max="16134" width="13" bestFit="1" customWidth="1"/>
    <col min="16135" max="16135" width="14" bestFit="1" customWidth="1"/>
    <col min="16136" max="16136" width="13.7109375" bestFit="1" customWidth="1"/>
    <col min="16137" max="16137" width="12.7109375" bestFit="1" customWidth="1"/>
    <col min="16138" max="16138" width="12.42578125" bestFit="1" customWidth="1"/>
    <col min="16139" max="16139" width="13.28515625" bestFit="1" customWidth="1"/>
    <col min="16140" max="16140" width="13" bestFit="1" customWidth="1"/>
    <col min="16143" max="16143" width="12.7109375" bestFit="1" customWidth="1"/>
  </cols>
  <sheetData>
    <row r="1" spans="2:15" ht="26.25" x14ac:dyDescent="0.4">
      <c r="B1" s="239" t="str">
        <f>Inversiones!B1</f>
        <v>NEMIZA</v>
      </c>
      <c r="C1" s="239"/>
      <c r="D1" s="239"/>
      <c r="E1" s="239"/>
      <c r="F1" s="239"/>
      <c r="G1" s="239"/>
      <c r="H1" s="239"/>
      <c r="I1" s="239"/>
      <c r="J1" s="239"/>
      <c r="K1" s="239"/>
      <c r="L1" s="239"/>
      <c r="M1" s="239"/>
      <c r="N1" s="239"/>
      <c r="O1" s="239"/>
    </row>
    <row r="2" spans="2:15" x14ac:dyDescent="0.25">
      <c r="B2" s="141"/>
      <c r="C2" s="141"/>
      <c r="D2" s="141"/>
      <c r="E2" s="141"/>
      <c r="F2" s="141"/>
      <c r="G2" s="141"/>
      <c r="H2" s="141"/>
      <c r="I2" s="141"/>
      <c r="J2" s="141"/>
      <c r="K2" s="141"/>
      <c r="L2" s="141"/>
      <c r="M2" s="141"/>
      <c r="N2" s="141"/>
      <c r="O2" s="141"/>
    </row>
    <row r="3" spans="2:15" ht="15.75" customHeight="1" thickBot="1" x14ac:dyDescent="0.3">
      <c r="B3" s="240" t="s">
        <v>169</v>
      </c>
      <c r="C3" s="240"/>
      <c r="D3" s="240"/>
      <c r="E3" s="240"/>
      <c r="F3" s="240"/>
      <c r="G3" s="240"/>
      <c r="H3" s="240"/>
      <c r="I3" s="240"/>
      <c r="J3" s="240"/>
      <c r="K3" s="240"/>
      <c r="L3" s="240"/>
      <c r="M3" s="240"/>
      <c r="N3" s="240"/>
      <c r="O3" s="240"/>
    </row>
    <row r="4" spans="2:15" ht="15.75" thickBot="1" x14ac:dyDescent="0.3">
      <c r="B4" s="221" t="s">
        <v>30</v>
      </c>
      <c r="C4" s="223" t="s">
        <v>118</v>
      </c>
      <c r="D4" s="224"/>
      <c r="E4" s="224"/>
      <c r="F4" s="224"/>
      <c r="G4" s="224"/>
      <c r="H4" s="224"/>
      <c r="I4" s="224"/>
      <c r="J4" s="224"/>
      <c r="K4" s="224"/>
      <c r="L4" s="224"/>
      <c r="M4" s="224"/>
      <c r="N4" s="224"/>
      <c r="O4" s="225"/>
    </row>
    <row r="5" spans="2:15" ht="15.75" thickBot="1" x14ac:dyDescent="0.3">
      <c r="B5" s="222"/>
      <c r="C5" s="181" t="s">
        <v>119</v>
      </c>
      <c r="D5" s="181" t="s">
        <v>120</v>
      </c>
      <c r="E5" s="181" t="s">
        <v>121</v>
      </c>
      <c r="F5" s="181" t="s">
        <v>122</v>
      </c>
      <c r="G5" s="181" t="s">
        <v>123</v>
      </c>
      <c r="H5" s="182" t="s">
        <v>124</v>
      </c>
      <c r="I5" s="180" t="s">
        <v>125</v>
      </c>
      <c r="J5" s="180" t="s">
        <v>126</v>
      </c>
      <c r="K5" s="180" t="s">
        <v>127</v>
      </c>
      <c r="L5" s="180" t="s">
        <v>128</v>
      </c>
      <c r="M5" s="180" t="s">
        <v>129</v>
      </c>
      <c r="N5" s="180" t="s">
        <v>130</v>
      </c>
      <c r="O5" s="180" t="s">
        <v>104</v>
      </c>
    </row>
    <row r="6" spans="2:15" x14ac:dyDescent="0.25">
      <c r="B6" s="103" t="s">
        <v>131</v>
      </c>
      <c r="C6" s="104"/>
      <c r="D6" s="104"/>
      <c r="E6" s="104"/>
      <c r="F6" s="104"/>
      <c r="G6" s="104"/>
      <c r="H6" s="105"/>
      <c r="I6" s="105"/>
      <c r="J6" s="105"/>
      <c r="K6" s="105"/>
      <c r="L6" s="105"/>
      <c r="M6" s="105"/>
      <c r="N6" s="105"/>
      <c r="O6" s="106"/>
    </row>
    <row r="7" spans="2:15" x14ac:dyDescent="0.25">
      <c r="B7" s="107" t="s">
        <v>132</v>
      </c>
      <c r="C7" s="34"/>
      <c r="D7" s="34">
        <f>INGRESOS!F14/11</f>
        <v>139018.09090909094</v>
      </c>
      <c r="E7" s="34">
        <f>D7</f>
        <v>139018.09090909094</v>
      </c>
      <c r="F7" s="34">
        <f>E7</f>
        <v>139018.09090909094</v>
      </c>
      <c r="G7" s="34">
        <f t="shared" ref="G7:N7" si="0">F7</f>
        <v>139018.09090909094</v>
      </c>
      <c r="H7" s="34">
        <f t="shared" si="0"/>
        <v>139018.09090909094</v>
      </c>
      <c r="I7" s="34">
        <f t="shared" si="0"/>
        <v>139018.09090909094</v>
      </c>
      <c r="J7" s="34">
        <f t="shared" si="0"/>
        <v>139018.09090909094</v>
      </c>
      <c r="K7" s="34">
        <f t="shared" si="0"/>
        <v>139018.09090909094</v>
      </c>
      <c r="L7" s="34">
        <f t="shared" si="0"/>
        <v>139018.09090909094</v>
      </c>
      <c r="M7" s="34">
        <f t="shared" si="0"/>
        <v>139018.09090909094</v>
      </c>
      <c r="N7" s="34">
        <f t="shared" si="0"/>
        <v>139018.09090909094</v>
      </c>
      <c r="O7" s="108">
        <f>SUM(C7:N7)</f>
        <v>1529199</v>
      </c>
    </row>
    <row r="8" spans="2:15" x14ac:dyDescent="0.25">
      <c r="B8" s="109" t="s">
        <v>133</v>
      </c>
      <c r="C8" s="32"/>
      <c r="D8" s="32"/>
      <c r="E8" s="32"/>
      <c r="F8" s="32"/>
      <c r="G8" s="32"/>
      <c r="H8" s="18"/>
      <c r="I8" s="18"/>
      <c r="J8" s="18"/>
      <c r="K8" s="18"/>
      <c r="L8" s="18"/>
      <c r="M8" s="18"/>
      <c r="N8" s="18"/>
      <c r="O8" s="110"/>
    </row>
    <row r="9" spans="2:15" x14ac:dyDescent="0.25">
      <c r="B9" s="107" t="s">
        <v>134</v>
      </c>
      <c r="C9" s="34">
        <f>'COSTOS TOTALES'!C30/12</f>
        <v>0</v>
      </c>
      <c r="D9" s="34">
        <f>C9</f>
        <v>0</v>
      </c>
      <c r="E9" s="34">
        <f t="shared" ref="E9:N10" si="1">D9</f>
        <v>0</v>
      </c>
      <c r="F9" s="34">
        <f t="shared" si="1"/>
        <v>0</v>
      </c>
      <c r="G9" s="34">
        <f t="shared" si="1"/>
        <v>0</v>
      </c>
      <c r="H9" s="34">
        <f t="shared" si="1"/>
        <v>0</v>
      </c>
      <c r="I9" s="34">
        <f t="shared" si="1"/>
        <v>0</v>
      </c>
      <c r="J9" s="34">
        <f t="shared" si="1"/>
        <v>0</v>
      </c>
      <c r="K9" s="34">
        <f t="shared" si="1"/>
        <v>0</v>
      </c>
      <c r="L9" s="34">
        <f t="shared" si="1"/>
        <v>0</v>
      </c>
      <c r="M9" s="34">
        <f t="shared" si="1"/>
        <v>0</v>
      </c>
      <c r="N9" s="34">
        <f t="shared" si="1"/>
        <v>0</v>
      </c>
      <c r="O9" s="108">
        <f>SUM(C9:N9)</f>
        <v>0</v>
      </c>
    </row>
    <row r="10" spans="2:15" x14ac:dyDescent="0.25">
      <c r="B10" s="107" t="s">
        <v>135</v>
      </c>
      <c r="C10" s="34">
        <f>'COSTOS TOTALES'!C29/12</f>
        <v>79240</v>
      </c>
      <c r="D10" s="34">
        <f>C10</f>
        <v>79240</v>
      </c>
      <c r="E10" s="34">
        <f t="shared" si="1"/>
        <v>79240</v>
      </c>
      <c r="F10" s="34">
        <f t="shared" si="1"/>
        <v>79240</v>
      </c>
      <c r="G10" s="34">
        <f t="shared" si="1"/>
        <v>79240</v>
      </c>
      <c r="H10" s="34">
        <f t="shared" si="1"/>
        <v>79240</v>
      </c>
      <c r="I10" s="34">
        <f t="shared" si="1"/>
        <v>79240</v>
      </c>
      <c r="J10" s="34">
        <f t="shared" si="1"/>
        <v>79240</v>
      </c>
      <c r="K10" s="34">
        <f t="shared" si="1"/>
        <v>79240</v>
      </c>
      <c r="L10" s="34">
        <f t="shared" si="1"/>
        <v>79240</v>
      </c>
      <c r="M10" s="34">
        <f t="shared" si="1"/>
        <v>79240</v>
      </c>
      <c r="N10" s="34">
        <f t="shared" si="1"/>
        <v>79240</v>
      </c>
      <c r="O10" s="108">
        <f>SUM(C10:N10)</f>
        <v>950880</v>
      </c>
    </row>
    <row r="11" spans="2:15" x14ac:dyDescent="0.25">
      <c r="B11" s="107"/>
      <c r="C11" s="32"/>
      <c r="D11" s="32"/>
      <c r="E11" s="32"/>
      <c r="F11" s="32"/>
      <c r="G11" s="32"/>
      <c r="H11" s="18"/>
      <c r="I11" s="18"/>
      <c r="J11" s="18"/>
      <c r="K11" s="18"/>
      <c r="L11" s="18"/>
      <c r="M11" s="18"/>
      <c r="N11" s="18"/>
      <c r="O11" s="110"/>
    </row>
    <row r="12" spans="2:15" x14ac:dyDescent="0.25">
      <c r="B12" s="183" t="s">
        <v>136</v>
      </c>
      <c r="C12" s="184">
        <f>SUM(C9:C11)</f>
        <v>79240</v>
      </c>
      <c r="D12" s="184">
        <f t="shared" ref="D12:N12" si="2">SUM(D9:D11)</f>
        <v>79240</v>
      </c>
      <c r="E12" s="184">
        <f t="shared" si="2"/>
        <v>79240</v>
      </c>
      <c r="F12" s="184">
        <f t="shared" si="2"/>
        <v>79240</v>
      </c>
      <c r="G12" s="184">
        <f t="shared" si="2"/>
        <v>79240</v>
      </c>
      <c r="H12" s="184">
        <f t="shared" si="2"/>
        <v>79240</v>
      </c>
      <c r="I12" s="184">
        <f t="shared" si="2"/>
        <v>79240</v>
      </c>
      <c r="J12" s="184">
        <f t="shared" si="2"/>
        <v>79240</v>
      </c>
      <c r="K12" s="184">
        <f t="shared" si="2"/>
        <v>79240</v>
      </c>
      <c r="L12" s="184">
        <f t="shared" si="2"/>
        <v>79240</v>
      </c>
      <c r="M12" s="184">
        <f t="shared" si="2"/>
        <v>79240</v>
      </c>
      <c r="N12" s="184">
        <f t="shared" si="2"/>
        <v>79240</v>
      </c>
      <c r="O12" s="185">
        <f>SUM(C12:N12)</f>
        <v>950880</v>
      </c>
    </row>
    <row r="13" spans="2:15" x14ac:dyDescent="0.25">
      <c r="B13" s="107"/>
      <c r="C13" s="32"/>
      <c r="D13" s="32"/>
      <c r="E13" s="32"/>
      <c r="F13" s="32"/>
      <c r="G13" s="32"/>
      <c r="H13" s="18"/>
      <c r="I13" s="18"/>
      <c r="J13" s="18"/>
      <c r="K13" s="18"/>
      <c r="L13" s="18"/>
      <c r="M13" s="18"/>
      <c r="N13" s="18"/>
      <c r="O13" s="110"/>
    </row>
    <row r="14" spans="2:15" x14ac:dyDescent="0.25">
      <c r="B14" s="109" t="s">
        <v>137</v>
      </c>
      <c r="C14" s="32"/>
      <c r="D14" s="32"/>
      <c r="E14" s="32"/>
      <c r="F14" s="32"/>
      <c r="G14" s="32"/>
      <c r="H14" s="18"/>
      <c r="I14" s="18"/>
      <c r="J14" s="18"/>
      <c r="K14" s="18"/>
      <c r="L14" s="18"/>
      <c r="M14" s="18"/>
      <c r="N14" s="18"/>
      <c r="O14" s="110"/>
    </row>
    <row r="15" spans="2:15" x14ac:dyDescent="0.25">
      <c r="B15" s="107" t="s">
        <v>138</v>
      </c>
      <c r="C15" s="34">
        <f>C7-C12</f>
        <v>-79240</v>
      </c>
      <c r="D15" s="34">
        <f t="shared" ref="D15:N15" si="3">D7-D12</f>
        <v>59778.090909090941</v>
      </c>
      <c r="E15" s="34">
        <f t="shared" si="3"/>
        <v>59778.090909090941</v>
      </c>
      <c r="F15" s="34">
        <f t="shared" si="3"/>
        <v>59778.090909090941</v>
      </c>
      <c r="G15" s="34">
        <f t="shared" si="3"/>
        <v>59778.090909090941</v>
      </c>
      <c r="H15" s="34">
        <f t="shared" si="3"/>
        <v>59778.090909090941</v>
      </c>
      <c r="I15" s="34">
        <f t="shared" si="3"/>
        <v>59778.090909090941</v>
      </c>
      <c r="J15" s="34">
        <f t="shared" si="3"/>
        <v>59778.090909090941</v>
      </c>
      <c r="K15" s="34">
        <f t="shared" si="3"/>
        <v>59778.090909090941</v>
      </c>
      <c r="L15" s="34">
        <f t="shared" si="3"/>
        <v>59778.090909090941</v>
      </c>
      <c r="M15" s="34">
        <f t="shared" si="3"/>
        <v>59778.090909090941</v>
      </c>
      <c r="N15" s="34">
        <f t="shared" si="3"/>
        <v>59778.090909090941</v>
      </c>
      <c r="O15" s="108">
        <f>O7-O12</f>
        <v>578319</v>
      </c>
    </row>
    <row r="16" spans="2:15" ht="15.75" thickBot="1" x14ac:dyDescent="0.3">
      <c r="B16" s="111" t="s">
        <v>139</v>
      </c>
      <c r="C16" s="186">
        <f>C15</f>
        <v>-79240</v>
      </c>
      <c r="D16" s="112">
        <f>D15+C16</f>
        <v>-19461.909090909059</v>
      </c>
      <c r="E16" s="112">
        <f t="shared" ref="E16:N16" si="4">E15+D16</f>
        <v>40316.181818181882</v>
      </c>
      <c r="F16" s="112">
        <f t="shared" si="4"/>
        <v>100094.27272727282</v>
      </c>
      <c r="G16" s="112">
        <f t="shared" si="4"/>
        <v>159872.36363636376</v>
      </c>
      <c r="H16" s="112">
        <f t="shared" si="4"/>
        <v>219650.4545454547</v>
      </c>
      <c r="I16" s="112">
        <f t="shared" si="4"/>
        <v>279428.54545454565</v>
      </c>
      <c r="J16" s="112">
        <f t="shared" si="4"/>
        <v>339206.63636363659</v>
      </c>
      <c r="K16" s="112">
        <f t="shared" si="4"/>
        <v>398984.72727272753</v>
      </c>
      <c r="L16" s="112">
        <f t="shared" si="4"/>
        <v>458762.81818181847</v>
      </c>
      <c r="M16" s="112">
        <f t="shared" si="4"/>
        <v>518540.90909090941</v>
      </c>
      <c r="N16" s="112">
        <f t="shared" si="4"/>
        <v>578319.00000000035</v>
      </c>
      <c r="O16" s="113"/>
    </row>
    <row r="18" spans="8:8" x14ac:dyDescent="0.25">
      <c r="H18" s="76"/>
    </row>
    <row r="19" spans="8:8" x14ac:dyDescent="0.25">
      <c r="H19" s="76"/>
    </row>
    <row r="20" spans="8:8" x14ac:dyDescent="0.25">
      <c r="H20" s="76"/>
    </row>
  </sheetData>
  <mergeCells count="4">
    <mergeCell ref="B4:B5"/>
    <mergeCell ref="C4:O4"/>
    <mergeCell ref="B1:O1"/>
    <mergeCell ref="B3:O3"/>
  </mergeCells>
  <conditionalFormatting sqref="C16:N16">
    <cfRule type="top10" dxfId="0" priority="1" stopIfTrue="1" bottom="1" rank="1"/>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29"/>
  <sheetViews>
    <sheetView showGridLines="0" tabSelected="1" workbookViewId="0">
      <selection activeCell="D14" sqref="D14"/>
    </sheetView>
  </sheetViews>
  <sheetFormatPr baseColWidth="10" defaultRowHeight="15" x14ac:dyDescent="0.25"/>
  <cols>
    <col min="2" max="2" width="40.28515625" bestFit="1" customWidth="1"/>
    <col min="3" max="3" width="12.85546875" bestFit="1" customWidth="1"/>
    <col min="4" max="8" width="13.85546875" bestFit="1" customWidth="1"/>
    <col min="258" max="258" width="40.28515625" bestFit="1" customWidth="1"/>
    <col min="259" max="259" width="12.85546875" bestFit="1" customWidth="1"/>
    <col min="260" max="264" width="13.85546875" bestFit="1" customWidth="1"/>
    <col min="514" max="514" width="40.28515625" bestFit="1" customWidth="1"/>
    <col min="515" max="515" width="12.85546875" bestFit="1" customWidth="1"/>
    <col min="516" max="520" width="13.85546875" bestFit="1" customWidth="1"/>
    <col min="770" max="770" width="40.28515625" bestFit="1" customWidth="1"/>
    <col min="771" max="771" width="12.85546875" bestFit="1" customWidth="1"/>
    <col min="772" max="776" width="13.85546875" bestFit="1" customWidth="1"/>
    <col min="1026" max="1026" width="40.28515625" bestFit="1" customWidth="1"/>
    <col min="1027" max="1027" width="12.85546875" bestFit="1" customWidth="1"/>
    <col min="1028" max="1032" width="13.85546875" bestFit="1" customWidth="1"/>
    <col min="1282" max="1282" width="40.28515625" bestFit="1" customWidth="1"/>
    <col min="1283" max="1283" width="12.85546875" bestFit="1" customWidth="1"/>
    <col min="1284" max="1288" width="13.85546875" bestFit="1" customWidth="1"/>
    <col min="1538" max="1538" width="40.28515625" bestFit="1" customWidth="1"/>
    <col min="1539" max="1539" width="12.85546875" bestFit="1" customWidth="1"/>
    <col min="1540" max="1544" width="13.85546875" bestFit="1" customWidth="1"/>
    <col min="1794" max="1794" width="40.28515625" bestFit="1" customWidth="1"/>
    <col min="1795" max="1795" width="12.85546875" bestFit="1" customWidth="1"/>
    <col min="1796" max="1800" width="13.85546875" bestFit="1" customWidth="1"/>
    <col min="2050" max="2050" width="40.28515625" bestFit="1" customWidth="1"/>
    <col min="2051" max="2051" width="12.85546875" bestFit="1" customWidth="1"/>
    <col min="2052" max="2056" width="13.85546875" bestFit="1" customWidth="1"/>
    <col min="2306" max="2306" width="40.28515625" bestFit="1" customWidth="1"/>
    <col min="2307" max="2307" width="12.85546875" bestFit="1" customWidth="1"/>
    <col min="2308" max="2312" width="13.85546875" bestFit="1" customWidth="1"/>
    <col min="2562" max="2562" width="40.28515625" bestFit="1" customWidth="1"/>
    <col min="2563" max="2563" width="12.85546875" bestFit="1" customWidth="1"/>
    <col min="2564" max="2568" width="13.85546875" bestFit="1" customWidth="1"/>
    <col min="2818" max="2818" width="40.28515625" bestFit="1" customWidth="1"/>
    <col min="2819" max="2819" width="12.85546875" bestFit="1" customWidth="1"/>
    <col min="2820" max="2824" width="13.85546875" bestFit="1" customWidth="1"/>
    <col min="3074" max="3074" width="40.28515625" bestFit="1" customWidth="1"/>
    <col min="3075" max="3075" width="12.85546875" bestFit="1" customWidth="1"/>
    <col min="3076" max="3080" width="13.85546875" bestFit="1" customWidth="1"/>
    <col min="3330" max="3330" width="40.28515625" bestFit="1" customWidth="1"/>
    <col min="3331" max="3331" width="12.85546875" bestFit="1" customWidth="1"/>
    <col min="3332" max="3336" width="13.85546875" bestFit="1" customWidth="1"/>
    <col min="3586" max="3586" width="40.28515625" bestFit="1" customWidth="1"/>
    <col min="3587" max="3587" width="12.85546875" bestFit="1" customWidth="1"/>
    <col min="3588" max="3592" width="13.85546875" bestFit="1" customWidth="1"/>
    <col min="3842" max="3842" width="40.28515625" bestFit="1" customWidth="1"/>
    <col min="3843" max="3843" width="12.85546875" bestFit="1" customWidth="1"/>
    <col min="3844" max="3848" width="13.85546875" bestFit="1" customWidth="1"/>
    <col min="4098" max="4098" width="40.28515625" bestFit="1" customWidth="1"/>
    <col min="4099" max="4099" width="12.85546875" bestFit="1" customWidth="1"/>
    <col min="4100" max="4104" width="13.85546875" bestFit="1" customWidth="1"/>
    <col min="4354" max="4354" width="40.28515625" bestFit="1" customWidth="1"/>
    <col min="4355" max="4355" width="12.85546875" bestFit="1" customWidth="1"/>
    <col min="4356" max="4360" width="13.85546875" bestFit="1" customWidth="1"/>
    <col min="4610" max="4610" width="40.28515625" bestFit="1" customWidth="1"/>
    <col min="4611" max="4611" width="12.85546875" bestFit="1" customWidth="1"/>
    <col min="4612" max="4616" width="13.85546875" bestFit="1" customWidth="1"/>
    <col min="4866" max="4866" width="40.28515625" bestFit="1" customWidth="1"/>
    <col min="4867" max="4867" width="12.85546875" bestFit="1" customWidth="1"/>
    <col min="4868" max="4872" width="13.85546875" bestFit="1" customWidth="1"/>
    <col min="5122" max="5122" width="40.28515625" bestFit="1" customWidth="1"/>
    <col min="5123" max="5123" width="12.85546875" bestFit="1" customWidth="1"/>
    <col min="5124" max="5128" width="13.85546875" bestFit="1" customWidth="1"/>
    <col min="5378" max="5378" width="40.28515625" bestFit="1" customWidth="1"/>
    <col min="5379" max="5379" width="12.85546875" bestFit="1" customWidth="1"/>
    <col min="5380" max="5384" width="13.85546875" bestFit="1" customWidth="1"/>
    <col min="5634" max="5634" width="40.28515625" bestFit="1" customWidth="1"/>
    <col min="5635" max="5635" width="12.85546875" bestFit="1" customWidth="1"/>
    <col min="5636" max="5640" width="13.85546875" bestFit="1" customWidth="1"/>
    <col min="5890" max="5890" width="40.28515625" bestFit="1" customWidth="1"/>
    <col min="5891" max="5891" width="12.85546875" bestFit="1" customWidth="1"/>
    <col min="5892" max="5896" width="13.85546875" bestFit="1" customWidth="1"/>
    <col min="6146" max="6146" width="40.28515625" bestFit="1" customWidth="1"/>
    <col min="6147" max="6147" width="12.85546875" bestFit="1" customWidth="1"/>
    <col min="6148" max="6152" width="13.85546875" bestFit="1" customWidth="1"/>
    <col min="6402" max="6402" width="40.28515625" bestFit="1" customWidth="1"/>
    <col min="6403" max="6403" width="12.85546875" bestFit="1" customWidth="1"/>
    <col min="6404" max="6408" width="13.85546875" bestFit="1" customWidth="1"/>
    <col min="6658" max="6658" width="40.28515625" bestFit="1" customWidth="1"/>
    <col min="6659" max="6659" width="12.85546875" bestFit="1" customWidth="1"/>
    <col min="6660" max="6664" width="13.85546875" bestFit="1" customWidth="1"/>
    <col min="6914" max="6914" width="40.28515625" bestFit="1" customWidth="1"/>
    <col min="6915" max="6915" width="12.85546875" bestFit="1" customWidth="1"/>
    <col min="6916" max="6920" width="13.85546875" bestFit="1" customWidth="1"/>
    <col min="7170" max="7170" width="40.28515625" bestFit="1" customWidth="1"/>
    <col min="7171" max="7171" width="12.85546875" bestFit="1" customWidth="1"/>
    <col min="7172" max="7176" width="13.85546875" bestFit="1" customWidth="1"/>
    <col min="7426" max="7426" width="40.28515625" bestFit="1" customWidth="1"/>
    <col min="7427" max="7427" width="12.85546875" bestFit="1" customWidth="1"/>
    <col min="7428" max="7432" width="13.85546875" bestFit="1" customWidth="1"/>
    <col min="7682" max="7682" width="40.28515625" bestFit="1" customWidth="1"/>
    <col min="7683" max="7683" width="12.85546875" bestFit="1" customWidth="1"/>
    <col min="7684" max="7688" width="13.85546875" bestFit="1" customWidth="1"/>
    <col min="7938" max="7938" width="40.28515625" bestFit="1" customWidth="1"/>
    <col min="7939" max="7939" width="12.85546875" bestFit="1" customWidth="1"/>
    <col min="7940" max="7944" width="13.85546875" bestFit="1" customWidth="1"/>
    <col min="8194" max="8194" width="40.28515625" bestFit="1" customWidth="1"/>
    <col min="8195" max="8195" width="12.85546875" bestFit="1" customWidth="1"/>
    <col min="8196" max="8200" width="13.85546875" bestFit="1" customWidth="1"/>
    <col min="8450" max="8450" width="40.28515625" bestFit="1" customWidth="1"/>
    <col min="8451" max="8451" width="12.85546875" bestFit="1" customWidth="1"/>
    <col min="8452" max="8456" width="13.85546875" bestFit="1" customWidth="1"/>
    <col min="8706" max="8706" width="40.28515625" bestFit="1" customWidth="1"/>
    <col min="8707" max="8707" width="12.85546875" bestFit="1" customWidth="1"/>
    <col min="8708" max="8712" width="13.85546875" bestFit="1" customWidth="1"/>
    <col min="8962" max="8962" width="40.28515625" bestFit="1" customWidth="1"/>
    <col min="8963" max="8963" width="12.85546875" bestFit="1" customWidth="1"/>
    <col min="8964" max="8968" width="13.85546875" bestFit="1" customWidth="1"/>
    <col min="9218" max="9218" width="40.28515625" bestFit="1" customWidth="1"/>
    <col min="9219" max="9219" width="12.85546875" bestFit="1" customWidth="1"/>
    <col min="9220" max="9224" width="13.85546875" bestFit="1" customWidth="1"/>
    <col min="9474" max="9474" width="40.28515625" bestFit="1" customWidth="1"/>
    <col min="9475" max="9475" width="12.85546875" bestFit="1" customWidth="1"/>
    <col min="9476" max="9480" width="13.85546875" bestFit="1" customWidth="1"/>
    <col min="9730" max="9730" width="40.28515625" bestFit="1" customWidth="1"/>
    <col min="9731" max="9731" width="12.85546875" bestFit="1" customWidth="1"/>
    <col min="9732" max="9736" width="13.85546875" bestFit="1" customWidth="1"/>
    <col min="9986" max="9986" width="40.28515625" bestFit="1" customWidth="1"/>
    <col min="9987" max="9987" width="12.85546875" bestFit="1" customWidth="1"/>
    <col min="9988" max="9992" width="13.85546875" bestFit="1" customWidth="1"/>
    <col min="10242" max="10242" width="40.28515625" bestFit="1" customWidth="1"/>
    <col min="10243" max="10243" width="12.85546875" bestFit="1" customWidth="1"/>
    <col min="10244" max="10248" width="13.85546875" bestFit="1" customWidth="1"/>
    <col min="10498" max="10498" width="40.28515625" bestFit="1" customWidth="1"/>
    <col min="10499" max="10499" width="12.85546875" bestFit="1" customWidth="1"/>
    <col min="10500" max="10504" width="13.85546875" bestFit="1" customWidth="1"/>
    <col min="10754" max="10754" width="40.28515625" bestFit="1" customWidth="1"/>
    <col min="10755" max="10755" width="12.85546875" bestFit="1" customWidth="1"/>
    <col min="10756" max="10760" width="13.85546875" bestFit="1" customWidth="1"/>
    <col min="11010" max="11010" width="40.28515625" bestFit="1" customWidth="1"/>
    <col min="11011" max="11011" width="12.85546875" bestFit="1" customWidth="1"/>
    <col min="11012" max="11016" width="13.85546875" bestFit="1" customWidth="1"/>
    <col min="11266" max="11266" width="40.28515625" bestFit="1" customWidth="1"/>
    <col min="11267" max="11267" width="12.85546875" bestFit="1" customWidth="1"/>
    <col min="11268" max="11272" width="13.85546875" bestFit="1" customWidth="1"/>
    <col min="11522" max="11522" width="40.28515625" bestFit="1" customWidth="1"/>
    <col min="11523" max="11523" width="12.85546875" bestFit="1" customWidth="1"/>
    <col min="11524" max="11528" width="13.85546875" bestFit="1" customWidth="1"/>
    <col min="11778" max="11778" width="40.28515625" bestFit="1" customWidth="1"/>
    <col min="11779" max="11779" width="12.85546875" bestFit="1" customWidth="1"/>
    <col min="11780" max="11784" width="13.85546875" bestFit="1" customWidth="1"/>
    <col min="12034" max="12034" width="40.28515625" bestFit="1" customWidth="1"/>
    <col min="12035" max="12035" width="12.85546875" bestFit="1" customWidth="1"/>
    <col min="12036" max="12040" width="13.85546875" bestFit="1" customWidth="1"/>
    <col min="12290" max="12290" width="40.28515625" bestFit="1" customWidth="1"/>
    <col min="12291" max="12291" width="12.85546875" bestFit="1" customWidth="1"/>
    <col min="12292" max="12296" width="13.85546875" bestFit="1" customWidth="1"/>
    <col min="12546" max="12546" width="40.28515625" bestFit="1" customWidth="1"/>
    <col min="12547" max="12547" width="12.85546875" bestFit="1" customWidth="1"/>
    <col min="12548" max="12552" width="13.85546875" bestFit="1" customWidth="1"/>
    <col min="12802" max="12802" width="40.28515625" bestFit="1" customWidth="1"/>
    <col min="12803" max="12803" width="12.85546875" bestFit="1" customWidth="1"/>
    <col min="12804" max="12808" width="13.85546875" bestFit="1" customWidth="1"/>
    <col min="13058" max="13058" width="40.28515625" bestFit="1" customWidth="1"/>
    <col min="13059" max="13059" width="12.85546875" bestFit="1" customWidth="1"/>
    <col min="13060" max="13064" width="13.85546875" bestFit="1" customWidth="1"/>
    <col min="13314" max="13314" width="40.28515625" bestFit="1" customWidth="1"/>
    <col min="13315" max="13315" width="12.85546875" bestFit="1" customWidth="1"/>
    <col min="13316" max="13320" width="13.85546875" bestFit="1" customWidth="1"/>
    <col min="13570" max="13570" width="40.28515625" bestFit="1" customWidth="1"/>
    <col min="13571" max="13571" width="12.85546875" bestFit="1" customWidth="1"/>
    <col min="13572" max="13576" width="13.85546875" bestFit="1" customWidth="1"/>
    <col min="13826" max="13826" width="40.28515625" bestFit="1" customWidth="1"/>
    <col min="13827" max="13827" width="12.85546875" bestFit="1" customWidth="1"/>
    <col min="13828" max="13832" width="13.85546875" bestFit="1" customWidth="1"/>
    <col min="14082" max="14082" width="40.28515625" bestFit="1" customWidth="1"/>
    <col min="14083" max="14083" width="12.85546875" bestFit="1" customWidth="1"/>
    <col min="14084" max="14088" width="13.85546875" bestFit="1" customWidth="1"/>
    <col min="14338" max="14338" width="40.28515625" bestFit="1" customWidth="1"/>
    <col min="14339" max="14339" width="12.85546875" bestFit="1" customWidth="1"/>
    <col min="14340" max="14344" width="13.85546875" bestFit="1" customWidth="1"/>
    <col min="14594" max="14594" width="40.28515625" bestFit="1" customWidth="1"/>
    <col min="14595" max="14595" width="12.85546875" bestFit="1" customWidth="1"/>
    <col min="14596" max="14600" width="13.85546875" bestFit="1" customWidth="1"/>
    <col min="14850" max="14850" width="40.28515625" bestFit="1" customWidth="1"/>
    <col min="14851" max="14851" width="12.85546875" bestFit="1" customWidth="1"/>
    <col min="14852" max="14856" width="13.85546875" bestFit="1" customWidth="1"/>
    <col min="15106" max="15106" width="40.28515625" bestFit="1" customWidth="1"/>
    <col min="15107" max="15107" width="12.85546875" bestFit="1" customWidth="1"/>
    <col min="15108" max="15112" width="13.85546875" bestFit="1" customWidth="1"/>
    <col min="15362" max="15362" width="40.28515625" bestFit="1" customWidth="1"/>
    <col min="15363" max="15363" width="12.85546875" bestFit="1" customWidth="1"/>
    <col min="15364" max="15368" width="13.85546875" bestFit="1" customWidth="1"/>
    <col min="15618" max="15618" width="40.28515625" bestFit="1" customWidth="1"/>
    <col min="15619" max="15619" width="12.85546875" bestFit="1" customWidth="1"/>
    <col min="15620" max="15624" width="13.85546875" bestFit="1" customWidth="1"/>
    <col min="15874" max="15874" width="40.28515625" bestFit="1" customWidth="1"/>
    <col min="15875" max="15875" width="12.85546875" bestFit="1" customWidth="1"/>
    <col min="15876" max="15880" width="13.85546875" bestFit="1" customWidth="1"/>
    <col min="16130" max="16130" width="40.28515625" bestFit="1" customWidth="1"/>
    <col min="16131" max="16131" width="12.85546875" bestFit="1" customWidth="1"/>
    <col min="16132" max="16136" width="13.85546875" bestFit="1" customWidth="1"/>
  </cols>
  <sheetData>
    <row r="1" spans="2:8" ht="23.25" x14ac:dyDescent="0.35">
      <c r="B1" s="241" t="str">
        <f>Inversiones!B1</f>
        <v>NEMIZA</v>
      </c>
      <c r="C1" s="241"/>
      <c r="D1" s="241"/>
      <c r="E1" s="241"/>
      <c r="F1" s="241"/>
      <c r="G1" s="241"/>
      <c r="H1" s="241"/>
    </row>
    <row r="3" spans="2:8" ht="16.5" x14ac:dyDescent="0.25">
      <c r="B3" s="242" t="s">
        <v>140</v>
      </c>
      <c r="C3" s="242"/>
      <c r="D3" s="242"/>
      <c r="E3" s="242"/>
      <c r="F3" s="242"/>
      <c r="G3" s="242"/>
      <c r="H3" s="242"/>
    </row>
    <row r="5" spans="2:8" s="10" customFormat="1" x14ac:dyDescent="0.25">
      <c r="B5" s="179" t="s">
        <v>95</v>
      </c>
      <c r="C5" s="179" t="s">
        <v>141</v>
      </c>
      <c r="D5" s="179" t="s">
        <v>44</v>
      </c>
      <c r="E5" s="179" t="s">
        <v>45</v>
      </c>
      <c r="F5" s="179" t="s">
        <v>46</v>
      </c>
      <c r="G5" s="179" t="s">
        <v>47</v>
      </c>
      <c r="H5" s="179" t="s">
        <v>48</v>
      </c>
    </row>
    <row r="6" spans="2:8" x14ac:dyDescent="0.25">
      <c r="B6" s="178" t="s">
        <v>142</v>
      </c>
      <c r="C6" s="18"/>
      <c r="D6" s="18"/>
      <c r="E6" s="18"/>
      <c r="F6" s="18"/>
      <c r="G6" s="18"/>
      <c r="H6" s="18"/>
    </row>
    <row r="7" spans="2:8" x14ac:dyDescent="0.25">
      <c r="B7" s="18" t="s">
        <v>170</v>
      </c>
      <c r="C7" s="114">
        <f>+Inversiones!G25</f>
        <v>1148309</v>
      </c>
      <c r="D7" s="114"/>
      <c r="E7" s="114"/>
      <c r="F7" s="114"/>
      <c r="G7" s="114"/>
      <c r="H7" s="114"/>
    </row>
    <row r="8" spans="2:8" x14ac:dyDescent="0.25">
      <c r="B8" s="18" t="s">
        <v>171</v>
      </c>
      <c r="C8" s="114">
        <f>Inversiones!H25</f>
        <v>27000</v>
      </c>
      <c r="D8" s="114"/>
      <c r="E8" s="114"/>
      <c r="F8" s="114"/>
      <c r="G8" s="114"/>
      <c r="H8" s="114"/>
    </row>
    <row r="9" spans="2:8" x14ac:dyDescent="0.25">
      <c r="B9" s="18" t="s">
        <v>143</v>
      </c>
      <c r="C9" s="114">
        <v>0</v>
      </c>
      <c r="D9" s="114"/>
      <c r="E9" s="114"/>
      <c r="F9" s="114"/>
      <c r="G9" s="114"/>
      <c r="H9" s="114"/>
    </row>
    <row r="10" spans="2:8" x14ac:dyDescent="0.25">
      <c r="B10" s="18"/>
      <c r="C10" s="114"/>
      <c r="D10" s="114"/>
      <c r="E10" s="114"/>
      <c r="F10" s="114"/>
      <c r="G10" s="114"/>
      <c r="H10" s="114"/>
    </row>
    <row r="11" spans="2:8" x14ac:dyDescent="0.25">
      <c r="B11" s="71" t="s">
        <v>144</v>
      </c>
      <c r="C11" s="115"/>
      <c r="D11" s="115">
        <f>INGRESOS!F14</f>
        <v>1529199.0000000002</v>
      </c>
      <c r="E11" s="115">
        <f>INGRESOS!G14</f>
        <v>1835038.8000000003</v>
      </c>
      <c r="F11" s="115">
        <f>INGRESOS!H14</f>
        <v>2293798.5000000005</v>
      </c>
      <c r="G11" s="115">
        <f>INGRESOS!I14</f>
        <v>3096627.975000001</v>
      </c>
      <c r="H11" s="115">
        <f>INGRESOS!J14</f>
        <v>3870784.9687500014</v>
      </c>
    </row>
    <row r="12" spans="2:8" x14ac:dyDescent="0.25">
      <c r="B12" s="18" t="s">
        <v>145</v>
      </c>
      <c r="C12" s="114"/>
      <c r="D12" s="114"/>
      <c r="E12" s="114"/>
      <c r="F12" s="114"/>
      <c r="G12" s="114"/>
      <c r="H12" s="114">
        <f>DEPREC!H14</f>
        <v>32288.46428571429</v>
      </c>
    </row>
    <row r="13" spans="2:8" x14ac:dyDescent="0.25">
      <c r="B13" s="18"/>
      <c r="C13" s="114"/>
      <c r="D13" s="114"/>
      <c r="E13" s="114"/>
      <c r="F13" s="114"/>
      <c r="G13" s="114"/>
      <c r="H13" s="114"/>
    </row>
    <row r="14" spans="2:8" x14ac:dyDescent="0.25">
      <c r="B14" s="116" t="s">
        <v>146</v>
      </c>
      <c r="C14" s="117">
        <f t="shared" ref="C14:H14" si="0">SUM(C12+C11+C9+C8+C7)</f>
        <v>1175309</v>
      </c>
      <c r="D14" s="117">
        <f t="shared" si="0"/>
        <v>1529199.0000000002</v>
      </c>
      <c r="E14" s="117">
        <f t="shared" si="0"/>
        <v>1835038.8000000003</v>
      </c>
      <c r="F14" s="117">
        <f t="shared" si="0"/>
        <v>2293798.5000000005</v>
      </c>
      <c r="G14" s="117">
        <f t="shared" si="0"/>
        <v>3096627.975000001</v>
      </c>
      <c r="H14" s="117">
        <f t="shared" si="0"/>
        <v>3903073.4330357155</v>
      </c>
    </row>
    <row r="15" spans="2:8" x14ac:dyDescent="0.25">
      <c r="B15" s="18"/>
      <c r="C15" s="114"/>
      <c r="D15" s="114"/>
      <c r="E15" s="114"/>
      <c r="F15" s="114"/>
      <c r="G15" s="114"/>
      <c r="H15" s="114"/>
    </row>
    <row r="16" spans="2:8" x14ac:dyDescent="0.25">
      <c r="B16" s="178" t="s">
        <v>147</v>
      </c>
      <c r="C16" s="114"/>
      <c r="D16" s="114"/>
      <c r="E16" s="114"/>
      <c r="F16" s="114"/>
      <c r="G16" s="114"/>
      <c r="H16" s="114"/>
    </row>
    <row r="17" spans="2:9" x14ac:dyDescent="0.25">
      <c r="B17" s="116" t="s">
        <v>148</v>
      </c>
      <c r="C17" s="114"/>
      <c r="D17" s="114"/>
      <c r="E17" s="114"/>
      <c r="F17" s="114"/>
      <c r="G17" s="114"/>
      <c r="H17" s="114"/>
    </row>
    <row r="18" spans="2:9" x14ac:dyDescent="0.25">
      <c r="B18" s="18" t="s">
        <v>67</v>
      </c>
      <c r="C18" s="114">
        <f>Inversiones!F10</f>
        <v>209429</v>
      </c>
      <c r="D18" s="114"/>
      <c r="E18" s="114"/>
      <c r="F18" s="114"/>
      <c r="G18" s="114"/>
      <c r="H18" s="114"/>
    </row>
    <row r="19" spans="2:9" x14ac:dyDescent="0.25">
      <c r="B19" s="18" t="s">
        <v>68</v>
      </c>
      <c r="C19" s="114">
        <f>Inversiones!F17</f>
        <v>27000</v>
      </c>
      <c r="D19" s="114"/>
      <c r="E19" s="114"/>
      <c r="F19" s="114"/>
      <c r="G19" s="114"/>
      <c r="H19" s="114"/>
    </row>
    <row r="20" spans="2:9" x14ac:dyDescent="0.25">
      <c r="B20" s="18" t="s">
        <v>149</v>
      </c>
      <c r="C20" s="114">
        <f>Inversiones!F23</f>
        <v>938880</v>
      </c>
      <c r="D20" s="114"/>
      <c r="E20" s="114"/>
      <c r="F20" s="114"/>
      <c r="G20" s="114"/>
      <c r="H20" s="114"/>
    </row>
    <row r="21" spans="2:9" x14ac:dyDescent="0.25">
      <c r="B21" s="18"/>
      <c r="C21" s="114"/>
      <c r="D21" s="114"/>
      <c r="E21" s="114"/>
      <c r="F21" s="114"/>
      <c r="G21" s="114"/>
      <c r="H21" s="114"/>
    </row>
    <row r="22" spans="2:9" x14ac:dyDescent="0.25">
      <c r="B22" s="116" t="s">
        <v>150</v>
      </c>
      <c r="C22" s="114"/>
      <c r="D22" s="114">
        <f>'ESTADO DE RESULTADOS'!C9+'ESTADO DE RESULTADOS'!C13</f>
        <v>950880</v>
      </c>
      <c r="E22" s="114">
        <f>'ESTADO DE RESULTADOS'!D9+'ESTADO DE RESULTADOS'!D13</f>
        <v>960388.8</v>
      </c>
      <c r="F22" s="114">
        <f>'ESTADO DE RESULTADOS'!E9+'ESTADO DE RESULTADOS'!E13</f>
        <v>971913.4656</v>
      </c>
      <c r="G22" s="114">
        <f>'ESTADO DE RESULTADOS'!F9+'ESTADO DE RESULTADOS'!F13</f>
        <v>986492.16758399992</v>
      </c>
      <c r="H22" s="114">
        <f>'ESTADO DE RESULTADOS'!G9+'ESTADO DE RESULTADOS'!G13</f>
        <v>1000303.0579301759</v>
      </c>
    </row>
    <row r="23" spans="2:9" x14ac:dyDescent="0.25">
      <c r="B23" s="18"/>
      <c r="C23" s="114"/>
      <c r="D23" s="114"/>
      <c r="E23" s="114"/>
      <c r="F23" s="114"/>
      <c r="G23" s="114"/>
      <c r="H23" s="114"/>
    </row>
    <row r="24" spans="2:9" x14ac:dyDescent="0.25">
      <c r="B24" s="18" t="s">
        <v>151</v>
      </c>
      <c r="C24" s="114"/>
      <c r="D24" s="114">
        <f>+'ESTADO DE RESULTADOS'!C23</f>
        <v>173495.70000000007</v>
      </c>
      <c r="E24" s="114">
        <f>+'ESTADO DE RESULTADOS'!D23</f>
        <v>262395.00000000006</v>
      </c>
      <c r="F24" s="114">
        <f>+'ESTADO DE RESULTADOS'!E23</f>
        <v>396565.51032000012</v>
      </c>
      <c r="G24" s="114">
        <f>+'ESTADO DE RESULTADOS'!F23</f>
        <v>633040.7422248004</v>
      </c>
      <c r="H24" s="114">
        <f>+'ESTADO DE RESULTADOS'!G23</f>
        <v>861144.57324594771</v>
      </c>
      <c r="I24" s="114"/>
    </row>
    <row r="25" spans="2:9" x14ac:dyDescent="0.25">
      <c r="B25" s="18" t="s">
        <v>152</v>
      </c>
      <c r="C25" s="114"/>
      <c r="D25" s="114">
        <f>'ESTADO DE RESULTADOS'!C22</f>
        <v>57831.900000000023</v>
      </c>
      <c r="E25" s="114">
        <f>'ESTADO DE RESULTADOS'!D22</f>
        <v>87465.000000000029</v>
      </c>
      <c r="F25" s="114">
        <f>'ESTADO DE RESULTADOS'!E22</f>
        <v>132188.50344000006</v>
      </c>
      <c r="G25" s="114">
        <f>'ESTADO DE RESULTADOS'!F22</f>
        <v>211013.58074160013</v>
      </c>
      <c r="H25" s="114">
        <f>'ESTADO DE RESULTADOS'!G22</f>
        <v>287048.19108198257</v>
      </c>
    </row>
    <row r="26" spans="2:9" x14ac:dyDescent="0.25">
      <c r="B26" s="18"/>
      <c r="C26" s="114"/>
      <c r="D26" s="114"/>
      <c r="E26" s="114"/>
      <c r="F26" s="114"/>
      <c r="G26" s="114"/>
      <c r="H26" s="114"/>
    </row>
    <row r="27" spans="2:9" x14ac:dyDescent="0.25">
      <c r="B27" s="116" t="s">
        <v>153</v>
      </c>
      <c r="C27" s="117">
        <f t="shared" ref="C27:H27" si="1">C18+C19+C20+C22+C24+C25</f>
        <v>1175309</v>
      </c>
      <c r="D27" s="117">
        <f>D18+D19+D20+D22+D24+D25</f>
        <v>1182207.6000000001</v>
      </c>
      <c r="E27" s="117">
        <f t="shared" si="1"/>
        <v>1310248.8</v>
      </c>
      <c r="F27" s="117">
        <f t="shared" si="1"/>
        <v>1500667.4793600002</v>
      </c>
      <c r="G27" s="117">
        <f t="shared" si="1"/>
        <v>1830546.4905504005</v>
      </c>
      <c r="H27" s="117">
        <f t="shared" si="1"/>
        <v>2148495.8222581064</v>
      </c>
    </row>
    <row r="28" spans="2:9" x14ac:dyDescent="0.25">
      <c r="B28" s="18"/>
      <c r="C28" s="114"/>
      <c r="D28" s="114"/>
      <c r="E28" s="114"/>
      <c r="F28" s="114"/>
      <c r="G28" s="114"/>
      <c r="H28" s="114"/>
    </row>
    <row r="29" spans="2:9" x14ac:dyDescent="0.25">
      <c r="B29" s="176" t="s">
        <v>154</v>
      </c>
      <c r="C29" s="177">
        <f t="shared" ref="C29:H29" si="2">C14-C27</f>
        <v>0</v>
      </c>
      <c r="D29" s="177">
        <f t="shared" si="2"/>
        <v>346991.40000000014</v>
      </c>
      <c r="E29" s="177">
        <f t="shared" si="2"/>
        <v>524790.00000000023</v>
      </c>
      <c r="F29" s="177">
        <f t="shared" si="2"/>
        <v>793131.02064000024</v>
      </c>
      <c r="G29" s="177">
        <f t="shared" si="2"/>
        <v>1266081.4844496006</v>
      </c>
      <c r="H29" s="177">
        <f t="shared" si="2"/>
        <v>1754577.6107776091</v>
      </c>
    </row>
  </sheetData>
  <mergeCells count="2">
    <mergeCell ref="B1:H1"/>
    <mergeCell ref="B3:H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23603-1420-4D79-AFCB-691C377CF754}">
  <dimension ref="B3:F28"/>
  <sheetViews>
    <sheetView showGridLines="0" workbookViewId="0">
      <selection activeCell="D4" sqref="D4"/>
    </sheetView>
  </sheetViews>
  <sheetFormatPr baseColWidth="10" defaultRowHeight="15" x14ac:dyDescent="0.25"/>
  <cols>
    <col min="1" max="1" width="11.42578125" style="10"/>
    <col min="2" max="2" width="23.28515625" style="10" customWidth="1"/>
    <col min="3" max="5" width="23.28515625" style="171" customWidth="1"/>
    <col min="6" max="7" width="23.28515625" style="10" customWidth="1"/>
    <col min="8" max="16384" width="11.42578125" style="10"/>
  </cols>
  <sheetData>
    <row r="3" spans="2:6" s="230" customFormat="1" ht="62.25" customHeight="1" x14ac:dyDescent="0.25">
      <c r="B3" s="229" t="s">
        <v>216</v>
      </c>
      <c r="C3" s="229"/>
      <c r="D3" s="229"/>
      <c r="E3" s="229"/>
      <c r="F3" s="229"/>
    </row>
    <row r="4" spans="2:6" s="230" customFormat="1" ht="62.25" customHeight="1" x14ac:dyDescent="0.25">
      <c r="B4" s="231" t="s">
        <v>214</v>
      </c>
      <c r="C4" s="232" t="s">
        <v>213</v>
      </c>
      <c r="D4" s="232" t="s">
        <v>212</v>
      </c>
      <c r="E4" s="232" t="s">
        <v>215</v>
      </c>
      <c r="F4" s="231"/>
    </row>
    <row r="5" spans="2:6" x14ac:dyDescent="0.25">
      <c r="B5" s="172">
        <v>1</v>
      </c>
      <c r="C5" s="173">
        <v>1150000</v>
      </c>
      <c r="D5" s="173">
        <f>0.32/24</f>
        <v>1.3333333333333334E-2</v>
      </c>
      <c r="E5" s="173">
        <f>+C5*D5</f>
        <v>15333.333333333334</v>
      </c>
      <c r="F5" s="174">
        <f>+C5+E5</f>
        <v>1165333.3333333333</v>
      </c>
    </row>
    <row r="6" spans="2:6" x14ac:dyDescent="0.25">
      <c r="B6" s="172">
        <v>2</v>
      </c>
      <c r="C6" s="173">
        <f>+F5</f>
        <v>1165333.3333333333</v>
      </c>
      <c r="D6" s="173">
        <f t="shared" ref="D6:D28" si="0">0.32/24</f>
        <v>1.3333333333333334E-2</v>
      </c>
      <c r="E6" s="173">
        <f t="shared" ref="E6:E28" si="1">+C6*D6</f>
        <v>15537.777777777777</v>
      </c>
      <c r="F6" s="174">
        <f t="shared" ref="F6:F28" si="2">+C6+E6</f>
        <v>1180871.111111111</v>
      </c>
    </row>
    <row r="7" spans="2:6" x14ac:dyDescent="0.25">
      <c r="B7" s="172">
        <v>3</v>
      </c>
      <c r="C7" s="173">
        <f t="shared" ref="C7:C28" si="3">+F6</f>
        <v>1180871.111111111</v>
      </c>
      <c r="D7" s="173">
        <f t="shared" si="0"/>
        <v>1.3333333333333334E-2</v>
      </c>
      <c r="E7" s="173">
        <f t="shared" si="1"/>
        <v>15744.948148148147</v>
      </c>
      <c r="F7" s="174">
        <f t="shared" si="2"/>
        <v>1196616.0592592591</v>
      </c>
    </row>
    <row r="8" spans="2:6" x14ac:dyDescent="0.25">
      <c r="B8" s="172">
        <v>4</v>
      </c>
      <c r="C8" s="173">
        <f t="shared" si="3"/>
        <v>1196616.0592592591</v>
      </c>
      <c r="D8" s="173">
        <f t="shared" si="0"/>
        <v>1.3333333333333334E-2</v>
      </c>
      <c r="E8" s="173">
        <f t="shared" si="1"/>
        <v>15954.880790123456</v>
      </c>
      <c r="F8" s="174">
        <f t="shared" si="2"/>
        <v>1212570.9400493826</v>
      </c>
    </row>
    <row r="9" spans="2:6" x14ac:dyDescent="0.25">
      <c r="B9" s="172">
        <v>5</v>
      </c>
      <c r="C9" s="173">
        <f t="shared" si="3"/>
        <v>1212570.9400493826</v>
      </c>
      <c r="D9" s="173">
        <f t="shared" si="0"/>
        <v>1.3333333333333334E-2</v>
      </c>
      <c r="E9" s="173">
        <f t="shared" si="1"/>
        <v>16167.612533991769</v>
      </c>
      <c r="F9" s="174">
        <f t="shared" si="2"/>
        <v>1228738.5525833743</v>
      </c>
    </row>
    <row r="10" spans="2:6" x14ac:dyDescent="0.25">
      <c r="B10" s="172">
        <v>6</v>
      </c>
      <c r="C10" s="173">
        <f t="shared" si="3"/>
        <v>1228738.5525833743</v>
      </c>
      <c r="D10" s="173">
        <f t="shared" si="0"/>
        <v>1.3333333333333334E-2</v>
      </c>
      <c r="E10" s="173">
        <f t="shared" si="1"/>
        <v>16383.180701111658</v>
      </c>
      <c r="F10" s="174">
        <f t="shared" si="2"/>
        <v>1245121.733284486</v>
      </c>
    </row>
    <row r="11" spans="2:6" x14ac:dyDescent="0.25">
      <c r="B11" s="172">
        <v>7</v>
      </c>
      <c r="C11" s="173">
        <f t="shared" si="3"/>
        <v>1245121.733284486</v>
      </c>
      <c r="D11" s="173">
        <f t="shared" si="0"/>
        <v>1.3333333333333334E-2</v>
      </c>
      <c r="E11" s="173">
        <f t="shared" si="1"/>
        <v>16601.623110459816</v>
      </c>
      <c r="F11" s="174">
        <f t="shared" si="2"/>
        <v>1261723.3563949459</v>
      </c>
    </row>
    <row r="12" spans="2:6" x14ac:dyDescent="0.25">
      <c r="B12" s="172">
        <v>8</v>
      </c>
      <c r="C12" s="173">
        <f t="shared" si="3"/>
        <v>1261723.3563949459</v>
      </c>
      <c r="D12" s="173">
        <f t="shared" si="0"/>
        <v>1.3333333333333334E-2</v>
      </c>
      <c r="E12" s="173">
        <f t="shared" si="1"/>
        <v>16822.978085265946</v>
      </c>
      <c r="F12" s="174">
        <f t="shared" si="2"/>
        <v>1278546.3344802118</v>
      </c>
    </row>
    <row r="13" spans="2:6" x14ac:dyDescent="0.25">
      <c r="B13" s="172">
        <v>9</v>
      </c>
      <c r="C13" s="173">
        <f t="shared" si="3"/>
        <v>1278546.3344802118</v>
      </c>
      <c r="D13" s="173">
        <f t="shared" si="0"/>
        <v>1.3333333333333334E-2</v>
      </c>
      <c r="E13" s="173">
        <f t="shared" si="1"/>
        <v>17047.284459736158</v>
      </c>
      <c r="F13" s="174">
        <f t="shared" si="2"/>
        <v>1295593.618939948</v>
      </c>
    </row>
    <row r="14" spans="2:6" x14ac:dyDescent="0.25">
      <c r="B14" s="172">
        <v>10</v>
      </c>
      <c r="C14" s="173">
        <f t="shared" si="3"/>
        <v>1295593.618939948</v>
      </c>
      <c r="D14" s="173">
        <f t="shared" si="0"/>
        <v>1.3333333333333334E-2</v>
      </c>
      <c r="E14" s="173">
        <f t="shared" si="1"/>
        <v>17274.581585865973</v>
      </c>
      <c r="F14" s="174">
        <f t="shared" si="2"/>
        <v>1312868.200525814</v>
      </c>
    </row>
    <row r="15" spans="2:6" x14ac:dyDescent="0.25">
      <c r="B15" s="172">
        <v>11</v>
      </c>
      <c r="C15" s="173">
        <f t="shared" si="3"/>
        <v>1312868.200525814</v>
      </c>
      <c r="D15" s="173">
        <f t="shared" si="0"/>
        <v>1.3333333333333334E-2</v>
      </c>
      <c r="E15" s="173">
        <f t="shared" si="1"/>
        <v>17504.909340344188</v>
      </c>
      <c r="F15" s="174">
        <f t="shared" si="2"/>
        <v>1330373.1098661581</v>
      </c>
    </row>
    <row r="16" spans="2:6" x14ac:dyDescent="0.25">
      <c r="B16" s="172">
        <v>12</v>
      </c>
      <c r="C16" s="173">
        <f t="shared" si="3"/>
        <v>1330373.1098661581</v>
      </c>
      <c r="D16" s="173">
        <f t="shared" si="0"/>
        <v>1.3333333333333334E-2</v>
      </c>
      <c r="E16" s="173">
        <f t="shared" si="1"/>
        <v>17738.308131548776</v>
      </c>
      <c r="F16" s="174">
        <f t="shared" si="2"/>
        <v>1348111.4179977069</v>
      </c>
    </row>
    <row r="17" spans="2:6" x14ac:dyDescent="0.25">
      <c r="B17" s="172">
        <v>13</v>
      </c>
      <c r="C17" s="173">
        <f t="shared" si="3"/>
        <v>1348111.4179977069</v>
      </c>
      <c r="D17" s="173">
        <f t="shared" si="0"/>
        <v>1.3333333333333334E-2</v>
      </c>
      <c r="E17" s="173">
        <f t="shared" si="1"/>
        <v>17974.818906636094</v>
      </c>
      <c r="F17" s="174">
        <f t="shared" si="2"/>
        <v>1366086.2369043431</v>
      </c>
    </row>
    <row r="18" spans="2:6" x14ac:dyDescent="0.25">
      <c r="B18" s="172">
        <v>14</v>
      </c>
      <c r="C18" s="173">
        <f t="shared" si="3"/>
        <v>1366086.2369043431</v>
      </c>
      <c r="D18" s="173">
        <f t="shared" si="0"/>
        <v>1.3333333333333334E-2</v>
      </c>
      <c r="E18" s="173">
        <f t="shared" si="1"/>
        <v>18214.483158724575</v>
      </c>
      <c r="F18" s="174">
        <f t="shared" si="2"/>
        <v>1384300.7200630677</v>
      </c>
    </row>
    <row r="19" spans="2:6" x14ac:dyDescent="0.25">
      <c r="B19" s="172">
        <v>15</v>
      </c>
      <c r="C19" s="173">
        <f t="shared" si="3"/>
        <v>1384300.7200630677</v>
      </c>
      <c r="D19" s="173">
        <f t="shared" si="0"/>
        <v>1.3333333333333334E-2</v>
      </c>
      <c r="E19" s="173">
        <f t="shared" si="1"/>
        <v>18457.342934174238</v>
      </c>
      <c r="F19" s="174">
        <f t="shared" si="2"/>
        <v>1402758.062997242</v>
      </c>
    </row>
    <row r="20" spans="2:6" x14ac:dyDescent="0.25">
      <c r="B20" s="172">
        <v>16</v>
      </c>
      <c r="C20" s="173">
        <f t="shared" si="3"/>
        <v>1402758.062997242</v>
      </c>
      <c r="D20" s="173">
        <f t="shared" si="0"/>
        <v>1.3333333333333334E-2</v>
      </c>
      <c r="E20" s="173">
        <f t="shared" si="1"/>
        <v>18703.440839963227</v>
      </c>
      <c r="F20" s="174">
        <f t="shared" si="2"/>
        <v>1421461.5038372052</v>
      </c>
    </row>
    <row r="21" spans="2:6" x14ac:dyDescent="0.25">
      <c r="B21" s="172">
        <v>17</v>
      </c>
      <c r="C21" s="173">
        <f t="shared" si="3"/>
        <v>1421461.5038372052</v>
      </c>
      <c r="D21" s="173">
        <f t="shared" si="0"/>
        <v>1.3333333333333334E-2</v>
      </c>
      <c r="E21" s="173">
        <f t="shared" si="1"/>
        <v>18952.820051162736</v>
      </c>
      <c r="F21" s="174">
        <f t="shared" si="2"/>
        <v>1440414.323888368</v>
      </c>
    </row>
    <row r="22" spans="2:6" x14ac:dyDescent="0.25">
      <c r="B22" s="172">
        <v>18</v>
      </c>
      <c r="C22" s="173">
        <f t="shared" si="3"/>
        <v>1440414.323888368</v>
      </c>
      <c r="D22" s="173">
        <f t="shared" si="0"/>
        <v>1.3333333333333334E-2</v>
      </c>
      <c r="E22" s="173">
        <f t="shared" si="1"/>
        <v>19205.524318511576</v>
      </c>
      <c r="F22" s="174">
        <f t="shared" si="2"/>
        <v>1459619.8482068796</v>
      </c>
    </row>
    <row r="23" spans="2:6" x14ac:dyDescent="0.25">
      <c r="B23" s="172">
        <v>19</v>
      </c>
      <c r="C23" s="173">
        <f t="shared" si="3"/>
        <v>1459619.8482068796</v>
      </c>
      <c r="D23" s="173">
        <f t="shared" si="0"/>
        <v>1.3333333333333334E-2</v>
      </c>
      <c r="E23" s="173">
        <f t="shared" si="1"/>
        <v>19461.597976091729</v>
      </c>
      <c r="F23" s="174">
        <f t="shared" si="2"/>
        <v>1479081.4461829714</v>
      </c>
    </row>
    <row r="24" spans="2:6" x14ac:dyDescent="0.25">
      <c r="B24" s="172">
        <v>20</v>
      </c>
      <c r="C24" s="173">
        <f t="shared" si="3"/>
        <v>1479081.4461829714</v>
      </c>
      <c r="D24" s="173">
        <f t="shared" si="0"/>
        <v>1.3333333333333334E-2</v>
      </c>
      <c r="E24" s="173">
        <f t="shared" si="1"/>
        <v>19721.085949106287</v>
      </c>
      <c r="F24" s="174">
        <f t="shared" si="2"/>
        <v>1498802.5321320777</v>
      </c>
    </row>
    <row r="25" spans="2:6" x14ac:dyDescent="0.25">
      <c r="B25" s="172">
        <v>21</v>
      </c>
      <c r="C25" s="173">
        <f t="shared" si="3"/>
        <v>1498802.5321320777</v>
      </c>
      <c r="D25" s="173">
        <f t="shared" si="0"/>
        <v>1.3333333333333334E-2</v>
      </c>
      <c r="E25" s="173">
        <f t="shared" si="1"/>
        <v>19984.033761761038</v>
      </c>
      <c r="F25" s="174">
        <f t="shared" si="2"/>
        <v>1518786.5658938389</v>
      </c>
    </row>
    <row r="26" spans="2:6" x14ac:dyDescent="0.25">
      <c r="B26" s="172">
        <v>22</v>
      </c>
      <c r="C26" s="173">
        <f t="shared" si="3"/>
        <v>1518786.5658938389</v>
      </c>
      <c r="D26" s="173">
        <f t="shared" si="0"/>
        <v>1.3333333333333334E-2</v>
      </c>
      <c r="E26" s="173">
        <f t="shared" si="1"/>
        <v>20250.487545251188</v>
      </c>
      <c r="F26" s="174">
        <f t="shared" si="2"/>
        <v>1539037.05343909</v>
      </c>
    </row>
    <row r="27" spans="2:6" x14ac:dyDescent="0.25">
      <c r="B27" s="172">
        <v>23</v>
      </c>
      <c r="C27" s="173">
        <f t="shared" si="3"/>
        <v>1539037.05343909</v>
      </c>
      <c r="D27" s="173">
        <f t="shared" si="0"/>
        <v>1.3333333333333334E-2</v>
      </c>
      <c r="E27" s="173">
        <f t="shared" si="1"/>
        <v>20520.494045854535</v>
      </c>
      <c r="F27" s="174">
        <f t="shared" si="2"/>
        <v>1559557.5474849446</v>
      </c>
    </row>
    <row r="28" spans="2:6" x14ac:dyDescent="0.25">
      <c r="B28" s="172">
        <v>24</v>
      </c>
      <c r="C28" s="173">
        <f t="shared" si="3"/>
        <v>1559557.5474849446</v>
      </c>
      <c r="D28" s="173">
        <f t="shared" si="0"/>
        <v>1.3333333333333334E-2</v>
      </c>
      <c r="E28" s="173">
        <f t="shared" si="1"/>
        <v>20794.100633132595</v>
      </c>
      <c r="F28" s="174">
        <f t="shared" si="2"/>
        <v>1580351.6481180771</v>
      </c>
    </row>
  </sheetData>
  <mergeCells count="1">
    <mergeCell ref="B3:F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2"/>
  <sheetViews>
    <sheetView showGridLines="0" workbookViewId="0">
      <selection activeCell="B2" sqref="B2:I2"/>
    </sheetView>
  </sheetViews>
  <sheetFormatPr baseColWidth="10" defaultRowHeight="15" x14ac:dyDescent="0.25"/>
  <cols>
    <col min="1" max="1" width="6" style="11" customWidth="1"/>
    <col min="2" max="2" width="37.85546875" style="11" customWidth="1"/>
    <col min="3" max="3" width="22.7109375" style="11" customWidth="1"/>
    <col min="4" max="4" width="19.7109375" style="11" customWidth="1"/>
    <col min="5" max="5" width="19.42578125" style="11" bestFit="1" customWidth="1"/>
    <col min="6" max="6" width="20.7109375" style="11" customWidth="1"/>
    <col min="7" max="7" width="20.5703125" style="11" customWidth="1"/>
    <col min="8" max="8" width="17.5703125" style="11" customWidth="1"/>
    <col min="9" max="9" width="15.7109375" style="11" customWidth="1"/>
    <col min="10" max="10" width="11.42578125" style="11"/>
    <col min="11" max="11" width="15.7109375" style="11" customWidth="1"/>
    <col min="12" max="16384" width="11.42578125" style="11"/>
  </cols>
  <sheetData>
    <row r="1" spans="2:9" ht="26.25" x14ac:dyDescent="0.4">
      <c r="B1" s="194" t="s">
        <v>164</v>
      </c>
      <c r="C1" s="194"/>
      <c r="D1" s="194"/>
      <c r="E1" s="194"/>
      <c r="F1" s="194"/>
      <c r="G1" s="194"/>
      <c r="H1" s="194"/>
      <c r="I1" s="194"/>
    </row>
    <row r="2" spans="2:9" ht="21" x14ac:dyDescent="0.35">
      <c r="B2" s="195" t="str">
        <f>Inversiones!B1:I1</f>
        <v>NEMIZA</v>
      </c>
      <c r="C2" s="195"/>
      <c r="D2" s="195"/>
      <c r="E2" s="195"/>
      <c r="F2" s="195"/>
      <c r="G2" s="195"/>
      <c r="H2" s="195"/>
      <c r="I2" s="195"/>
    </row>
    <row r="3" spans="2:9" x14ac:dyDescent="0.25">
      <c r="B3" s="23" t="s">
        <v>164</v>
      </c>
    </row>
    <row r="4" spans="2:9" x14ac:dyDescent="0.25">
      <c r="B4" s="134" t="s">
        <v>30</v>
      </c>
      <c r="C4" s="134" t="s">
        <v>31</v>
      </c>
      <c r="D4" s="133" t="s">
        <v>198</v>
      </c>
      <c r="E4" s="134" t="s">
        <v>38</v>
      </c>
      <c r="F4" s="135" t="s">
        <v>32</v>
      </c>
      <c r="G4" s="133" t="s">
        <v>33</v>
      </c>
      <c r="H4" s="135" t="s">
        <v>34</v>
      </c>
      <c r="I4" s="135" t="s">
        <v>35</v>
      </c>
    </row>
    <row r="5" spans="2:9" x14ac:dyDescent="0.25">
      <c r="B5" s="98" t="s">
        <v>179</v>
      </c>
      <c r="C5" s="85"/>
      <c r="D5" s="99"/>
      <c r="E5" s="99"/>
      <c r="F5" s="99"/>
      <c r="G5" s="99"/>
      <c r="H5" s="99"/>
      <c r="I5" s="99"/>
    </row>
    <row r="6" spans="2:9" x14ac:dyDescent="0.25">
      <c r="B6" s="18" t="s">
        <v>181</v>
      </c>
      <c r="C6" s="85" t="s">
        <v>197</v>
      </c>
      <c r="D6" s="99">
        <v>899</v>
      </c>
      <c r="E6" s="99">
        <v>105</v>
      </c>
      <c r="F6" s="99">
        <f>E6*D6</f>
        <v>94395</v>
      </c>
      <c r="G6" s="99">
        <f>D6*1.35</f>
        <v>1213.6500000000001</v>
      </c>
      <c r="H6" s="99">
        <f>G6*E6</f>
        <v>127433.25000000001</v>
      </c>
      <c r="I6" s="99">
        <f>H6*12</f>
        <v>1529199.0000000002</v>
      </c>
    </row>
    <row r="7" spans="2:9" x14ac:dyDescent="0.25">
      <c r="B7" s="18"/>
      <c r="C7" s="85"/>
      <c r="D7" s="99"/>
      <c r="E7" s="99"/>
      <c r="F7" s="99">
        <f t="shared" ref="F7" si="0">E7*D7</f>
        <v>0</v>
      </c>
      <c r="G7" s="99">
        <f t="shared" ref="G7" si="1">D7+(D7*25%)</f>
        <v>0</v>
      </c>
      <c r="H7" s="99">
        <f t="shared" ref="H7" si="2">G7*E7</f>
        <v>0</v>
      </c>
      <c r="I7" s="99">
        <f t="shared" ref="I7" si="3">H7*12</f>
        <v>0</v>
      </c>
    </row>
    <row r="8" spans="2:9" x14ac:dyDescent="0.25">
      <c r="B8" s="13"/>
      <c r="C8" s="12"/>
      <c r="D8" s="14"/>
      <c r="E8" s="14"/>
      <c r="F8" s="14"/>
      <c r="G8" s="14"/>
      <c r="H8" s="14"/>
      <c r="I8" s="14"/>
    </row>
    <row r="9" spans="2:9" x14ac:dyDescent="0.25">
      <c r="C9" s="12"/>
      <c r="D9" s="12"/>
      <c r="F9" s="24">
        <f>SUM(F5:F8)</f>
        <v>94395</v>
      </c>
      <c r="G9" s="23"/>
      <c r="H9" s="24">
        <f>SUM(H5:H8)</f>
        <v>127433.25000000001</v>
      </c>
      <c r="I9" s="24">
        <f>SUM(I5:I8)</f>
        <v>1529199.0000000002</v>
      </c>
    </row>
    <row r="12" spans="2:9" x14ac:dyDescent="0.25">
      <c r="B12" s="23" t="s">
        <v>112</v>
      </c>
    </row>
    <row r="14" spans="2:9" x14ac:dyDescent="0.25">
      <c r="B14" s="134" t="s">
        <v>95</v>
      </c>
      <c r="C14" s="134" t="s">
        <v>113</v>
      </c>
      <c r="D14" s="134" t="s">
        <v>114</v>
      </c>
      <c r="E14" s="134" t="s">
        <v>115</v>
      </c>
      <c r="F14" s="134" t="s">
        <v>116</v>
      </c>
      <c r="G14" s="134" t="s">
        <v>117</v>
      </c>
    </row>
    <row r="15" spans="2:9" x14ac:dyDescent="0.25">
      <c r="B15" s="3" t="s">
        <v>203</v>
      </c>
      <c r="C15" s="119" t="s">
        <v>195</v>
      </c>
      <c r="D15" s="119">
        <v>1</v>
      </c>
      <c r="E15" s="121">
        <f>+G32</f>
        <v>71100</v>
      </c>
      <c r="F15" s="123">
        <v>1</v>
      </c>
      <c r="G15" s="121">
        <f>F15*E15*D15</f>
        <v>71100</v>
      </c>
    </row>
    <row r="16" spans="2:9" x14ac:dyDescent="0.25">
      <c r="B16" s="3" t="s">
        <v>182</v>
      </c>
      <c r="C16" s="119" t="s">
        <v>185</v>
      </c>
      <c r="D16" s="119">
        <v>1</v>
      </c>
      <c r="E16" s="120">
        <v>1240</v>
      </c>
      <c r="F16" s="123">
        <v>1</v>
      </c>
      <c r="G16" s="120">
        <f t="shared" ref="G16:G18" si="4">F16*E16*D16</f>
        <v>1240</v>
      </c>
    </row>
    <row r="17" spans="2:7" x14ac:dyDescent="0.25">
      <c r="B17" s="3" t="s">
        <v>187</v>
      </c>
      <c r="C17" s="119" t="s">
        <v>185</v>
      </c>
      <c r="D17" s="119">
        <v>1</v>
      </c>
      <c r="E17" s="120">
        <v>1400</v>
      </c>
      <c r="F17" s="123">
        <v>1</v>
      </c>
      <c r="G17" s="120">
        <f>F17*E17*D17</f>
        <v>1400</v>
      </c>
    </row>
    <row r="18" spans="2:7" x14ac:dyDescent="0.25">
      <c r="B18" s="3" t="s">
        <v>180</v>
      </c>
      <c r="C18" s="119" t="s">
        <v>185</v>
      </c>
      <c r="D18" s="119">
        <v>1</v>
      </c>
      <c r="E18" s="120">
        <v>4500</v>
      </c>
      <c r="F18" s="123">
        <v>1</v>
      </c>
      <c r="G18" s="120">
        <f t="shared" si="4"/>
        <v>4500</v>
      </c>
    </row>
    <row r="19" spans="2:7" x14ac:dyDescent="0.25">
      <c r="B19" s="3" t="s">
        <v>200</v>
      </c>
      <c r="C19" s="119" t="s">
        <v>185</v>
      </c>
      <c r="D19" s="119">
        <v>1</v>
      </c>
      <c r="E19" s="120">
        <v>12000</v>
      </c>
      <c r="F19" s="120">
        <f>1/12</f>
        <v>8.3333333333333329E-2</v>
      </c>
      <c r="G19" s="120">
        <f>F19*E19*D19</f>
        <v>1000</v>
      </c>
    </row>
    <row r="22" spans="2:7" x14ac:dyDescent="0.25">
      <c r="G22" s="151">
        <f>SUM(G15:G19)</f>
        <v>79240</v>
      </c>
    </row>
    <row r="27" spans="2:7" x14ac:dyDescent="0.25">
      <c r="B27" s="133" t="s">
        <v>188</v>
      </c>
      <c r="C27" s="133" t="s">
        <v>191</v>
      </c>
      <c r="D27" s="133" t="s">
        <v>114</v>
      </c>
      <c r="E27" s="133" t="s">
        <v>202</v>
      </c>
      <c r="F27" s="133" t="s">
        <v>192</v>
      </c>
      <c r="G27" s="133" t="s">
        <v>194</v>
      </c>
    </row>
    <row r="28" spans="2:7" x14ac:dyDescent="0.25">
      <c r="B28" s="21" t="s">
        <v>189</v>
      </c>
      <c r="C28" s="21" t="s">
        <v>193</v>
      </c>
      <c r="D28" s="21">
        <v>3</v>
      </c>
      <c r="E28" s="86">
        <f>350*15</f>
        <v>5250</v>
      </c>
      <c r="F28" s="86">
        <f>E28*2</f>
        <v>10500</v>
      </c>
      <c r="G28" s="86">
        <f>+F28*D28</f>
        <v>31500</v>
      </c>
    </row>
    <row r="29" spans="2:7" x14ac:dyDescent="0.25">
      <c r="B29" s="21" t="s">
        <v>183</v>
      </c>
      <c r="C29" s="21" t="s">
        <v>193</v>
      </c>
      <c r="D29" s="21">
        <v>2</v>
      </c>
      <c r="E29" s="86">
        <f>250*15</f>
        <v>3750</v>
      </c>
      <c r="F29" s="86">
        <f t="shared" ref="F29:F31" si="5">E29*2</f>
        <v>7500</v>
      </c>
      <c r="G29" s="86">
        <f>+F29*D29</f>
        <v>15000</v>
      </c>
    </row>
    <row r="30" spans="2:7" x14ac:dyDescent="0.25">
      <c r="B30" s="21" t="s">
        <v>190</v>
      </c>
      <c r="C30" s="21" t="s">
        <v>193</v>
      </c>
      <c r="D30" s="21">
        <v>2</v>
      </c>
      <c r="E30" s="86">
        <f>270*15</f>
        <v>4050</v>
      </c>
      <c r="F30" s="86">
        <f t="shared" si="5"/>
        <v>8100</v>
      </c>
      <c r="G30" s="86">
        <f>+F30*D30</f>
        <v>16200</v>
      </c>
    </row>
    <row r="31" spans="2:7" x14ac:dyDescent="0.25">
      <c r="B31" s="21" t="s">
        <v>201</v>
      </c>
      <c r="C31" s="21" t="s">
        <v>193</v>
      </c>
      <c r="D31" s="21">
        <v>1</v>
      </c>
      <c r="E31" s="86">
        <f>280*15</f>
        <v>4200</v>
      </c>
      <c r="F31" s="86">
        <f t="shared" si="5"/>
        <v>8400</v>
      </c>
      <c r="G31" s="86">
        <f>+F31*D31</f>
        <v>8400</v>
      </c>
    </row>
    <row r="32" spans="2:7" x14ac:dyDescent="0.25">
      <c r="B32" s="21"/>
      <c r="C32" s="21"/>
      <c r="D32" s="21">
        <f>SUM(D28:D31)</f>
        <v>8</v>
      </c>
      <c r="E32" s="86">
        <f>SUM(E28:E31)</f>
        <v>17250</v>
      </c>
      <c r="F32" s="86">
        <f t="shared" ref="F32:G32" si="6">SUM(F28:F31)</f>
        <v>34500</v>
      </c>
      <c r="G32" s="86">
        <f t="shared" si="6"/>
        <v>71100</v>
      </c>
    </row>
  </sheetData>
  <mergeCells count="2">
    <mergeCell ref="B1:I1"/>
    <mergeCell ref="B2:I2"/>
  </mergeCells>
  <phoneticPr fontId="0" type="noConversion"/>
  <pageMargins left="0.7" right="0.7" top="0.75" bottom="0.75" header="0.3" footer="0.3"/>
  <pageSetup paperSize="9" orientation="landscape"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Spinner 1">
              <controlPr defaultSize="0" autoPict="0">
                <anchor moveWithCells="1" sizeWithCells="1">
                  <from>
                    <xdr:col>2</xdr:col>
                    <xdr:colOff>0</xdr:colOff>
                    <xdr:row>7</xdr:row>
                    <xdr:rowOff>0</xdr:rowOff>
                  </from>
                  <to>
                    <xdr:col>2</xdr:col>
                    <xdr:colOff>0</xdr:colOff>
                    <xdr:row>7</xdr:row>
                    <xdr:rowOff>0</xdr:rowOff>
                  </to>
                </anchor>
              </controlPr>
            </control>
          </mc:Choice>
        </mc:AlternateContent>
        <mc:AlternateContent xmlns:mc="http://schemas.openxmlformats.org/markup-compatibility/2006">
          <mc:Choice Requires="x14">
            <control shapeId="3074" r:id="rId5" name="Spinner 2">
              <controlPr defaultSize="0" autoPict="0">
                <anchor moveWithCells="1" sizeWithCells="1">
                  <from>
                    <xdr:col>2</xdr:col>
                    <xdr:colOff>0</xdr:colOff>
                    <xdr:row>7</xdr:row>
                    <xdr:rowOff>0</xdr:rowOff>
                  </from>
                  <to>
                    <xdr:col>2</xdr:col>
                    <xdr:colOff>0</xdr:colOff>
                    <xdr:row>7</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21"/>
  <sheetViews>
    <sheetView showGridLines="0" workbookViewId="0">
      <selection activeCell="F18" sqref="F18"/>
    </sheetView>
  </sheetViews>
  <sheetFormatPr baseColWidth="10" defaultRowHeight="15" x14ac:dyDescent="0.25"/>
  <cols>
    <col min="1" max="1" width="4" customWidth="1"/>
    <col min="2" max="2" width="37.85546875" customWidth="1"/>
    <col min="3" max="3" width="20.85546875" bestFit="1" customWidth="1"/>
    <col min="4" max="8" width="15.42578125" customWidth="1"/>
  </cols>
  <sheetData>
    <row r="2" spans="2:8" ht="21" customHeight="1" x14ac:dyDescent="0.35">
      <c r="B2" s="196" t="str">
        <f>'MEMORIAS DE CALCULO'!B2:I2</f>
        <v>NEMIZA</v>
      </c>
      <c r="C2" s="196"/>
      <c r="D2" s="196"/>
      <c r="E2" s="196"/>
      <c r="F2" s="196"/>
      <c r="G2" s="196"/>
      <c r="H2" s="196"/>
    </row>
    <row r="3" spans="2:8" ht="21" customHeight="1" x14ac:dyDescent="0.35">
      <c r="B3" s="197" t="s">
        <v>162</v>
      </c>
      <c r="C3" s="197"/>
      <c r="D3" s="197"/>
      <c r="E3" s="197"/>
      <c r="F3" s="197"/>
      <c r="G3" s="197"/>
      <c r="H3" s="197"/>
    </row>
    <row r="5" spans="2:8" ht="15.75" x14ac:dyDescent="0.25">
      <c r="B5" s="124" t="s">
        <v>10</v>
      </c>
      <c r="C5" s="124" t="s">
        <v>11</v>
      </c>
      <c r="D5" s="124" t="s">
        <v>12</v>
      </c>
      <c r="E5" s="124" t="s">
        <v>12</v>
      </c>
      <c r="F5" s="124" t="s">
        <v>12</v>
      </c>
      <c r="G5" s="124" t="s">
        <v>12</v>
      </c>
      <c r="H5" s="124" t="s">
        <v>12</v>
      </c>
    </row>
    <row r="6" spans="2:8" x14ac:dyDescent="0.25">
      <c r="B6" s="126" t="s">
        <v>9</v>
      </c>
      <c r="C6" s="127" t="s">
        <v>32</v>
      </c>
      <c r="D6" s="136">
        <v>1</v>
      </c>
      <c r="E6" s="136">
        <v>2</v>
      </c>
      <c r="F6" s="136">
        <v>3</v>
      </c>
      <c r="G6" s="136">
        <v>4</v>
      </c>
      <c r="H6" s="136">
        <v>5</v>
      </c>
    </row>
    <row r="7" spans="2:8" x14ac:dyDescent="0.25">
      <c r="B7" s="3" t="str">
        <f>+'MEMORIAS DE CALCULO'!B15</f>
        <v>Nómina</v>
      </c>
      <c r="C7" s="6">
        <f>+'MEMORIAS DE CALCULO'!G15</f>
        <v>71100</v>
      </c>
      <c r="D7" s="6">
        <f>C7*12</f>
        <v>853200</v>
      </c>
      <c r="E7" s="6">
        <f>D7*1.01</f>
        <v>861732</v>
      </c>
      <c r="F7" s="6">
        <f>E7*1.012</f>
        <v>872072.78399999999</v>
      </c>
      <c r="G7" s="6">
        <f>F7*1.015</f>
        <v>885153.87575999985</v>
      </c>
      <c r="H7" s="6">
        <f>G7*1.014</f>
        <v>897546.03002063988</v>
      </c>
    </row>
    <row r="8" spans="2:8" x14ac:dyDescent="0.25">
      <c r="B8" s="3" t="str">
        <f>+'MEMORIAS DE CALCULO'!B16</f>
        <v>Luz</v>
      </c>
      <c r="C8" s="6">
        <f>+'MEMORIAS DE CALCULO'!G16</f>
        <v>1240</v>
      </c>
      <c r="D8" s="6">
        <f t="shared" ref="D8:D10" si="0">C8*12</f>
        <v>14880</v>
      </c>
      <c r="E8" s="6">
        <f t="shared" ref="E8:E11" si="1">D8*1.01</f>
        <v>15028.8</v>
      </c>
      <c r="F8" s="6">
        <f t="shared" ref="F8:F11" si="2">E8*1.012</f>
        <v>15209.1456</v>
      </c>
      <c r="G8" s="6">
        <f t="shared" ref="G8:G11" si="3">F8*1.015</f>
        <v>15437.282783999999</v>
      </c>
      <c r="H8" s="6">
        <f t="shared" ref="H8:H11" si="4">G8*1.014</f>
        <v>15653.404742975999</v>
      </c>
    </row>
    <row r="9" spans="2:8" x14ac:dyDescent="0.25">
      <c r="B9" s="3" t="str">
        <f>+'MEMORIAS DE CALCULO'!B17</f>
        <v xml:space="preserve">Internet y telefono </v>
      </c>
      <c r="C9" s="6">
        <f>+'MEMORIAS DE CALCULO'!G17</f>
        <v>1400</v>
      </c>
      <c r="D9" s="6">
        <f>C9*12</f>
        <v>16800</v>
      </c>
      <c r="E9" s="6">
        <f t="shared" si="1"/>
        <v>16968</v>
      </c>
      <c r="F9" s="6">
        <f t="shared" si="2"/>
        <v>17171.616000000002</v>
      </c>
      <c r="G9" s="6">
        <f t="shared" si="3"/>
        <v>17429.19024</v>
      </c>
      <c r="H9" s="6">
        <f t="shared" si="4"/>
        <v>17673.19890336</v>
      </c>
    </row>
    <row r="10" spans="2:8" x14ac:dyDescent="0.25">
      <c r="B10" s="3" t="str">
        <f>+'MEMORIAS DE CALCULO'!B18</f>
        <v>Renta</v>
      </c>
      <c r="C10" s="6">
        <f>+'MEMORIAS DE CALCULO'!G18</f>
        <v>4500</v>
      </c>
      <c r="D10" s="6">
        <f t="shared" si="0"/>
        <v>54000</v>
      </c>
      <c r="E10" s="6">
        <f t="shared" si="1"/>
        <v>54540</v>
      </c>
      <c r="F10" s="6">
        <f t="shared" si="2"/>
        <v>55194.48</v>
      </c>
      <c r="G10" s="6">
        <f t="shared" si="3"/>
        <v>56022.397199999999</v>
      </c>
      <c r="H10" s="6">
        <f t="shared" si="4"/>
        <v>56806.710760800001</v>
      </c>
    </row>
    <row r="11" spans="2:8" x14ac:dyDescent="0.25">
      <c r="B11" s="3" t="str">
        <f>+'MEMORIAS DE CALCULO'!B19</f>
        <v>Póliza de mantenimiento a servidores</v>
      </c>
      <c r="C11" s="6">
        <f>+'MEMORIAS DE CALCULO'!G19</f>
        <v>1000</v>
      </c>
      <c r="D11" s="6">
        <f t="shared" ref="D11" si="5">C11*12</f>
        <v>12000</v>
      </c>
      <c r="E11" s="6">
        <f t="shared" si="1"/>
        <v>12120</v>
      </c>
      <c r="F11" s="6">
        <f t="shared" si="2"/>
        <v>12265.44</v>
      </c>
      <c r="G11" s="6">
        <f t="shared" si="3"/>
        <v>12449.4216</v>
      </c>
      <c r="H11" s="6">
        <f t="shared" si="4"/>
        <v>12623.7135024</v>
      </c>
    </row>
    <row r="12" spans="2:8" x14ac:dyDescent="0.25">
      <c r="B12" s="3"/>
      <c r="C12" s="6"/>
      <c r="D12" s="6"/>
      <c r="E12" s="6"/>
      <c r="F12" s="6"/>
      <c r="G12" s="6"/>
      <c r="H12" s="6"/>
    </row>
    <row r="13" spans="2:8" x14ac:dyDescent="0.25">
      <c r="B13" s="3"/>
      <c r="C13" s="6"/>
      <c r="D13" s="6"/>
      <c r="E13" s="6"/>
      <c r="F13" s="6"/>
      <c r="G13" s="6"/>
      <c r="H13" s="6"/>
    </row>
    <row r="14" spans="2:8" x14ac:dyDescent="0.25">
      <c r="B14" s="3"/>
      <c r="C14" s="6"/>
      <c r="D14" s="9"/>
      <c r="E14" s="6"/>
      <c r="F14" s="9"/>
      <c r="G14" s="6"/>
      <c r="H14" s="9"/>
    </row>
    <row r="15" spans="2:8" x14ac:dyDescent="0.25">
      <c r="B15" s="126" t="s">
        <v>5</v>
      </c>
      <c r="C15" s="127">
        <f t="shared" ref="C15:H15" si="6">SUM(C7:C14)</f>
        <v>79240</v>
      </c>
      <c r="D15" s="127">
        <f t="shared" si="6"/>
        <v>950880</v>
      </c>
      <c r="E15" s="127">
        <f t="shared" si="6"/>
        <v>960388.8</v>
      </c>
      <c r="F15" s="127">
        <f t="shared" si="6"/>
        <v>971913.4656</v>
      </c>
      <c r="G15" s="127">
        <f t="shared" si="6"/>
        <v>986492.16758399992</v>
      </c>
      <c r="H15" s="127">
        <f t="shared" si="6"/>
        <v>1000303.0579301759</v>
      </c>
    </row>
    <row r="18" spans="2:2" x14ac:dyDescent="0.25">
      <c r="B18" t="s">
        <v>158</v>
      </c>
    </row>
    <row r="19" spans="2:2" x14ac:dyDescent="0.25">
      <c r="B19" t="s">
        <v>159</v>
      </c>
    </row>
    <row r="20" spans="2:2" x14ac:dyDescent="0.25">
      <c r="B20" t="s">
        <v>160</v>
      </c>
    </row>
    <row r="21" spans="2:2" x14ac:dyDescent="0.25">
      <c r="B21" t="s">
        <v>161</v>
      </c>
    </row>
  </sheetData>
  <mergeCells count="2">
    <mergeCell ref="B2:H2"/>
    <mergeCell ref="B3:H3"/>
  </mergeCells>
  <phoneticPr fontId="0" type="noConversion"/>
  <pageMargins left="0.7" right="0.7" top="0.75" bottom="0.75" header="0.3" footer="0.3"/>
  <pageSetup paperSize="9" scale="92"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31"/>
  <sheetViews>
    <sheetView showGridLines="0" workbookViewId="0">
      <selection activeCell="B3" sqref="B3:G3"/>
    </sheetView>
  </sheetViews>
  <sheetFormatPr baseColWidth="10" defaultRowHeight="15" x14ac:dyDescent="0.25"/>
  <cols>
    <col min="2" max="2" width="37.5703125" customWidth="1"/>
    <col min="3" max="7" width="15.42578125" customWidth="1"/>
  </cols>
  <sheetData>
    <row r="3" spans="1:8" ht="21" x14ac:dyDescent="0.35">
      <c r="A3" s="22"/>
      <c r="B3" s="196" t="str">
        <f>'PROYECCION DE COSTOS'!B2:H2</f>
        <v>NEMIZA</v>
      </c>
      <c r="C3" s="196"/>
      <c r="D3" s="196"/>
      <c r="E3" s="196"/>
      <c r="F3" s="196"/>
      <c r="G3" s="196"/>
      <c r="H3" s="22"/>
    </row>
    <row r="4" spans="1:8" ht="21" x14ac:dyDescent="0.35">
      <c r="A4" s="139"/>
      <c r="B4" s="198" t="s">
        <v>163</v>
      </c>
      <c r="C4" s="198"/>
      <c r="D4" s="198"/>
      <c r="E4" s="198"/>
      <c r="F4" s="198"/>
      <c r="G4" s="198"/>
      <c r="H4" s="139"/>
    </row>
    <row r="5" spans="1:8" ht="15.75" x14ac:dyDescent="0.25">
      <c r="B5" s="124" t="s">
        <v>17</v>
      </c>
      <c r="C5" s="124" t="s">
        <v>18</v>
      </c>
      <c r="D5" s="124" t="s">
        <v>19</v>
      </c>
      <c r="E5" s="124" t="s">
        <v>20</v>
      </c>
      <c r="F5" s="124" t="s">
        <v>21</v>
      </c>
      <c r="G5" s="124" t="s">
        <v>22</v>
      </c>
    </row>
    <row r="6" spans="1:8" x14ac:dyDescent="0.25">
      <c r="B6" s="3" t="str">
        <f>+'MEMORIAS DE CALCULO'!B15</f>
        <v>Nómina</v>
      </c>
      <c r="C6" s="6">
        <f>+'PROYECCION DE COSTOS'!D7</f>
        <v>853200</v>
      </c>
      <c r="D6" s="6">
        <f>+'PROYECCION DE COSTOS'!E7</f>
        <v>861732</v>
      </c>
      <c r="E6" s="6">
        <f>+'PROYECCION DE COSTOS'!F7</f>
        <v>872072.78399999999</v>
      </c>
      <c r="F6" s="6">
        <f>+'PROYECCION DE COSTOS'!G7</f>
        <v>885153.87575999985</v>
      </c>
      <c r="G6" s="6">
        <f>+'PROYECCION DE COSTOS'!H7</f>
        <v>897546.03002063988</v>
      </c>
    </row>
    <row r="7" spans="1:8" x14ac:dyDescent="0.25">
      <c r="B7" s="3" t="str">
        <f>+'MEMORIAS DE CALCULO'!B16</f>
        <v>Luz</v>
      </c>
      <c r="C7" s="6">
        <f>+'PROYECCION DE COSTOS'!D8</f>
        <v>14880</v>
      </c>
      <c r="D7" s="6">
        <f>+'PROYECCION DE COSTOS'!E8</f>
        <v>15028.8</v>
      </c>
      <c r="E7" s="6">
        <f>+'PROYECCION DE COSTOS'!F8</f>
        <v>15209.1456</v>
      </c>
      <c r="F7" s="6">
        <f>+'PROYECCION DE COSTOS'!G8</f>
        <v>15437.282783999999</v>
      </c>
      <c r="G7" s="6">
        <f>+'PROYECCION DE COSTOS'!H8</f>
        <v>15653.404742975999</v>
      </c>
    </row>
    <row r="8" spans="1:8" x14ac:dyDescent="0.25">
      <c r="B8" s="3" t="str">
        <f>+'MEMORIAS DE CALCULO'!B17</f>
        <v xml:space="preserve">Internet y telefono </v>
      </c>
      <c r="C8" s="6">
        <f>+'PROYECCION DE COSTOS'!D9</f>
        <v>16800</v>
      </c>
      <c r="D8" s="6">
        <f>+'PROYECCION DE COSTOS'!E9</f>
        <v>16968</v>
      </c>
      <c r="E8" s="6">
        <f>+'PROYECCION DE COSTOS'!F9</f>
        <v>17171.616000000002</v>
      </c>
      <c r="F8" s="6">
        <f>+'PROYECCION DE COSTOS'!G9</f>
        <v>17429.19024</v>
      </c>
      <c r="G8" s="6">
        <f>+'PROYECCION DE COSTOS'!H9</f>
        <v>17673.19890336</v>
      </c>
    </row>
    <row r="9" spans="1:8" x14ac:dyDescent="0.25">
      <c r="B9" s="3" t="str">
        <f>+'MEMORIAS DE CALCULO'!B18</f>
        <v>Renta</v>
      </c>
      <c r="C9" s="6">
        <f>+'PROYECCION DE COSTOS'!D10</f>
        <v>54000</v>
      </c>
      <c r="D9" s="6">
        <f>+'PROYECCION DE COSTOS'!E10</f>
        <v>54540</v>
      </c>
      <c r="E9" s="6">
        <f>+'PROYECCION DE COSTOS'!F10</f>
        <v>55194.48</v>
      </c>
      <c r="F9" s="6">
        <f>+'PROYECCION DE COSTOS'!G10</f>
        <v>56022.397199999999</v>
      </c>
      <c r="G9" s="6">
        <f>+'PROYECCION DE COSTOS'!H10</f>
        <v>56806.710760800001</v>
      </c>
    </row>
    <row r="10" spans="1:8" x14ac:dyDescent="0.25">
      <c r="B10" s="3" t="str">
        <f>+'MEMORIAS DE CALCULO'!B19</f>
        <v>Póliza de mantenimiento a servidores</v>
      </c>
      <c r="C10" s="6">
        <f>+'PROYECCION DE COSTOS'!D11</f>
        <v>12000</v>
      </c>
      <c r="D10" s="6">
        <f>+'PROYECCION DE COSTOS'!E11</f>
        <v>12120</v>
      </c>
      <c r="E10" s="6">
        <f>+'PROYECCION DE COSTOS'!F11</f>
        <v>12265.44</v>
      </c>
      <c r="F10" s="6">
        <f>+'PROYECCION DE COSTOS'!G11</f>
        <v>12449.4216</v>
      </c>
      <c r="G10" s="6">
        <f>+'PROYECCION DE COSTOS'!H11</f>
        <v>12623.7135024</v>
      </c>
    </row>
    <row r="11" spans="1:8" x14ac:dyDescent="0.25">
      <c r="B11" s="3">
        <f>+'MEMORIAS DE CALCULO'!B22</f>
        <v>0</v>
      </c>
      <c r="C11" s="6">
        <f>+'PROYECCION DE COSTOS'!D12</f>
        <v>0</v>
      </c>
      <c r="D11" s="6">
        <f>+'PROYECCION DE COSTOS'!E12</f>
        <v>0</v>
      </c>
      <c r="E11" s="6">
        <f>+'PROYECCION DE COSTOS'!F12</f>
        <v>0</v>
      </c>
      <c r="F11" s="6">
        <f>+'PROYECCION DE COSTOS'!G12</f>
        <v>0</v>
      </c>
      <c r="G11" s="6">
        <f>+'PROYECCION DE COSTOS'!H12</f>
        <v>0</v>
      </c>
    </row>
    <row r="12" spans="1:8" ht="15.75" x14ac:dyDescent="0.25">
      <c r="B12" s="124" t="s">
        <v>5</v>
      </c>
      <c r="C12" s="140">
        <f>SUM(C6:C11)</f>
        <v>950880</v>
      </c>
      <c r="D12" s="140">
        <f>SUM(D6:D11)</f>
        <v>960388.8</v>
      </c>
      <c r="E12" s="140">
        <f>SUM(E6:E11)</f>
        <v>971913.4656</v>
      </c>
      <c r="F12" s="140">
        <f>SUM(F6:F11)</f>
        <v>986492.16758399992</v>
      </c>
      <c r="G12" s="140">
        <f>SUM(G6:G11)</f>
        <v>1000303.0579301759</v>
      </c>
    </row>
    <row r="14" spans="1:8" ht="15.75" x14ac:dyDescent="0.25">
      <c r="B14" s="124" t="s">
        <v>23</v>
      </c>
      <c r="C14" s="124" t="s">
        <v>18</v>
      </c>
      <c r="D14" s="124" t="s">
        <v>19</v>
      </c>
      <c r="E14" s="124" t="s">
        <v>20</v>
      </c>
      <c r="F14" s="124" t="s">
        <v>21</v>
      </c>
      <c r="G14" s="124" t="s">
        <v>22</v>
      </c>
    </row>
    <row r="15" spans="1:8" x14ac:dyDescent="0.25">
      <c r="B15" s="3"/>
      <c r="C15" s="6">
        <v>0</v>
      </c>
      <c r="D15" s="6">
        <v>0</v>
      </c>
      <c r="E15" s="6">
        <v>0</v>
      </c>
      <c r="F15" s="6">
        <v>0</v>
      </c>
      <c r="G15" s="6">
        <v>0</v>
      </c>
    </row>
    <row r="16" spans="1:8" x14ac:dyDescent="0.25">
      <c r="B16" s="3">
        <v>0</v>
      </c>
      <c r="C16" s="6">
        <v>0</v>
      </c>
      <c r="D16" s="6">
        <v>0</v>
      </c>
      <c r="E16" s="6">
        <v>0</v>
      </c>
      <c r="F16" s="6">
        <v>0</v>
      </c>
      <c r="G16" s="6">
        <v>0</v>
      </c>
    </row>
    <row r="17" spans="2:7" x14ac:dyDescent="0.25">
      <c r="B17" s="3">
        <v>0</v>
      </c>
      <c r="C17" s="6">
        <v>0</v>
      </c>
      <c r="D17" s="6">
        <v>0</v>
      </c>
      <c r="E17" s="6">
        <v>0</v>
      </c>
      <c r="F17" s="6">
        <v>0</v>
      </c>
      <c r="G17" s="6">
        <v>0</v>
      </c>
    </row>
    <row r="18" spans="2:7" x14ac:dyDescent="0.25">
      <c r="B18" s="3"/>
      <c r="C18" s="6"/>
      <c r="D18" s="6"/>
      <c r="E18" s="6"/>
      <c r="F18" s="6"/>
      <c r="G18" s="6"/>
    </row>
    <row r="19" spans="2:7" x14ac:dyDescent="0.25">
      <c r="B19" s="3"/>
      <c r="C19" s="6"/>
      <c r="D19" s="6"/>
      <c r="E19" s="6"/>
      <c r="F19" s="6"/>
      <c r="G19" s="6"/>
    </row>
    <row r="20" spans="2:7" x14ac:dyDescent="0.25">
      <c r="B20" s="3"/>
      <c r="C20" s="6"/>
      <c r="D20" s="6"/>
      <c r="E20" s="6"/>
      <c r="F20" s="6"/>
      <c r="G20" s="6"/>
    </row>
    <row r="21" spans="2:7" x14ac:dyDescent="0.25">
      <c r="B21" s="3"/>
      <c r="C21" s="6"/>
      <c r="D21" s="6"/>
      <c r="E21" s="6"/>
      <c r="F21" s="6"/>
      <c r="G21" s="6"/>
    </row>
    <row r="22" spans="2:7" x14ac:dyDescent="0.25">
      <c r="B22" s="3"/>
      <c r="C22" s="6"/>
      <c r="D22" s="6"/>
      <c r="E22" s="6"/>
      <c r="F22" s="6"/>
      <c r="G22" s="6"/>
    </row>
    <row r="23" spans="2:7" x14ac:dyDescent="0.25">
      <c r="B23" s="3"/>
      <c r="C23" s="6"/>
      <c r="D23" s="6"/>
      <c r="E23" s="6"/>
      <c r="F23" s="6"/>
      <c r="G23" s="6"/>
    </row>
    <row r="24" spans="2:7" x14ac:dyDescent="0.25">
      <c r="B24" s="3"/>
      <c r="C24" s="6"/>
      <c r="D24" s="6"/>
      <c r="E24" s="6"/>
      <c r="F24" s="6"/>
      <c r="G24" s="6"/>
    </row>
    <row r="25" spans="2:7" x14ac:dyDescent="0.25">
      <c r="B25" s="3"/>
      <c r="C25" s="6"/>
      <c r="D25" s="6"/>
      <c r="E25" s="6"/>
      <c r="F25" s="6"/>
      <c r="G25" s="6"/>
    </row>
    <row r="26" spans="2:7" ht="15.75" x14ac:dyDescent="0.25">
      <c r="B26" s="25" t="s">
        <v>5</v>
      </c>
      <c r="C26" s="28">
        <f>SUM(C15:C25)</f>
        <v>0</v>
      </c>
      <c r="D26" s="28">
        <f t="shared" ref="D26:G26" si="0">SUM(D15:D25)</f>
        <v>0</v>
      </c>
      <c r="E26" s="28">
        <f t="shared" si="0"/>
        <v>0</v>
      </c>
      <c r="F26" s="28">
        <f t="shared" si="0"/>
        <v>0</v>
      </c>
      <c r="G26" s="28">
        <f t="shared" si="0"/>
        <v>0</v>
      </c>
    </row>
    <row r="27" spans="2:7" x14ac:dyDescent="0.25">
      <c r="B27" s="27"/>
      <c r="C27" s="27"/>
      <c r="D27" s="27"/>
      <c r="E27" s="27"/>
      <c r="F27" s="27"/>
      <c r="G27" s="27"/>
    </row>
    <row r="28" spans="2:7" ht="15.75" x14ac:dyDescent="0.25">
      <c r="B28" s="25"/>
      <c r="C28" s="25" t="s">
        <v>18</v>
      </c>
      <c r="D28" s="25" t="s">
        <v>19</v>
      </c>
      <c r="E28" s="25" t="s">
        <v>20</v>
      </c>
      <c r="F28" s="25" t="s">
        <v>21</v>
      </c>
      <c r="G28" s="25" t="s">
        <v>22</v>
      </c>
    </row>
    <row r="29" spans="2:7" ht="15.75" x14ac:dyDescent="0.25">
      <c r="B29" s="29" t="s">
        <v>24</v>
      </c>
      <c r="C29" s="6">
        <f>SUM(C12)</f>
        <v>950880</v>
      </c>
      <c r="D29" s="6">
        <f t="shared" ref="D29:G29" si="1">SUM(D12)</f>
        <v>960388.8</v>
      </c>
      <c r="E29" s="6">
        <f t="shared" si="1"/>
        <v>971913.4656</v>
      </c>
      <c r="F29" s="6">
        <f t="shared" si="1"/>
        <v>986492.16758399992</v>
      </c>
      <c r="G29" s="6">
        <f t="shared" si="1"/>
        <v>1000303.0579301759</v>
      </c>
    </row>
    <row r="30" spans="2:7" ht="15.75" x14ac:dyDescent="0.25">
      <c r="B30" s="29" t="s">
        <v>23</v>
      </c>
      <c r="C30" s="6">
        <f>C26</f>
        <v>0</v>
      </c>
      <c r="D30" s="6">
        <f t="shared" ref="D30:G30" si="2">D26</f>
        <v>0</v>
      </c>
      <c r="E30" s="6">
        <f t="shared" si="2"/>
        <v>0</v>
      </c>
      <c r="F30" s="6">
        <f t="shared" si="2"/>
        <v>0</v>
      </c>
      <c r="G30" s="6">
        <f t="shared" si="2"/>
        <v>0</v>
      </c>
    </row>
    <row r="31" spans="2:7" ht="15.75" x14ac:dyDescent="0.25">
      <c r="B31" s="29" t="s">
        <v>25</v>
      </c>
      <c r="C31" s="26">
        <f>SUM(C29:C30)</f>
        <v>950880</v>
      </c>
      <c r="D31" s="26">
        <f t="shared" ref="D31:G31" si="3">SUM(D29:D30)</f>
        <v>960388.8</v>
      </c>
      <c r="E31" s="26">
        <f t="shared" si="3"/>
        <v>971913.4656</v>
      </c>
      <c r="F31" s="26">
        <f t="shared" si="3"/>
        <v>986492.16758399992</v>
      </c>
      <c r="G31" s="26">
        <f t="shared" si="3"/>
        <v>1000303.0579301759</v>
      </c>
    </row>
  </sheetData>
  <mergeCells count="2">
    <mergeCell ref="B3:G3"/>
    <mergeCell ref="B4:G4"/>
  </mergeCells>
  <phoneticPr fontId="0" type="noConversion"/>
  <pageMargins left="0.7" right="0.7" top="0.75" bottom="0.75" header="0.3" footer="0.3"/>
  <pageSetup paperSize="9" orientation="landscape"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14"/>
  <sheetViews>
    <sheetView showGridLines="0" workbookViewId="0">
      <selection activeCell="B10" sqref="B10"/>
    </sheetView>
  </sheetViews>
  <sheetFormatPr baseColWidth="10" defaultRowHeight="15" x14ac:dyDescent="0.25"/>
  <cols>
    <col min="1" max="1" width="2" customWidth="1"/>
    <col min="2" max="2" width="50.5703125" customWidth="1"/>
    <col min="3" max="3" width="13.42578125" customWidth="1"/>
    <col min="4" max="4" width="9.7109375" bestFit="1" customWidth="1"/>
    <col min="5" max="5" width="15.85546875" customWidth="1"/>
    <col min="6" max="10" width="15" customWidth="1"/>
    <col min="12" max="12" width="12.5703125" bestFit="1" customWidth="1"/>
  </cols>
  <sheetData>
    <row r="1" spans="2:12" ht="21" customHeight="1" x14ac:dyDescent="0.35">
      <c r="B1" s="199" t="str">
        <f>'COSTOS TOTALES'!B3</f>
        <v>NEMIZA</v>
      </c>
      <c r="C1" s="199"/>
      <c r="D1" s="199"/>
      <c r="E1" s="199"/>
      <c r="F1" s="199"/>
      <c r="G1" s="199"/>
      <c r="H1" s="199"/>
      <c r="I1" s="199"/>
      <c r="J1" s="199"/>
    </row>
    <row r="2" spans="2:12" ht="21" customHeight="1" x14ac:dyDescent="0.35">
      <c r="B2" s="200" t="s">
        <v>13</v>
      </c>
      <c r="C2" s="200"/>
      <c r="D2" s="200"/>
      <c r="E2" s="200"/>
      <c r="F2" s="200"/>
      <c r="G2" s="200"/>
      <c r="H2" s="200"/>
      <c r="I2" s="200"/>
      <c r="J2" s="200"/>
    </row>
    <row r="3" spans="2:12" x14ac:dyDescent="0.25">
      <c r="B3" s="141"/>
      <c r="C3" s="141"/>
      <c r="D3" s="141"/>
      <c r="E3" s="141"/>
      <c r="F3" s="141"/>
      <c r="G3" s="141"/>
      <c r="H3" s="141"/>
      <c r="I3" s="141"/>
      <c r="J3" s="141"/>
    </row>
    <row r="4" spans="2:12" s="10" customFormat="1" ht="15.75" x14ac:dyDescent="0.25">
      <c r="B4" s="124"/>
      <c r="C4" s="124" t="s">
        <v>14</v>
      </c>
      <c r="D4" s="124" t="s">
        <v>15</v>
      </c>
      <c r="E4" s="124" t="s">
        <v>8</v>
      </c>
      <c r="F4" s="124" t="s">
        <v>12</v>
      </c>
      <c r="G4" s="124" t="s">
        <v>12</v>
      </c>
      <c r="H4" s="124" t="s">
        <v>12</v>
      </c>
      <c r="I4" s="124" t="s">
        <v>12</v>
      </c>
      <c r="J4" s="124" t="s">
        <v>12</v>
      </c>
    </row>
    <row r="5" spans="2:12" s="10" customFormat="1" x14ac:dyDescent="0.25">
      <c r="B5" s="142" t="s">
        <v>9</v>
      </c>
      <c r="C5" s="142" t="s">
        <v>36</v>
      </c>
      <c r="D5" s="142" t="s">
        <v>16</v>
      </c>
      <c r="E5" s="143" t="s">
        <v>37</v>
      </c>
      <c r="F5" s="136">
        <v>1</v>
      </c>
      <c r="G5" s="136">
        <v>2</v>
      </c>
      <c r="H5" s="136">
        <v>3</v>
      </c>
      <c r="I5" s="136">
        <v>4</v>
      </c>
      <c r="J5" s="136">
        <v>5</v>
      </c>
    </row>
    <row r="6" spans="2:12" x14ac:dyDescent="0.25">
      <c r="B6" s="144" t="str">
        <f>'MEMORIAS DE CALCULO'!B5</f>
        <v>Software privado</v>
      </c>
      <c r="C6" s="17"/>
      <c r="D6" s="17"/>
      <c r="E6" s="6"/>
      <c r="F6" s="6"/>
      <c r="G6" s="6"/>
      <c r="H6" s="6"/>
      <c r="I6" s="6"/>
      <c r="J6" s="6"/>
    </row>
    <row r="7" spans="2:12" ht="18" customHeight="1" x14ac:dyDescent="0.25">
      <c r="B7" s="3" t="str">
        <f>'MEMORIAS DE CALCULO'!B6</f>
        <v xml:space="preserve">Licencias mensual </v>
      </c>
      <c r="C7" s="17">
        <f>'MEMORIAS DE CALCULO'!E6</f>
        <v>105</v>
      </c>
      <c r="D7" s="17">
        <f>'MEMORIAS DE CALCULO'!G6</f>
        <v>1213.6500000000001</v>
      </c>
      <c r="E7" s="6">
        <f t="shared" ref="E7" si="0">D7*C7</f>
        <v>127433.25000000001</v>
      </c>
      <c r="F7" s="6">
        <f t="shared" ref="F7" si="1">E7*12</f>
        <v>1529199.0000000002</v>
      </c>
      <c r="G7" s="6">
        <f>F7*1.2</f>
        <v>1835038.8000000003</v>
      </c>
      <c r="H7" s="6">
        <f>G7*1.25</f>
        <v>2293798.5000000005</v>
      </c>
      <c r="I7" s="6">
        <f>H7*1.35</f>
        <v>3096627.975000001</v>
      </c>
      <c r="J7" s="6">
        <f>I7*1.25</f>
        <v>3870784.9687500014</v>
      </c>
      <c r="L7" s="145"/>
    </row>
    <row r="8" spans="2:12" ht="19.5" customHeight="1" x14ac:dyDescent="0.25">
      <c r="B8" s="3"/>
      <c r="C8" s="17"/>
      <c r="D8" s="17"/>
      <c r="E8" s="6"/>
      <c r="F8" s="6"/>
      <c r="G8" s="6"/>
      <c r="H8" s="6"/>
      <c r="I8" s="6"/>
      <c r="J8" s="6"/>
    </row>
    <row r="9" spans="2:12" x14ac:dyDescent="0.25">
      <c r="B9" s="3"/>
      <c r="C9" s="17"/>
      <c r="D9" s="17"/>
      <c r="E9" s="6"/>
      <c r="F9" s="6"/>
      <c r="G9" s="6"/>
      <c r="H9" s="6"/>
      <c r="I9" s="6"/>
      <c r="J9" s="6"/>
    </row>
    <row r="10" spans="2:12" x14ac:dyDescent="0.25">
      <c r="B10" s="3"/>
      <c r="C10" s="17"/>
      <c r="D10" s="17"/>
      <c r="E10" s="6"/>
      <c r="F10" s="6"/>
      <c r="G10" s="6"/>
      <c r="H10" s="6"/>
      <c r="I10" s="6"/>
      <c r="J10" s="6"/>
    </row>
    <row r="11" spans="2:12" x14ac:dyDescent="0.25">
      <c r="B11" s="3"/>
      <c r="C11" s="17"/>
      <c r="D11" s="17"/>
      <c r="E11" s="6"/>
      <c r="F11" s="6"/>
      <c r="G11" s="6"/>
      <c r="H11" s="6"/>
      <c r="I11" s="6"/>
      <c r="J11" s="6"/>
    </row>
    <row r="12" spans="2:12" x14ac:dyDescent="0.25">
      <c r="B12" s="3"/>
      <c r="C12" s="17"/>
      <c r="D12" s="17"/>
      <c r="E12" s="6"/>
      <c r="F12" s="6"/>
      <c r="G12" s="6"/>
      <c r="H12" s="6"/>
      <c r="I12" s="6"/>
      <c r="J12" s="6"/>
    </row>
    <row r="13" spans="2:12" x14ac:dyDescent="0.25">
      <c r="B13" s="8"/>
      <c r="C13" s="8"/>
      <c r="D13" s="8"/>
      <c r="E13" s="6"/>
      <c r="F13" s="7"/>
      <c r="G13" s="6"/>
      <c r="H13" s="7"/>
      <c r="I13" s="6"/>
      <c r="J13" s="7"/>
    </row>
    <row r="14" spans="2:12" x14ac:dyDescent="0.25">
      <c r="B14" s="126" t="s">
        <v>5</v>
      </c>
      <c r="C14" s="126"/>
      <c r="D14" s="126"/>
      <c r="E14" s="127">
        <f t="shared" ref="E14:J14" si="2">SUM(E6:E12)</f>
        <v>127433.25000000001</v>
      </c>
      <c r="F14" s="127">
        <f t="shared" si="2"/>
        <v>1529199.0000000002</v>
      </c>
      <c r="G14" s="127">
        <f t="shared" si="2"/>
        <v>1835038.8000000003</v>
      </c>
      <c r="H14" s="127">
        <f t="shared" si="2"/>
        <v>2293798.5000000005</v>
      </c>
      <c r="I14" s="127">
        <f t="shared" si="2"/>
        <v>3096627.975000001</v>
      </c>
      <c r="J14" s="127">
        <f t="shared" si="2"/>
        <v>3870784.9687500014</v>
      </c>
    </row>
  </sheetData>
  <mergeCells count="2">
    <mergeCell ref="B1:J1"/>
    <mergeCell ref="B2:J2"/>
  </mergeCells>
  <phoneticPr fontId="0" type="noConversion"/>
  <pageMargins left="0.7" right="0.7" top="0.75" bottom="0.75" header="0.3" footer="0.3"/>
  <pageSetup paperSize="9" scale="92" orientation="landscape" horizontalDpi="300" verticalDpi="300"/>
  <ignoredErrors>
    <ignoredError sqref="H7:I7" 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27"/>
  <sheetViews>
    <sheetView showGridLines="0" workbookViewId="0">
      <selection activeCell="L10" sqref="L10"/>
    </sheetView>
  </sheetViews>
  <sheetFormatPr baseColWidth="10" defaultRowHeight="15" x14ac:dyDescent="0.25"/>
  <cols>
    <col min="1" max="1" width="2.42578125" customWidth="1"/>
    <col min="2" max="2" width="42" customWidth="1"/>
    <col min="3" max="6" width="15.42578125" customWidth="1"/>
    <col min="7" max="7" width="16.42578125" customWidth="1"/>
  </cols>
  <sheetData>
    <row r="2" spans="2:7" ht="21" x14ac:dyDescent="0.35">
      <c r="B2" s="202" t="str">
        <f>Inversiones!B1</f>
        <v>NEMIZA</v>
      </c>
      <c r="C2" s="202"/>
      <c r="D2" s="202"/>
      <c r="E2" s="202"/>
      <c r="F2" s="202"/>
      <c r="G2" s="202"/>
    </row>
    <row r="3" spans="2:7" ht="18.75" x14ac:dyDescent="0.3">
      <c r="B3" s="203" t="s">
        <v>41</v>
      </c>
      <c r="C3" s="204"/>
      <c r="D3" s="204"/>
      <c r="E3" s="204"/>
      <c r="F3" s="204"/>
      <c r="G3" s="205"/>
    </row>
    <row r="4" spans="2:7" x14ac:dyDescent="0.25">
      <c r="B4" s="201" t="s">
        <v>42</v>
      </c>
      <c r="C4" s="206" t="s">
        <v>43</v>
      </c>
      <c r="D4" s="207"/>
      <c r="E4" s="207"/>
      <c r="F4" s="207"/>
      <c r="G4" s="208"/>
    </row>
    <row r="5" spans="2:7" x14ac:dyDescent="0.25">
      <c r="B5" s="201"/>
      <c r="C5" s="147" t="s">
        <v>44</v>
      </c>
      <c r="D5" s="147" t="s">
        <v>45</v>
      </c>
      <c r="E5" s="147" t="s">
        <v>46</v>
      </c>
      <c r="F5" s="147" t="s">
        <v>47</v>
      </c>
      <c r="G5" s="147" t="s">
        <v>48</v>
      </c>
    </row>
    <row r="6" spans="2:7" x14ac:dyDescent="0.25">
      <c r="B6" s="31"/>
      <c r="C6" s="32"/>
      <c r="D6" s="32"/>
      <c r="E6" s="32"/>
      <c r="F6" s="32"/>
      <c r="G6" s="32"/>
    </row>
    <row r="7" spans="2:7" x14ac:dyDescent="0.25">
      <c r="B7" s="31" t="s">
        <v>49</v>
      </c>
      <c r="C7" s="34">
        <f>INGRESOS!F14</f>
        <v>1529199.0000000002</v>
      </c>
      <c r="D7" s="34">
        <f>INGRESOS!G14</f>
        <v>1835038.8000000003</v>
      </c>
      <c r="E7" s="34">
        <f>INGRESOS!H14</f>
        <v>2293798.5000000005</v>
      </c>
      <c r="F7" s="34">
        <f>INGRESOS!I14</f>
        <v>3096627.975000001</v>
      </c>
      <c r="G7" s="34">
        <f>INGRESOS!J14</f>
        <v>3870784.9687500014</v>
      </c>
    </row>
    <row r="8" spans="2:7" ht="15.75" x14ac:dyDescent="0.25">
      <c r="B8" s="87"/>
      <c r="C8" s="34"/>
      <c r="D8" s="34"/>
      <c r="E8" s="34"/>
      <c r="F8" s="34"/>
      <c r="G8" s="34"/>
    </row>
    <row r="9" spans="2:7" x14ac:dyDescent="0.25">
      <c r="B9" s="31" t="s">
        <v>50</v>
      </c>
      <c r="C9" s="88">
        <f>'COSTOS TOTALES'!C30</f>
        <v>0</v>
      </c>
      <c r="D9" s="88">
        <f>'COSTOS TOTALES'!D30</f>
        <v>0</v>
      </c>
      <c r="E9" s="88">
        <f>'COSTOS TOTALES'!E30</f>
        <v>0</v>
      </c>
      <c r="F9" s="88">
        <f>'COSTOS TOTALES'!F30</f>
        <v>0</v>
      </c>
      <c r="G9" s="88">
        <f>'COSTOS TOTALES'!G30</f>
        <v>0</v>
      </c>
    </row>
    <row r="10" spans="2:7" x14ac:dyDescent="0.25">
      <c r="B10" s="33"/>
      <c r="C10" s="32"/>
      <c r="D10" s="32"/>
      <c r="E10" s="32"/>
      <c r="F10" s="32"/>
      <c r="G10" s="32"/>
    </row>
    <row r="11" spans="2:7" x14ac:dyDescent="0.25">
      <c r="B11" s="146" t="s">
        <v>51</v>
      </c>
      <c r="C11" s="148">
        <f>C7-C9</f>
        <v>1529199.0000000002</v>
      </c>
      <c r="D11" s="148">
        <f>D7-D9</f>
        <v>1835038.8000000003</v>
      </c>
      <c r="E11" s="148">
        <f>E7-E9</f>
        <v>2293798.5000000005</v>
      </c>
      <c r="F11" s="148">
        <f>F7-F9</f>
        <v>3096627.975000001</v>
      </c>
      <c r="G11" s="148">
        <f>G7-G9</f>
        <v>3870784.9687500014</v>
      </c>
    </row>
    <row r="12" spans="2:7" x14ac:dyDescent="0.25">
      <c r="B12" s="31"/>
      <c r="C12" s="32"/>
      <c r="D12" s="32"/>
      <c r="E12" s="32"/>
      <c r="F12" s="32"/>
      <c r="G12" s="32"/>
    </row>
    <row r="13" spans="2:7" x14ac:dyDescent="0.25">
      <c r="B13" s="33" t="s">
        <v>52</v>
      </c>
      <c r="C13" s="34">
        <f>'COSTOS TOTALES'!C29</f>
        <v>950880</v>
      </c>
      <c r="D13" s="34">
        <f>'COSTOS TOTALES'!D29</f>
        <v>960388.8</v>
      </c>
      <c r="E13" s="34">
        <f>'COSTOS TOTALES'!E29</f>
        <v>971913.4656</v>
      </c>
      <c r="F13" s="34">
        <f>'COSTOS TOTALES'!F29</f>
        <v>986492.16758399992</v>
      </c>
      <c r="G13" s="34">
        <f>'COSTOS TOTALES'!G29</f>
        <v>1000303.0579301759</v>
      </c>
    </row>
    <row r="14" spans="2:7" x14ac:dyDescent="0.25">
      <c r="B14" s="33"/>
      <c r="C14" s="34"/>
      <c r="D14" s="34"/>
      <c r="E14" s="34"/>
      <c r="F14" s="34"/>
      <c r="G14" s="34"/>
    </row>
    <row r="15" spans="2:7" x14ac:dyDescent="0.25">
      <c r="B15" s="33"/>
      <c r="C15" s="35"/>
      <c r="D15" s="35"/>
      <c r="E15" s="35"/>
      <c r="F15" s="35"/>
      <c r="G15" s="32"/>
    </row>
    <row r="16" spans="2:7" x14ac:dyDescent="0.25">
      <c r="B16" s="146" t="s">
        <v>53</v>
      </c>
      <c r="C16" s="148">
        <f>C11-C13-C14</f>
        <v>578319.00000000023</v>
      </c>
      <c r="D16" s="148">
        <f>D11-D13-D14</f>
        <v>874650.00000000023</v>
      </c>
      <c r="E16" s="148">
        <f>E11-E13-E14</f>
        <v>1321885.0344000005</v>
      </c>
      <c r="F16" s="148">
        <f>F11-F13-F14</f>
        <v>2110135.8074160013</v>
      </c>
      <c r="G16" s="148">
        <f>G11-G13-G14</f>
        <v>2870481.9108198257</v>
      </c>
    </row>
    <row r="17" spans="2:7" x14ac:dyDescent="0.25">
      <c r="B17" s="31"/>
      <c r="C17" s="32"/>
      <c r="D17" s="32"/>
      <c r="E17" s="32"/>
      <c r="F17" s="32"/>
      <c r="G17" s="32"/>
    </row>
    <row r="18" spans="2:7" x14ac:dyDescent="0.25">
      <c r="B18" s="33" t="s">
        <v>54</v>
      </c>
      <c r="C18" s="36"/>
      <c r="D18" s="36"/>
      <c r="E18" s="36"/>
      <c r="F18" s="36"/>
      <c r="G18" s="36"/>
    </row>
    <row r="19" spans="2:7" x14ac:dyDescent="0.25">
      <c r="B19" s="33"/>
      <c r="C19" s="32"/>
      <c r="D19" s="32"/>
      <c r="E19" s="32"/>
      <c r="F19" s="32"/>
      <c r="G19" s="32"/>
    </row>
    <row r="20" spans="2:7" x14ac:dyDescent="0.25">
      <c r="B20" s="146" t="s">
        <v>55</v>
      </c>
      <c r="C20" s="148">
        <f>C16-C18</f>
        <v>578319.00000000023</v>
      </c>
      <c r="D20" s="148">
        <f>D16-D18</f>
        <v>874650.00000000023</v>
      </c>
      <c r="E20" s="148">
        <f>E16-E18</f>
        <v>1321885.0344000005</v>
      </c>
      <c r="F20" s="148">
        <f>F16-F18</f>
        <v>2110135.8074160013</v>
      </c>
      <c r="G20" s="148">
        <f>G16-G18</f>
        <v>2870481.9108198257</v>
      </c>
    </row>
    <row r="21" spans="2:7" x14ac:dyDescent="0.25">
      <c r="B21" s="33"/>
      <c r="C21" s="32"/>
      <c r="D21" s="32"/>
      <c r="E21" s="32"/>
      <c r="F21" s="32"/>
      <c r="G21" s="32"/>
    </row>
    <row r="22" spans="2:7" x14ac:dyDescent="0.25">
      <c r="B22" s="33" t="s">
        <v>56</v>
      </c>
      <c r="C22" s="34">
        <f>C20*0.1</f>
        <v>57831.900000000023</v>
      </c>
      <c r="D22" s="34">
        <f>D20*0.1</f>
        <v>87465.000000000029</v>
      </c>
      <c r="E22" s="34">
        <f>E20*0.1</f>
        <v>132188.50344000006</v>
      </c>
      <c r="F22" s="34">
        <f>F20*0.1</f>
        <v>211013.58074160013</v>
      </c>
      <c r="G22" s="34">
        <f>G20*0.1</f>
        <v>287048.19108198257</v>
      </c>
    </row>
    <row r="23" spans="2:7" x14ac:dyDescent="0.25">
      <c r="B23" s="33" t="s">
        <v>204</v>
      </c>
      <c r="C23" s="159">
        <f>C20*0.3</f>
        <v>173495.70000000007</v>
      </c>
      <c r="D23" s="159">
        <f t="shared" ref="D23:G23" si="0">D20*0.3</f>
        <v>262395.00000000006</v>
      </c>
      <c r="E23" s="159">
        <f t="shared" si="0"/>
        <v>396565.51032000012</v>
      </c>
      <c r="F23" s="159">
        <f t="shared" si="0"/>
        <v>633040.7422248004</v>
      </c>
      <c r="G23" s="159">
        <f t="shared" si="0"/>
        <v>861144.57324594771</v>
      </c>
    </row>
    <row r="24" spans="2:7" x14ac:dyDescent="0.25">
      <c r="B24" s="33"/>
      <c r="C24" s="32"/>
      <c r="D24" s="32"/>
      <c r="E24" s="32"/>
      <c r="F24" s="32"/>
      <c r="G24" s="32"/>
    </row>
    <row r="25" spans="2:7" x14ac:dyDescent="0.25">
      <c r="B25" s="146" t="s">
        <v>57</v>
      </c>
      <c r="C25" s="148">
        <f>C20-C22-C23</f>
        <v>346991.40000000014</v>
      </c>
      <c r="D25" s="148">
        <f t="shared" ref="D25:G25" si="1">D20-D22-D23</f>
        <v>524790.00000000023</v>
      </c>
      <c r="E25" s="148">
        <f t="shared" si="1"/>
        <v>793131.02064000024</v>
      </c>
      <c r="F25" s="148">
        <f t="shared" si="1"/>
        <v>1266081.4844496008</v>
      </c>
      <c r="G25" s="148">
        <f t="shared" si="1"/>
        <v>1722289.1464918954</v>
      </c>
    </row>
    <row r="26" spans="2:7" x14ac:dyDescent="0.25">
      <c r="B26" s="33"/>
      <c r="C26" s="37"/>
      <c r="D26" s="37"/>
      <c r="E26" s="37"/>
      <c r="F26" s="37"/>
      <c r="G26" s="37"/>
    </row>
    <row r="27" spans="2:7" x14ac:dyDescent="0.25">
      <c r="B27" s="146" t="s">
        <v>58</v>
      </c>
      <c r="C27" s="150">
        <f>C9+C13+C14+C22+C23</f>
        <v>1182207.6000000001</v>
      </c>
      <c r="D27" s="150">
        <f t="shared" ref="D27:G27" si="2">D9+D13+D14+D22+D23</f>
        <v>1310248.8</v>
      </c>
      <c r="E27" s="150">
        <f t="shared" si="2"/>
        <v>1500667.4793600002</v>
      </c>
      <c r="F27" s="150">
        <f t="shared" si="2"/>
        <v>1830546.4905504005</v>
      </c>
      <c r="G27" s="150">
        <f t="shared" si="2"/>
        <v>2148495.8222581064</v>
      </c>
    </row>
  </sheetData>
  <mergeCells count="4">
    <mergeCell ref="B4:B5"/>
    <mergeCell ref="B2:G2"/>
    <mergeCell ref="B3:G3"/>
    <mergeCell ref="C4:G4"/>
  </mergeCells>
  <phoneticPr fontId="0" type="noConversion"/>
  <pageMargins left="0.7" right="0.7" top="0.75" bottom="0.75" header="0.3" footer="0.3"/>
  <pageSetup paperSize="9" orientation="landscape"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21"/>
  <sheetViews>
    <sheetView showGridLines="0" workbookViewId="0">
      <selection activeCell="B3" sqref="B3:H3"/>
    </sheetView>
  </sheetViews>
  <sheetFormatPr baseColWidth="10" defaultRowHeight="15" x14ac:dyDescent="0.25"/>
  <cols>
    <col min="1" max="1" width="5.42578125" customWidth="1"/>
    <col min="2" max="2" width="31.42578125" customWidth="1"/>
    <col min="3" max="7" width="15.7109375" customWidth="1"/>
  </cols>
  <sheetData>
    <row r="1" spans="2:8" ht="21" x14ac:dyDescent="0.35">
      <c r="B1" s="196" t="str">
        <f>INGRESOS!B1</f>
        <v>NEMIZA</v>
      </c>
      <c r="C1" s="196"/>
      <c r="D1" s="196"/>
      <c r="E1" s="196"/>
      <c r="F1" s="196"/>
      <c r="G1" s="196"/>
      <c r="H1" s="196"/>
    </row>
    <row r="2" spans="2:8" ht="21" x14ac:dyDescent="0.35">
      <c r="B2" s="196" t="s">
        <v>166</v>
      </c>
      <c r="C2" s="196"/>
      <c r="D2" s="196"/>
      <c r="E2" s="196"/>
      <c r="F2" s="196"/>
      <c r="G2" s="196"/>
      <c r="H2" s="2"/>
    </row>
    <row r="3" spans="2:8" ht="21" x14ac:dyDescent="0.35">
      <c r="B3" s="197"/>
      <c r="C3" s="197"/>
      <c r="D3" s="197"/>
      <c r="E3" s="197"/>
      <c r="F3" s="197"/>
      <c r="G3" s="197"/>
      <c r="H3" s="197"/>
    </row>
    <row r="5" spans="2:8" ht="15.75" x14ac:dyDescent="0.25">
      <c r="B5" s="124" t="s">
        <v>26</v>
      </c>
      <c r="C5" s="124" t="s">
        <v>18</v>
      </c>
      <c r="D5" s="124" t="s">
        <v>19</v>
      </c>
      <c r="E5" s="124" t="s">
        <v>20</v>
      </c>
      <c r="F5" s="124" t="s">
        <v>21</v>
      </c>
      <c r="G5" s="124" t="s">
        <v>22</v>
      </c>
    </row>
    <row r="6" spans="2:8" ht="15.75" x14ac:dyDescent="0.25">
      <c r="B6" s="161" t="s">
        <v>8</v>
      </c>
      <c r="C6" s="6">
        <f>INGRESOS!F14</f>
        <v>1529199.0000000002</v>
      </c>
      <c r="D6" s="6">
        <f>INGRESOS!G14</f>
        <v>1835038.8000000003</v>
      </c>
      <c r="E6" s="6">
        <f>INGRESOS!H14</f>
        <v>2293798.5000000005</v>
      </c>
      <c r="F6" s="6">
        <f>INGRESOS!I14</f>
        <v>3096627.975000001</v>
      </c>
      <c r="G6" s="6">
        <f>INGRESOS!J14</f>
        <v>3870784.9687500014</v>
      </c>
    </row>
    <row r="7" spans="2:8" ht="15.75" x14ac:dyDescent="0.25">
      <c r="B7" s="161" t="s">
        <v>17</v>
      </c>
      <c r="C7" s="6">
        <f>'COSTOS TOTALES'!C29</f>
        <v>950880</v>
      </c>
      <c r="D7" s="6">
        <f>'COSTOS TOTALES'!D29</f>
        <v>960388.8</v>
      </c>
      <c r="E7" s="6">
        <f>'COSTOS TOTALES'!E29</f>
        <v>971913.4656</v>
      </c>
      <c r="F7" s="6">
        <f>'COSTOS TOTALES'!F29</f>
        <v>986492.16758399992</v>
      </c>
      <c r="G7" s="6">
        <f>'COSTOS TOTALES'!G29</f>
        <v>1000303.0579301759</v>
      </c>
    </row>
    <row r="8" spans="2:8" ht="15.75" x14ac:dyDescent="0.25">
      <c r="B8" s="161" t="s">
        <v>23</v>
      </c>
      <c r="C8" s="6">
        <f>'COSTOS TOTALES'!C30</f>
        <v>0</v>
      </c>
      <c r="D8" s="6">
        <f>'COSTOS TOTALES'!D30</f>
        <v>0</v>
      </c>
      <c r="E8" s="6">
        <f>'COSTOS TOTALES'!E30</f>
        <v>0</v>
      </c>
      <c r="F8" s="6">
        <f>'COSTOS TOTALES'!F30</f>
        <v>0</v>
      </c>
      <c r="G8" s="6">
        <f>'COSTOS TOTALES'!G30</f>
        <v>0</v>
      </c>
    </row>
    <row r="9" spans="2:8" ht="15.75" x14ac:dyDescent="0.25">
      <c r="B9" s="161" t="s">
        <v>25</v>
      </c>
      <c r="C9" s="6">
        <f>SUM(C7:C8)</f>
        <v>950880</v>
      </c>
      <c r="D9" s="6">
        <f t="shared" ref="D9:G9" si="0">SUM(D7:D8)</f>
        <v>960388.8</v>
      </c>
      <c r="E9" s="6">
        <f t="shared" si="0"/>
        <v>971913.4656</v>
      </c>
      <c r="F9" s="6">
        <f t="shared" si="0"/>
        <v>986492.16758399992</v>
      </c>
      <c r="G9" s="6">
        <f t="shared" si="0"/>
        <v>1000303.0579301759</v>
      </c>
    </row>
    <row r="10" spans="2:8" ht="15.75" x14ac:dyDescent="0.25">
      <c r="B10" s="161" t="s">
        <v>27</v>
      </c>
      <c r="C10" s="89">
        <f>(C7/(1-C8/C6))</f>
        <v>950880</v>
      </c>
      <c r="D10" s="89">
        <f t="shared" ref="D10:G10" si="1">(D7/(1-D8/D6))</f>
        <v>960388.8</v>
      </c>
      <c r="E10" s="89">
        <f t="shared" si="1"/>
        <v>971913.4656</v>
      </c>
      <c r="F10" s="89">
        <f t="shared" si="1"/>
        <v>986492.16758399992</v>
      </c>
      <c r="G10" s="89">
        <f t="shared" si="1"/>
        <v>1000303.0579301759</v>
      </c>
    </row>
    <row r="11" spans="2:8" ht="15.75" x14ac:dyDescent="0.25">
      <c r="B11" s="162" t="s">
        <v>28</v>
      </c>
      <c r="C11" s="118">
        <f>C10/C6</f>
        <v>0.62181573490435182</v>
      </c>
      <c r="D11" s="118">
        <f t="shared" ref="D11:G11" si="2">D10/D6</f>
        <v>0.52336157687782947</v>
      </c>
      <c r="E11" s="118">
        <f t="shared" si="2"/>
        <v>0.42371353264029066</v>
      </c>
      <c r="F11" s="118">
        <f t="shared" si="2"/>
        <v>0.31856980417029257</v>
      </c>
      <c r="G11" s="118">
        <f t="shared" si="2"/>
        <v>0.25842382514294132</v>
      </c>
    </row>
    <row r="12" spans="2:8" x14ac:dyDescent="0.25">
      <c r="B12" s="149" t="s">
        <v>167</v>
      </c>
      <c r="C12" s="114">
        <f>C10/INGRESOS!D7</f>
        <v>783.48782597948332</v>
      </c>
      <c r="D12" s="114">
        <f>D10/INGRESOS!D7</f>
        <v>791.32270423927821</v>
      </c>
      <c r="E12" s="114">
        <f>E10/INGRESOS!D7</f>
        <v>800.81857669014948</v>
      </c>
      <c r="F12" s="114">
        <f>F10/INGRESOS!D7</f>
        <v>812.83085534050167</v>
      </c>
      <c r="G12" s="114">
        <f>G10/INGRESOS!D7</f>
        <v>824.21048731526867</v>
      </c>
    </row>
    <row r="17" spans="2:4" x14ac:dyDescent="0.25">
      <c r="B17" t="s">
        <v>29</v>
      </c>
    </row>
    <row r="18" spans="2:4" x14ac:dyDescent="0.25">
      <c r="B18" s="209" t="s">
        <v>165</v>
      </c>
      <c r="C18" s="209"/>
      <c r="D18" s="209"/>
    </row>
    <row r="19" spans="2:4" x14ac:dyDescent="0.25">
      <c r="B19" s="209"/>
      <c r="C19" s="209"/>
      <c r="D19" s="209"/>
    </row>
    <row r="20" spans="2:4" x14ac:dyDescent="0.25">
      <c r="B20" s="209"/>
      <c r="C20" s="209"/>
      <c r="D20" s="209"/>
    </row>
    <row r="21" spans="2:4" x14ac:dyDescent="0.25">
      <c r="B21" s="209"/>
      <c r="C21" s="209"/>
      <c r="D21" s="209"/>
    </row>
  </sheetData>
  <mergeCells count="4">
    <mergeCell ref="B1:H1"/>
    <mergeCell ref="B3:H3"/>
    <mergeCell ref="B18:D21"/>
    <mergeCell ref="B2:G2"/>
  </mergeCells>
  <phoneticPr fontId="0" type="noConversion"/>
  <pageMargins left="0.7" right="0.7" top="0.75" bottom="0.75" header="0.3" footer="0.3"/>
  <pageSetup paperSize="9" orientation="landscape" horizontalDpi="300" verticalDpi="30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Q50"/>
  <sheetViews>
    <sheetView showGridLines="0" workbookViewId="0">
      <selection activeCell="M4" sqref="M4"/>
    </sheetView>
  </sheetViews>
  <sheetFormatPr baseColWidth="10" defaultRowHeight="15" x14ac:dyDescent="0.25"/>
  <cols>
    <col min="3" max="4" width="11.7109375" bestFit="1" customWidth="1"/>
    <col min="5" max="5" width="14.5703125" bestFit="1" customWidth="1"/>
    <col min="6" max="6" width="13.7109375" customWidth="1"/>
    <col min="7" max="7" width="14.5703125" bestFit="1" customWidth="1"/>
    <col min="8" max="8" width="12.42578125" customWidth="1"/>
    <col min="9" max="9" width="15.5703125" bestFit="1" customWidth="1"/>
    <col min="10" max="10" width="21" bestFit="1" customWidth="1"/>
  </cols>
  <sheetData>
    <row r="1" spans="2:17" ht="31.5" x14ac:dyDescent="0.5">
      <c r="B1" s="214" t="str">
        <f>Inversiones!B1</f>
        <v>NEMIZA</v>
      </c>
      <c r="C1" s="214"/>
      <c r="D1" s="214"/>
      <c r="E1" s="214"/>
      <c r="F1" s="214"/>
      <c r="G1" s="214"/>
      <c r="H1" s="214"/>
      <c r="I1" s="214"/>
      <c r="J1" s="214"/>
    </row>
    <row r="2" spans="2:17" ht="18" x14ac:dyDescent="0.25">
      <c r="B2" s="215" t="s">
        <v>168</v>
      </c>
      <c r="C2" s="216"/>
      <c r="D2" s="216"/>
      <c r="E2" s="216"/>
      <c r="F2" s="216"/>
      <c r="G2" s="216"/>
      <c r="H2" s="216"/>
      <c r="I2" s="216"/>
      <c r="J2" s="216"/>
    </row>
    <row r="3" spans="2:17" x14ac:dyDescent="0.25">
      <c r="C3" s="191"/>
      <c r="D3" s="192"/>
      <c r="I3" s="193"/>
      <c r="K3" s="38"/>
    </row>
    <row r="4" spans="2:17" ht="15.75" x14ac:dyDescent="0.25">
      <c r="B4" s="210" t="s">
        <v>59</v>
      </c>
      <c r="C4" s="211"/>
      <c r="D4" s="211"/>
      <c r="E4" s="211"/>
      <c r="F4" s="211"/>
      <c r="G4" s="211"/>
      <c r="H4" s="211"/>
      <c r="I4" s="211"/>
      <c r="J4" s="211"/>
      <c r="K4" s="38"/>
      <c r="L4" s="38"/>
    </row>
    <row r="5" spans="2:17" x14ac:dyDescent="0.25">
      <c r="B5" s="39" t="s">
        <v>60</v>
      </c>
      <c r="C5" s="40"/>
      <c r="D5" s="40"/>
      <c r="E5" s="40"/>
      <c r="F5" s="40"/>
      <c r="G5" s="40"/>
      <c r="H5" s="40"/>
      <c r="I5" s="40"/>
      <c r="J5" s="41"/>
      <c r="K5" s="42"/>
    </row>
    <row r="6" spans="2:17" x14ac:dyDescent="0.25">
      <c r="B6" s="152"/>
      <c r="C6" s="153"/>
      <c r="D6" s="212" t="s">
        <v>61</v>
      </c>
      <c r="E6" s="212"/>
      <c r="F6" s="212"/>
      <c r="G6" s="212"/>
      <c r="H6" s="153" t="s">
        <v>62</v>
      </c>
      <c r="I6" s="153"/>
      <c r="J6" s="213" t="s">
        <v>63</v>
      </c>
      <c r="K6" s="42"/>
    </row>
    <row r="7" spans="2:17" x14ac:dyDescent="0.25">
      <c r="B7" s="155" t="s">
        <v>64</v>
      </c>
      <c r="C7" s="154" t="s">
        <v>65</v>
      </c>
      <c r="D7" s="154" t="s">
        <v>66</v>
      </c>
      <c r="E7" s="154" t="s">
        <v>67</v>
      </c>
      <c r="F7" s="154" t="s">
        <v>68</v>
      </c>
      <c r="G7" s="154" t="s">
        <v>69</v>
      </c>
      <c r="H7" s="154" t="s">
        <v>70</v>
      </c>
      <c r="I7" s="154" t="s">
        <v>71</v>
      </c>
      <c r="J7" s="213"/>
      <c r="K7" s="42"/>
    </row>
    <row r="8" spans="2:17" x14ac:dyDescent="0.25">
      <c r="B8" s="155" t="s">
        <v>72</v>
      </c>
      <c r="C8" s="155" t="s">
        <v>73</v>
      </c>
      <c r="D8" s="155" t="s">
        <v>74</v>
      </c>
      <c r="E8" s="152"/>
      <c r="F8" s="152"/>
      <c r="G8" s="152"/>
      <c r="H8" s="155" t="s">
        <v>75</v>
      </c>
      <c r="I8" s="155" t="s">
        <v>76</v>
      </c>
      <c r="J8" s="213"/>
      <c r="K8" s="42"/>
    </row>
    <row r="9" spans="2:17" x14ac:dyDescent="0.25">
      <c r="B9" s="92">
        <v>0</v>
      </c>
      <c r="C9" s="93">
        <v>0</v>
      </c>
      <c r="D9" s="48">
        <v>0</v>
      </c>
      <c r="E9" s="94">
        <f>Inversiones!F10</f>
        <v>209429</v>
      </c>
      <c r="F9" s="95">
        <f>Inversiones!F17</f>
        <v>27000</v>
      </c>
      <c r="G9" s="95">
        <f>Inversiones!F23</f>
        <v>938880</v>
      </c>
      <c r="H9" s="96"/>
      <c r="I9" s="96"/>
      <c r="J9" s="97">
        <f t="shared" ref="J9:J13" si="0">C9-D9-E9-F9-G9+H9+I9</f>
        <v>-1175309</v>
      </c>
      <c r="K9" s="42"/>
      <c r="L9" s="43"/>
      <c r="M9" s="44"/>
      <c r="N9" s="44"/>
      <c r="O9" s="44"/>
      <c r="P9" s="44"/>
      <c r="Q9" s="45"/>
    </row>
    <row r="10" spans="2:17" x14ac:dyDescent="0.25">
      <c r="B10" s="92">
        <v>1</v>
      </c>
      <c r="C10" s="46">
        <f>'ESTADO DE RESULTADOS'!C7</f>
        <v>1529199.0000000002</v>
      </c>
      <c r="D10" s="46">
        <f>'ESTADO DE RESULTADOS'!C27</f>
        <v>1182207.6000000001</v>
      </c>
      <c r="E10" s="47"/>
      <c r="F10" s="47"/>
      <c r="G10" s="47"/>
      <c r="H10" s="48"/>
      <c r="I10" s="48"/>
      <c r="J10" s="97">
        <f>C10-D10-E10-F10-G10+H10+I10</f>
        <v>346991.40000000014</v>
      </c>
      <c r="K10" s="42"/>
      <c r="L10" s="49"/>
      <c r="M10" s="49"/>
      <c r="N10" s="49"/>
      <c r="O10" s="49"/>
      <c r="P10" s="49"/>
      <c r="Q10" s="45"/>
    </row>
    <row r="11" spans="2:17" x14ac:dyDescent="0.25">
      <c r="B11" s="92">
        <v>2</v>
      </c>
      <c r="C11" s="46">
        <f>'ESTADO DE RESULTADOS'!D7</f>
        <v>1835038.8000000003</v>
      </c>
      <c r="D11" s="46">
        <f>'ESTADO DE RESULTADOS'!D27</f>
        <v>1310248.8</v>
      </c>
      <c r="E11" s="48">
        <f>40000*2</f>
        <v>80000</v>
      </c>
      <c r="F11" s="48"/>
      <c r="G11" s="48"/>
      <c r="H11" s="48"/>
      <c r="I11" s="48"/>
      <c r="J11" s="97">
        <f t="shared" si="0"/>
        <v>444790.00000000023</v>
      </c>
      <c r="K11" s="42"/>
    </row>
    <row r="12" spans="2:17" x14ac:dyDescent="0.25">
      <c r="B12" s="92">
        <v>3</v>
      </c>
      <c r="C12" s="46">
        <f>'ESTADO DE RESULTADOS'!E7</f>
        <v>2293798.5000000005</v>
      </c>
      <c r="D12" s="46">
        <f>'ESTADO DE RESULTADOS'!E27</f>
        <v>1500667.4793600002</v>
      </c>
      <c r="E12" s="48"/>
      <c r="F12" s="48"/>
      <c r="G12" s="48"/>
      <c r="H12" s="48"/>
      <c r="I12" s="48"/>
      <c r="J12" s="97">
        <f t="shared" si="0"/>
        <v>793131.02064000024</v>
      </c>
      <c r="K12" s="42"/>
    </row>
    <row r="13" spans="2:17" x14ac:dyDescent="0.25">
      <c r="B13" s="92">
        <v>4</v>
      </c>
      <c r="C13" s="46">
        <f>'ESTADO DE RESULTADOS'!F7</f>
        <v>3096627.975000001</v>
      </c>
      <c r="D13" s="46">
        <f>'ESTADO DE RESULTADOS'!F27</f>
        <v>1830546.4905504005</v>
      </c>
      <c r="E13" s="48">
        <f>45000*2</f>
        <v>90000</v>
      </c>
      <c r="F13" s="48"/>
      <c r="G13" s="48"/>
      <c r="H13" s="48"/>
      <c r="I13" s="48"/>
      <c r="J13" s="97">
        <f t="shared" si="0"/>
        <v>1176081.4844496006</v>
      </c>
      <c r="K13" s="42"/>
    </row>
    <row r="14" spans="2:17" x14ac:dyDescent="0.25">
      <c r="B14" s="92">
        <v>5</v>
      </c>
      <c r="C14" s="46">
        <f>'ESTADO DE RESULTADOS'!G7</f>
        <v>3870784.9687500014</v>
      </c>
      <c r="D14" s="46">
        <f>'ESTADO DE RESULTADOS'!G27</f>
        <v>2148495.8222581064</v>
      </c>
      <c r="E14" s="48">
        <f>45000*3</f>
        <v>135000</v>
      </c>
      <c r="F14" s="48"/>
      <c r="G14" s="48"/>
      <c r="H14" s="48">
        <f>+DEPREC!H14</f>
        <v>32288.46428571429</v>
      </c>
      <c r="I14" s="48">
        <f>+G9</f>
        <v>938880</v>
      </c>
      <c r="J14" s="97">
        <f>C14-D14-E14-F14-G14+H14+I14</f>
        <v>2558457.6107776091</v>
      </c>
      <c r="K14" s="42"/>
    </row>
    <row r="15" spans="2:17" x14ac:dyDescent="0.25">
      <c r="B15" s="50"/>
      <c r="C15" s="40"/>
      <c r="D15" s="40"/>
      <c r="E15" s="51"/>
      <c r="F15" s="51"/>
      <c r="G15" s="51"/>
      <c r="I15" s="52"/>
      <c r="J15" s="41"/>
      <c r="K15" s="42"/>
    </row>
    <row r="16" spans="2:17" x14ac:dyDescent="0.25">
      <c r="B16" s="50"/>
      <c r="C16" s="40"/>
      <c r="D16" s="40"/>
      <c r="E16" s="51"/>
      <c r="F16" s="51"/>
      <c r="G16" s="51"/>
      <c r="H16" s="52"/>
      <c r="I16" s="52"/>
      <c r="J16" s="41"/>
      <c r="K16" s="42"/>
    </row>
    <row r="17" spans="2:11" x14ac:dyDescent="0.25">
      <c r="B17" s="53" t="s">
        <v>77</v>
      </c>
      <c r="C17" s="54"/>
      <c r="D17" s="54"/>
      <c r="E17" s="54"/>
      <c r="F17" s="55"/>
      <c r="G17" s="55"/>
      <c r="H17" s="55"/>
      <c r="I17" s="55"/>
      <c r="J17" s="41"/>
      <c r="K17" s="42"/>
    </row>
    <row r="18" spans="2:11" x14ac:dyDescent="0.25">
      <c r="B18" s="155" t="s">
        <v>78</v>
      </c>
      <c r="C18" s="154" t="s">
        <v>79</v>
      </c>
      <c r="D18" s="154" t="s">
        <v>80</v>
      </c>
      <c r="E18" s="154" t="s">
        <v>81</v>
      </c>
      <c r="F18" s="154" t="s">
        <v>79</v>
      </c>
      <c r="G18" s="154" t="s">
        <v>80</v>
      </c>
      <c r="H18" s="154" t="s">
        <v>82</v>
      </c>
      <c r="I18" s="56"/>
      <c r="J18" s="41"/>
      <c r="K18" s="42"/>
    </row>
    <row r="19" spans="2:11" x14ac:dyDescent="0.25">
      <c r="B19" s="155" t="s">
        <v>83</v>
      </c>
      <c r="C19" s="154" t="s">
        <v>74</v>
      </c>
      <c r="D19" s="154" t="s">
        <v>74</v>
      </c>
      <c r="E19" s="154" t="s">
        <v>84</v>
      </c>
      <c r="F19" s="154" t="s">
        <v>85</v>
      </c>
      <c r="G19" s="154" t="s">
        <v>85</v>
      </c>
      <c r="H19" s="154" t="s">
        <v>86</v>
      </c>
      <c r="I19" s="90"/>
      <c r="J19" s="41"/>
      <c r="K19" s="42"/>
    </row>
    <row r="20" spans="2:11" x14ac:dyDescent="0.25">
      <c r="B20" s="155" t="s">
        <v>72</v>
      </c>
      <c r="C20" s="155" t="s">
        <v>87</v>
      </c>
      <c r="D20" s="155" t="s">
        <v>87</v>
      </c>
      <c r="E20" s="91">
        <v>0.1</v>
      </c>
      <c r="F20" s="155" t="s">
        <v>87</v>
      </c>
      <c r="G20" s="155" t="s">
        <v>87</v>
      </c>
      <c r="H20" s="155" t="s">
        <v>87</v>
      </c>
      <c r="I20" s="56"/>
      <c r="J20" s="41"/>
      <c r="K20" s="42"/>
    </row>
    <row r="21" spans="2:11" x14ac:dyDescent="0.25">
      <c r="B21" s="92">
        <v>0</v>
      </c>
      <c r="C21" s="48">
        <f t="shared" ref="C21:C26" si="1">SUM(D9,E9,F9,G9)</f>
        <v>1175309</v>
      </c>
      <c r="D21" s="48">
        <f t="shared" ref="D21:D25" si="2">C9+H9+I9</f>
        <v>0</v>
      </c>
      <c r="E21" s="20">
        <f>1/(1+E20)^B21</f>
        <v>1</v>
      </c>
      <c r="F21" s="46">
        <f t="shared" ref="F21:F26" si="3">+E21*C21</f>
        <v>1175309</v>
      </c>
      <c r="G21" s="46">
        <f t="shared" ref="G21:G26" si="4">+E21*D21</f>
        <v>0</v>
      </c>
      <c r="H21" s="46">
        <f t="shared" ref="H21:H26" si="5">+G21-F21</f>
        <v>-1175309</v>
      </c>
      <c r="I21" s="55"/>
      <c r="J21" s="41"/>
      <c r="K21" s="42"/>
    </row>
    <row r="22" spans="2:11" x14ac:dyDescent="0.25">
      <c r="B22" s="92">
        <v>1</v>
      </c>
      <c r="C22" s="48">
        <f>SUM(D10,E10,F10,G10)</f>
        <v>1182207.6000000001</v>
      </c>
      <c r="D22" s="48">
        <f t="shared" si="2"/>
        <v>1529199.0000000002</v>
      </c>
      <c r="E22" s="20">
        <f>1/(1+E20)^B22</f>
        <v>0.90909090909090906</v>
      </c>
      <c r="F22" s="46">
        <f t="shared" si="3"/>
        <v>1074734.1818181819</v>
      </c>
      <c r="G22" s="46">
        <f t="shared" si="4"/>
        <v>1390180.9090909092</v>
      </c>
      <c r="H22" s="46">
        <f>+G22-F22</f>
        <v>315446.72727272729</v>
      </c>
      <c r="I22" s="55"/>
      <c r="J22" s="41"/>
      <c r="K22" s="42"/>
    </row>
    <row r="23" spans="2:11" x14ac:dyDescent="0.25">
      <c r="B23" s="92">
        <v>2</v>
      </c>
      <c r="C23" s="48">
        <f t="shared" si="1"/>
        <v>1390248.8</v>
      </c>
      <c r="D23" s="48">
        <f t="shared" si="2"/>
        <v>1835038.8000000003</v>
      </c>
      <c r="E23" s="20">
        <f>1/(1+E20)^B23</f>
        <v>0.82644628099173545</v>
      </c>
      <c r="F23" s="46">
        <f t="shared" si="3"/>
        <v>1148965.9504132231</v>
      </c>
      <c r="G23" s="46">
        <f t="shared" si="4"/>
        <v>1516560.9917355373</v>
      </c>
      <c r="H23" s="46">
        <f t="shared" si="5"/>
        <v>367595.04132231418</v>
      </c>
      <c r="I23" s="55"/>
      <c r="J23" s="41"/>
      <c r="K23" s="42"/>
    </row>
    <row r="24" spans="2:11" ht="15" customHeight="1" x14ac:dyDescent="0.25">
      <c r="B24" s="92">
        <v>3</v>
      </c>
      <c r="C24" s="48">
        <f t="shared" si="1"/>
        <v>1500667.4793600002</v>
      </c>
      <c r="D24" s="48">
        <f t="shared" si="2"/>
        <v>2293798.5000000005</v>
      </c>
      <c r="E24" s="20">
        <f>1/(1+E20)^B24</f>
        <v>0.75131480090157754</v>
      </c>
      <c r="F24" s="46">
        <f t="shared" si="3"/>
        <v>1127473.6884748307</v>
      </c>
      <c r="G24" s="46">
        <f t="shared" si="4"/>
        <v>1723364.7633358375</v>
      </c>
      <c r="H24" s="46">
        <f t="shared" si="5"/>
        <v>595891.07486100681</v>
      </c>
      <c r="I24" s="55"/>
      <c r="J24" s="41"/>
      <c r="K24" s="42"/>
    </row>
    <row r="25" spans="2:11" x14ac:dyDescent="0.25">
      <c r="B25" s="92">
        <v>4</v>
      </c>
      <c r="C25" s="48">
        <f t="shared" si="1"/>
        <v>1920546.4905504005</v>
      </c>
      <c r="D25" s="48">
        <f t="shared" si="2"/>
        <v>3096627.975000001</v>
      </c>
      <c r="E25" s="20">
        <f>1/(1+E20)^B25</f>
        <v>0.68301345536507052</v>
      </c>
      <c r="F25" s="46">
        <f t="shared" si="3"/>
        <v>1311759.0947000887</v>
      </c>
      <c r="G25" s="46">
        <f t="shared" si="4"/>
        <v>2115038.5731848921</v>
      </c>
      <c r="H25" s="46">
        <f t="shared" si="5"/>
        <v>803279.47848480335</v>
      </c>
      <c r="I25" s="55"/>
      <c r="J25" s="41"/>
      <c r="K25" s="42"/>
    </row>
    <row r="26" spans="2:11" x14ac:dyDescent="0.25">
      <c r="B26" s="92">
        <v>5</v>
      </c>
      <c r="C26" s="48">
        <f t="shared" si="1"/>
        <v>2283495.8222581064</v>
      </c>
      <c r="D26" s="48">
        <f>C14+H14+I14</f>
        <v>4841953.4330357155</v>
      </c>
      <c r="E26" s="20">
        <f>1/(1+E20)^B26</f>
        <v>0.62092132305915493</v>
      </c>
      <c r="F26" s="46">
        <f t="shared" si="3"/>
        <v>1417871.2471565562</v>
      </c>
      <c r="G26" s="46">
        <f t="shared" si="4"/>
        <v>3006472.131831354</v>
      </c>
      <c r="H26" s="46">
        <f t="shared" si="5"/>
        <v>1588600.8846747978</v>
      </c>
      <c r="I26" s="55"/>
      <c r="J26" s="41"/>
      <c r="K26" s="42"/>
    </row>
    <row r="27" spans="2:11" x14ac:dyDescent="0.25">
      <c r="B27" s="156" t="s">
        <v>88</v>
      </c>
      <c r="C27" s="157">
        <f>SUM(C21:C25)</f>
        <v>7168979.3699104013</v>
      </c>
      <c r="D27" s="157">
        <f>SUM(D21:D26)</f>
        <v>13596617.708035719</v>
      </c>
      <c r="E27" s="157"/>
      <c r="F27" s="158">
        <f>SUM(F21:F26)</f>
        <v>7256113.1625628807</v>
      </c>
      <c r="G27" s="158">
        <f>SUM(G21:G26)</f>
        <v>9751617.3691785298</v>
      </c>
      <c r="H27" s="158">
        <f>SUM(H21:H26)</f>
        <v>2495504.2066156492</v>
      </c>
      <c r="I27" s="57"/>
      <c r="J27" s="58"/>
      <c r="K27" s="42"/>
    </row>
    <row r="28" spans="2:11" x14ac:dyDescent="0.25">
      <c r="B28" s="59"/>
      <c r="C28" s="60"/>
      <c r="D28" s="60"/>
      <c r="E28" s="60"/>
      <c r="F28" s="60"/>
      <c r="G28" s="60"/>
      <c r="H28" s="60"/>
      <c r="I28" s="61"/>
      <c r="J28" s="62"/>
      <c r="K28" s="42"/>
    </row>
    <row r="29" spans="2:11" ht="15.75" thickBot="1" x14ac:dyDescent="0.3">
      <c r="B29" s="55"/>
      <c r="C29" s="63" t="s">
        <v>89</v>
      </c>
      <c r="D29" s="63"/>
      <c r="E29" s="63"/>
      <c r="F29" s="63"/>
      <c r="G29" s="63"/>
      <c r="H29" s="63"/>
      <c r="I29" s="55"/>
      <c r="J29" s="41"/>
      <c r="K29" s="42"/>
    </row>
    <row r="30" spans="2:11" ht="15.75" thickTop="1" x14ac:dyDescent="0.25">
      <c r="B30" s="55"/>
      <c r="C30" s="55"/>
      <c r="D30" s="188" t="s">
        <v>90</v>
      </c>
      <c r="E30" s="64">
        <f>H27</f>
        <v>2495504.2066156492</v>
      </c>
      <c r="F30" s="65" t="str">
        <f>IF(E30&gt;0,"Se acepta","Se rechaza")</f>
        <v>Se acepta</v>
      </c>
      <c r="G30" s="63"/>
      <c r="H30" s="63"/>
      <c r="I30" s="55"/>
      <c r="J30" s="41"/>
      <c r="K30" s="42"/>
    </row>
    <row r="31" spans="2:11" x14ac:dyDescent="0.25">
      <c r="B31" s="55"/>
      <c r="C31" s="55"/>
      <c r="D31" s="189" t="s">
        <v>91</v>
      </c>
      <c r="E31" s="66">
        <f>IRR((D21:D26)-(C21:C26))</f>
        <v>0.52284674983369039</v>
      </c>
      <c r="F31" s="65" t="str">
        <f>IF(E31&gt;E20,"Se acepta","Se rechaza")</f>
        <v>Se acepta</v>
      </c>
      <c r="G31" s="63"/>
      <c r="H31" s="63"/>
      <c r="I31" s="55"/>
      <c r="J31" s="41"/>
      <c r="K31" s="42"/>
    </row>
    <row r="32" spans="2:11" ht="15.75" thickBot="1" x14ac:dyDescent="0.3">
      <c r="B32" s="55"/>
      <c r="C32" s="55"/>
      <c r="D32" s="190" t="s">
        <v>92</v>
      </c>
      <c r="E32" s="67">
        <f>G27/F27</f>
        <v>1.3439174873251605</v>
      </c>
      <c r="F32" s="65" t="str">
        <f>IF(E32&gt;=1,"Se acepta","Se rechaza")</f>
        <v>Se acepta</v>
      </c>
      <c r="G32" s="63"/>
      <c r="H32" s="63"/>
      <c r="I32" s="40"/>
      <c r="J32" s="41"/>
      <c r="K32" s="42"/>
    </row>
    <row r="33" spans="2:11" ht="15.75" thickTop="1" x14ac:dyDescent="0.25">
      <c r="B33" s="42"/>
      <c r="C33" s="42"/>
      <c r="D33" s="42"/>
      <c r="E33" s="42"/>
      <c r="F33" s="42"/>
      <c r="G33" s="42"/>
      <c r="H33" s="42"/>
      <c r="I33" s="42"/>
      <c r="J33" s="42"/>
      <c r="K33" s="42"/>
    </row>
    <row r="34" spans="2:11" ht="15.75" thickBot="1" x14ac:dyDescent="0.3">
      <c r="B34" s="42"/>
      <c r="C34" s="42"/>
      <c r="D34" s="42"/>
      <c r="E34" s="42"/>
      <c r="F34" s="42"/>
      <c r="G34" s="42"/>
      <c r="H34" s="42"/>
      <c r="I34" s="68" t="s">
        <v>93</v>
      </c>
      <c r="J34" s="42"/>
      <c r="K34" s="42"/>
    </row>
    <row r="35" spans="2:11" ht="15.75" thickTop="1" x14ac:dyDescent="0.25">
      <c r="B35" s="42"/>
      <c r="C35" s="166" t="s">
        <v>208</v>
      </c>
      <c r="D35" s="163">
        <v>8.41</v>
      </c>
      <c r="E35" s="42"/>
      <c r="F35" s="168" t="s">
        <v>209</v>
      </c>
      <c r="G35" s="169">
        <f>NPV(0.35,H22:H26)+H21</f>
        <v>98370.081599235535</v>
      </c>
      <c r="H35" s="42"/>
      <c r="I35" s="175">
        <v>1150000</v>
      </c>
      <c r="J35" s="42"/>
      <c r="K35" s="42"/>
    </row>
    <row r="36" spans="2:11" x14ac:dyDescent="0.25">
      <c r="B36" s="42"/>
      <c r="C36" s="167" t="s">
        <v>206</v>
      </c>
      <c r="D36" s="164">
        <v>9.19</v>
      </c>
      <c r="E36" s="42"/>
      <c r="F36" s="42"/>
      <c r="G36" s="175"/>
      <c r="H36" s="42"/>
      <c r="I36" s="42"/>
      <c r="J36" s="42"/>
      <c r="K36" s="42"/>
    </row>
    <row r="37" spans="2:11" x14ac:dyDescent="0.25">
      <c r="B37" s="42"/>
      <c r="C37" s="167" t="s">
        <v>207</v>
      </c>
      <c r="D37" s="164">
        <v>9.65</v>
      </c>
      <c r="E37" s="42"/>
      <c r="F37" s="42"/>
      <c r="G37" s="42"/>
      <c r="H37" s="42"/>
      <c r="I37" s="42"/>
      <c r="J37" s="42"/>
      <c r="K37" s="42"/>
    </row>
    <row r="38" spans="2:11" ht="15.75" thickBot="1" x14ac:dyDescent="0.3">
      <c r="B38" s="42"/>
      <c r="C38" s="165" t="s">
        <v>205</v>
      </c>
      <c r="D38" s="187">
        <f>SUM(D35:D37)</f>
        <v>27.25</v>
      </c>
      <c r="E38" s="42"/>
      <c r="F38" s="42"/>
      <c r="G38" s="42"/>
      <c r="H38" s="42"/>
      <c r="I38" s="42"/>
      <c r="J38" s="42"/>
      <c r="K38" s="42"/>
    </row>
    <row r="39" spans="2:11" ht="15.75" thickTop="1" x14ac:dyDescent="0.25">
      <c r="B39" s="42"/>
      <c r="C39" s="42"/>
      <c r="D39" s="42"/>
      <c r="E39" s="42"/>
      <c r="F39" s="42"/>
      <c r="G39" s="42"/>
      <c r="H39" s="42"/>
      <c r="I39" s="42"/>
      <c r="J39" s="42"/>
      <c r="K39" s="42"/>
    </row>
    <row r="40" spans="2:11" x14ac:dyDescent="0.25">
      <c r="B40" s="42"/>
      <c r="C40" s="42"/>
      <c r="D40" s="42"/>
      <c r="E40" s="42"/>
      <c r="F40" s="42"/>
      <c r="G40" s="42"/>
      <c r="H40" s="42"/>
      <c r="I40" s="42"/>
      <c r="J40" s="42"/>
      <c r="K40" s="42"/>
    </row>
    <row r="41" spans="2:11" x14ac:dyDescent="0.25">
      <c r="B41" s="42"/>
      <c r="C41" s="42"/>
      <c r="D41" s="42"/>
      <c r="E41" s="42"/>
      <c r="F41" s="42"/>
      <c r="G41" s="42"/>
      <c r="H41" s="42"/>
      <c r="I41" s="42"/>
      <c r="J41" s="42"/>
      <c r="K41" s="42"/>
    </row>
    <row r="42" spans="2:11" x14ac:dyDescent="0.25">
      <c r="B42" s="42"/>
      <c r="C42" s="42"/>
      <c r="D42" s="42"/>
      <c r="E42" s="42"/>
      <c r="F42" s="42"/>
      <c r="G42" s="42"/>
      <c r="H42" s="42"/>
      <c r="I42" s="42"/>
      <c r="J42" s="42"/>
      <c r="K42" s="42"/>
    </row>
    <row r="43" spans="2:11" x14ac:dyDescent="0.25">
      <c r="B43" s="42"/>
      <c r="C43" s="42"/>
      <c r="D43" s="42"/>
      <c r="E43" s="42"/>
      <c r="F43" s="42"/>
      <c r="G43" s="42"/>
      <c r="H43" s="42"/>
      <c r="I43" s="42"/>
      <c r="J43" s="42"/>
      <c r="K43" s="42"/>
    </row>
    <row r="44" spans="2:11" x14ac:dyDescent="0.25">
      <c r="B44" s="42"/>
      <c r="C44" s="42"/>
      <c r="D44" s="42"/>
      <c r="E44" s="42"/>
      <c r="F44" s="42"/>
      <c r="G44" s="42"/>
      <c r="H44" s="42"/>
      <c r="I44" s="42"/>
      <c r="J44" s="42"/>
      <c r="K44" s="42"/>
    </row>
    <row r="45" spans="2:11" x14ac:dyDescent="0.25">
      <c r="B45" s="42"/>
      <c r="C45" s="42"/>
      <c r="D45" s="42"/>
      <c r="E45" s="42"/>
      <c r="F45" s="42"/>
      <c r="G45" s="42"/>
      <c r="H45" s="42"/>
      <c r="I45" s="42"/>
      <c r="J45" s="42"/>
      <c r="K45" s="42"/>
    </row>
    <row r="46" spans="2:11" x14ac:dyDescent="0.25">
      <c r="B46" s="42"/>
      <c r="C46" s="42"/>
      <c r="D46" s="42"/>
      <c r="E46" s="42"/>
      <c r="F46" s="42"/>
      <c r="G46" s="42"/>
      <c r="H46" s="42"/>
      <c r="I46" s="42"/>
      <c r="J46" s="42"/>
      <c r="K46" s="42"/>
    </row>
    <row r="47" spans="2:11" x14ac:dyDescent="0.25">
      <c r="B47" s="42"/>
      <c r="C47" s="42"/>
      <c r="D47" s="42"/>
      <c r="E47" s="42"/>
      <c r="F47" s="42"/>
      <c r="G47" s="42"/>
      <c r="H47" s="42"/>
      <c r="I47" s="42"/>
      <c r="J47" s="42"/>
      <c r="K47" s="42"/>
    </row>
    <row r="48" spans="2:11" x14ac:dyDescent="0.25">
      <c r="B48" s="42"/>
      <c r="C48" s="42"/>
      <c r="D48" s="42"/>
      <c r="E48" s="42"/>
      <c r="F48" s="42"/>
      <c r="G48" s="42"/>
      <c r="H48" s="42"/>
      <c r="I48" s="42"/>
      <c r="J48" s="42"/>
      <c r="K48" s="42"/>
    </row>
    <row r="49" spans="2:11" x14ac:dyDescent="0.25">
      <c r="B49" s="42"/>
      <c r="C49" s="42"/>
      <c r="D49" s="42"/>
      <c r="E49" s="42"/>
      <c r="F49" s="42"/>
      <c r="G49" s="42"/>
      <c r="H49" s="42"/>
      <c r="I49" s="42"/>
      <c r="J49" s="42"/>
      <c r="K49" s="42"/>
    </row>
    <row r="50" spans="2:11" x14ac:dyDescent="0.25">
      <c r="B50" s="42"/>
      <c r="C50" s="42"/>
      <c r="D50" s="42"/>
      <c r="E50" s="42"/>
      <c r="F50" s="42"/>
      <c r="G50" s="42"/>
      <c r="H50" s="42"/>
      <c r="I50" s="42"/>
      <c r="J50" s="42"/>
      <c r="K50" s="42"/>
    </row>
  </sheetData>
  <mergeCells count="5">
    <mergeCell ref="B4:J4"/>
    <mergeCell ref="D6:G6"/>
    <mergeCell ref="J6:J8"/>
    <mergeCell ref="B1:J1"/>
    <mergeCell ref="B2:J2"/>
  </mergeCells>
  <phoneticPr fontId="0" type="noConversion"/>
  <pageMargins left="0.7" right="0.7" top="0.75" bottom="0.75" header="0.3" footer="0.3"/>
  <pageSetup paperSize="9" scale="99"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Inversiones</vt:lpstr>
      <vt:lpstr>TABLAS DE AMORTIZACIÓN</vt:lpstr>
      <vt:lpstr>MEMORIAS DE CALCULO</vt:lpstr>
      <vt:lpstr>PROYECCION DE COSTOS</vt:lpstr>
      <vt:lpstr>COSTOS TOTALES</vt:lpstr>
      <vt:lpstr>INGRESOS</vt:lpstr>
      <vt:lpstr>ESTADO DE RESULTADOS</vt:lpstr>
      <vt:lpstr>PUNTO DE EQUILIBRIO</vt:lpstr>
      <vt:lpstr>RENTABILIDAD</vt:lpstr>
      <vt:lpstr>DEPREC</vt:lpstr>
      <vt:lpstr>RECUP</vt:lpstr>
      <vt:lpstr>Flujo Mensual</vt:lpstr>
      <vt:lpstr>Flujo Anual</vt:lpstr>
      <vt:lpstr>formulacion</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FORMATO FINANZAS 2012</dc:title>
  <dc:subject>ANEXO B PARTE FINANCIERA</dc:subject>
  <dc:creator>www.agroproyectos.org</dc:creator>
  <cp:keywords>FINANZAS</cp:keywords>
  <dc:description>PLANTILLA PARA ELABORAR CORRIDA FINANCIERA CON BASE A LAS REGLAS DE OPERACION 2012 DE LA SECRETARIA DE LA REFORMA AGRARIA.</dc:description>
  <cp:lastModifiedBy>Esme León Salas</cp:lastModifiedBy>
  <cp:lastPrinted>2011-08-04T16:28:36Z</cp:lastPrinted>
  <dcterms:created xsi:type="dcterms:W3CDTF">2010-06-24T03:15:13Z</dcterms:created>
  <dcterms:modified xsi:type="dcterms:W3CDTF">2022-11-11T18:14:57Z</dcterms:modified>
  <cp:category>ELABORACION DE PROYECTOS PRODUCTIVOS</cp:category>
</cp:coreProperties>
</file>